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4.pielikums" sheetId="1" r:id="rId1"/>
  </sheets>
  <definedNames>
    <definedName name="_xlnm.Print_Area" localSheetId="0">'14.pielikums'!$A$1:$Z$132</definedName>
  </definedNames>
  <calcPr fullCalcOnLoad="1"/>
</workbook>
</file>

<file path=xl/comments1.xml><?xml version="1.0" encoding="utf-8"?>
<comments xmlns="http://schemas.openxmlformats.org/spreadsheetml/2006/main">
  <authors>
    <author>JPD</author>
    <author>arita.moroza</author>
  </authors>
  <commentList>
    <comment ref="B1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"Dalībai tūrisma gadatirgū "Matka 2009"Helsinkos, Somijā no 2009. gada 14. - 18.janvārim" 
Rīkojums 4 rkā</t>
        </r>
      </text>
    </comment>
    <comment ref="B13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Rīkojums 1 rkā</t>
        </r>
      </text>
    </comment>
    <comment ref="X20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Avanss=1549.71, pēc izpildes ar pien.nod. Aktu atlikušo summu
</t>
        </r>
      </text>
    </comment>
    <comment ref="B20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"Dalībai tūrisma izstādē "Balttour 2009" 2009. gada 6. - 8. februārī "</t>
        </r>
      </text>
    </comment>
    <comment ref="B25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"Tūrisma izstāde "Tourest 2009" 2009. gada 13. - 15. februārim Tallinā, Igaunijā"
Rīkojums 5 rkā</t>
        </r>
      </text>
    </comment>
    <comment ref="B30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"Tūrisma izstāde "Vivattur 2009"2009. gada 27 februāris - 1. marts Viļņā, Lietuvā"</t>
        </r>
      </text>
    </comment>
    <comment ref="B35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Rīkojums 8 rkā</t>
        </r>
      </text>
    </comment>
    <comment ref="G14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 -36
</t>
        </r>
      </text>
    </comment>
    <comment ref="G18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 +36; +15</t>
        </r>
      </text>
    </comment>
    <comment ref="G25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34=-64</t>
        </r>
      </text>
    </comment>
    <comment ref="G22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 +12</t>
        </r>
      </text>
    </comment>
    <comment ref="G23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34=+37; +52; +15; +190</t>
        </r>
      </text>
    </comment>
    <comment ref="G2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34=-52</t>
        </r>
      </text>
    </comment>
    <comment ref="G28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34=-15</t>
        </r>
      </text>
    </comment>
    <comment ref="G30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34=-288</t>
        </r>
      </text>
    </comment>
    <comment ref="G35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34=+98; +108; +190; +562
izziņa 87=+344</t>
        </r>
      </text>
    </comment>
    <comment ref="G75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34=-108</t>
        </r>
      </text>
    </comment>
    <comment ref="G57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34=-190
izziņa 87= +850</t>
        </r>
      </text>
    </comment>
    <comment ref="G20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34=-879
izziņa 87=-1259
</t>
        </r>
      </text>
    </comment>
    <comment ref="G104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34=+317; +290</t>
        </r>
      </text>
    </comment>
    <comment ref="G91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34=-290</t>
        </r>
      </text>
    </comment>
    <comment ref="G62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34=-185
</t>
        </r>
      </text>
    </comment>
    <comment ref="G78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būs+185
izziņa 87= +346</t>
        </r>
      </text>
    </comment>
    <comment ref="B53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Rīkojums 8 rkā</t>
        </r>
      </text>
    </comment>
    <comment ref="K22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Av.nor.</t>
        </r>
      </text>
    </comment>
    <comment ref="L5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Rīkojums 8 rkā</t>
        </r>
      </text>
    </comment>
    <comment ref="M5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Rīkojums 14 rkā</t>
        </r>
      </text>
    </comment>
    <comment ref="L6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kijeva
Rīkojums 13 rkā
</t>
        </r>
      </text>
    </comment>
    <comment ref="L61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Kijeva rīkojums 13 rkā
rīk. 14 rkā Minska</t>
        </r>
      </text>
    </comment>
    <comment ref="K10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"Buy Latvia, Buy Baltic 2009" projekta ietvaros ārvalstu delegāciju viesošanās Jūrmalā org.</t>
        </r>
      </text>
    </comment>
    <comment ref="L10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"ASV žurnālistu uzņemšanai Jūrmalā 2009. gada 6. februārī</t>
        </r>
      </text>
    </comment>
    <comment ref="L98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"reklāmas ievietošanai Latvijas Kempingu Asociācijas brošūrā"=370</t>
        </r>
      </text>
    </comment>
    <comment ref="L58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Rīkojums 5 rkk
</t>
        </r>
      </text>
    </comment>
    <comment ref="G2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 +638</t>
        </r>
      </text>
    </comment>
    <comment ref="G3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 +621</t>
        </r>
      </text>
    </comment>
    <comment ref="G6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87=-5382</t>
        </r>
      </text>
    </comment>
    <comment ref="G7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 +931
būs -436</t>
        </r>
      </text>
    </comment>
    <comment ref="G9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 +120
izziņa 87= -4836 no EKK 2232 +4836 uz EKK 5110</t>
        </r>
      </text>
    </comment>
    <comment ref="I9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+1131</t>
        </r>
      </text>
    </comment>
    <comment ref="G10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87=+2624</t>
        </r>
      </text>
    </comment>
    <comment ref="M1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700 ???</t>
        </r>
      </text>
    </comment>
    <comment ref="M6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14 rkā -viesnīca</t>
        </r>
      </text>
    </comment>
    <comment ref="X6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E. Brigmane- Zviedrija</t>
        </r>
      </text>
    </comment>
    <comment ref="N6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15 rkā espa lietuvā M. Pētersone
17 rkā E. Brigmane- Zviedrija</t>
        </r>
      </text>
    </comment>
    <comment ref="N5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15 rkā espa lietuvā Māra Pētersone</t>
        </r>
      </text>
    </comment>
    <comment ref="G6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 -850; -300
izziņa 108=+93</t>
        </r>
      </text>
    </comment>
    <comment ref="N9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jāmaina uz 5110 no 2232</t>
        </r>
      </text>
    </comment>
    <comment ref="G4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 -300</t>
        </r>
      </text>
    </comment>
    <comment ref="G5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 -150</t>
        </r>
      </text>
    </comment>
    <comment ref="G5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87=-255</t>
        </r>
      </text>
    </comment>
    <comment ref="G8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 -350</t>
        </r>
      </text>
    </comment>
    <comment ref="G3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87=-413
būs -137</t>
        </r>
      </text>
    </comment>
    <comment ref="G3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87=+6</t>
        </r>
      </text>
    </comment>
    <comment ref="G3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87=+18</t>
        </r>
      </text>
    </comment>
    <comment ref="G3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87=+5</t>
        </r>
      </text>
    </comment>
    <comment ref="G3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87=+40</t>
        </r>
      </text>
    </comment>
    <comment ref="G5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87=+10</t>
        </r>
      </text>
    </comment>
    <comment ref="G7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87=+931
būs -930</t>
        </r>
      </text>
    </comment>
    <comment ref="G9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87=+1331
izziņa 108=-800</t>
        </r>
      </text>
    </comment>
    <comment ref="G8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87=+15</t>
        </r>
      </text>
    </comment>
    <comment ref="G8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87=+5
izziņa 108=+14</t>
        </r>
      </text>
    </comment>
    <comment ref="G5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87=-55</t>
        </r>
      </text>
    </comment>
    <comment ref="G9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87=-1997</t>
        </r>
      </text>
    </comment>
    <comment ref="G10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87=-500</t>
        </r>
      </text>
    </comment>
    <comment ref="G11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87=-500
izziņa 108=+500</t>
        </r>
      </text>
    </comment>
    <comment ref="G12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87=-600</t>
        </r>
      </text>
    </comment>
    <comment ref="G12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87=-200</t>
        </r>
      </text>
    </comment>
    <comment ref="G12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87=-700</t>
        </r>
      </text>
    </comment>
    <comment ref="G13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87=-200</t>
        </r>
      </text>
    </comment>
    <comment ref="G13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87=+400</t>
        </r>
      </text>
    </comment>
    <comment ref="G6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108=-132</t>
        </r>
      </text>
    </comment>
    <comment ref="G6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108=-25</t>
        </r>
      </text>
    </comment>
    <comment ref="G5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108=+27</t>
        </r>
      </text>
    </comment>
    <comment ref="G8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108=+23</t>
        </r>
      </text>
    </comment>
    <comment ref="G10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108=+800</t>
        </r>
      </text>
    </comment>
    <comment ref="G7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108=-500</t>
        </r>
      </text>
    </comment>
    <comment ref="P7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(makets)</t>
        </r>
      </text>
    </comment>
    <comment ref="G5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-174</t>
        </r>
      </text>
    </comment>
    <comment ref="G7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-246</t>
        </r>
      </text>
    </comment>
  </commentList>
</comments>
</file>

<file path=xl/sharedStrings.xml><?xml version="1.0" encoding="utf-8"?>
<sst xmlns="http://schemas.openxmlformats.org/spreadsheetml/2006/main" count="117" uniqueCount="111">
  <si>
    <t>Jūrmalas pilsētas dome</t>
  </si>
  <si>
    <t>2009.gada budžeta projekta atšifrējums ____Sadaļa "Tūrisma attistība" 04.730 Tūrisms______</t>
  </si>
  <si>
    <t>mērķis</t>
  </si>
  <si>
    <t>Struktūrvienības nosaukums ________________Tūrisma un ārējo sakaru nodaļa_______</t>
  </si>
  <si>
    <t>Pamatbudžets LV84PARX0002484572001</t>
  </si>
  <si>
    <t>BP 317</t>
  </si>
  <si>
    <t>Nr.</t>
  </si>
  <si>
    <t>Pasākums/ aktivitāte/ projekts/ pakalpojuma nosaukums/ objekts</t>
  </si>
  <si>
    <t>Aizpilda struktūrvienība</t>
  </si>
  <si>
    <t>Sadalījums pa EKK</t>
  </si>
  <si>
    <t>2009.gada BP</t>
  </si>
  <si>
    <t>Izpilde</t>
  </si>
  <si>
    <t>Kases atlikums</t>
  </si>
  <si>
    <t>Rez. summas</t>
  </si>
  <si>
    <t>Atlikums</t>
  </si>
  <si>
    <t>Iesniegti grozījumi</t>
  </si>
  <si>
    <t>Mēnesī</t>
  </si>
  <si>
    <t>No gada sākumā</t>
  </si>
  <si>
    <t>Budžets uz 01.01.08.</t>
  </si>
  <si>
    <t>2008.gada precizētais budžets</t>
  </si>
  <si>
    <t>2008.gada gaidāmā izpilde</t>
  </si>
  <si>
    <t>2009.gada budžeta pieprasījums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</si>
  <si>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</si>
  <si>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</si>
  <si>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</si>
  <si>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</si>
  <si>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</si>
  <si>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</si>
  <si>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</si>
  <si>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</si>
  <si>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</si>
  <si>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</si>
  <si>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</si>
  <si>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</si>
  <si>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KOPĀ</t>
  </si>
  <si>
    <t>Dalība tūrisma izstādēs un gadatirgos</t>
  </si>
  <si>
    <t>EKK</t>
  </si>
  <si>
    <t>Dalība tūrisma gadatirgū Oslo, Norvēģijā - REISELIV</t>
  </si>
  <si>
    <t>Dalība tūrisma gadatirgū Helsinkos, Somijā - MATKA</t>
  </si>
  <si>
    <t>Dalība tūrisma izstādē Rīgā, Latvijā - BALTTOUR</t>
  </si>
  <si>
    <t>Dalība tūrisma gadatirgū Tallinā, Igaunija - TOUREST</t>
  </si>
  <si>
    <t>Dalība tūrisma gadatirgū Viļņā, Lietuvā - VIVATTUR</t>
  </si>
  <si>
    <t>Dalība tūrisma gadatirgū Maskavā, Krievijā - MITT</t>
  </si>
  <si>
    <t>Vācija, dalība tūrisma gadatirgos (Leipcigā, Štutgartē, Minhenē, Hamburgā)</t>
  </si>
  <si>
    <t>Dalība ceļojumu dienās Stokholmā, Zviedrijā - REISEDAGARNA</t>
  </si>
  <si>
    <t>Vizītes</t>
  </si>
  <si>
    <t>Vizīte uz Sanktpēterburgu</t>
  </si>
  <si>
    <t>Vizīte uz Kazaņu</t>
  </si>
  <si>
    <t>Vizīte uz Palangu, Pērnavu</t>
  </si>
  <si>
    <t>Vizīte uz Kabūru</t>
  </si>
  <si>
    <t>Vizīte uz Teračīnu, Anādiju</t>
  </si>
  <si>
    <t>Vizīte uz Maskavu</t>
  </si>
  <si>
    <t>Vīzu pakalpojumi</t>
  </si>
  <si>
    <t>Dalība tūrisma darba semināros un to rīkošana (Norvēģija, Somija, Polija, Zviedrija, Krievija, Francija, Baltkrievija, Ukraina), darba grupās, konferencēs</t>
  </si>
  <si>
    <t>Dalība ESPA kongresos</t>
  </si>
  <si>
    <t>Jūrmalas delegācijas brauciens uz Ķīnu</t>
  </si>
  <si>
    <t>Informatīvie materiāli par Jūrmalu</t>
  </si>
  <si>
    <t>Buklets „Jūrmalas kūrorta ziņas” pavasara, rudens izdevumu izdošana</t>
  </si>
  <si>
    <t>Kāzu buklets</t>
  </si>
  <si>
    <t>Jūrmalas arhitektūras brošūra</t>
  </si>
  <si>
    <t>Tūrisma buklets Jūrmala (lv, ru, eng, de fin, swe, de, lt, ee)</t>
  </si>
  <si>
    <t>Jūrmalas Spa buklets</t>
  </si>
  <si>
    <t>Informatīvs speciālizlaidums zviedru valodā uz „Tallink” prāmjiem</t>
  </si>
  <si>
    <t>Info pasākumu bukleti</t>
  </si>
  <si>
    <t>Jūrmala buklets (plēšamā karte, objekti, naktsmītnes) eng, de, lv, ru</t>
  </si>
  <si>
    <t>Riga In your pocket+ Jūrmalas sadaļa (eng)</t>
  </si>
  <si>
    <t>Riga Jurmala konferenču tūrisma buklets (eng)</t>
  </si>
  <si>
    <t>Afišas + ielūgumi (Francijas pavasara dienas, Portugāļu dienas, Maskavas dienas)</t>
  </si>
  <si>
    <t xml:space="preserve">Reklāmas, media kartiņas par Jūrmalu </t>
  </si>
  <si>
    <t>Buklets Jūrmala bērniem</t>
  </si>
  <si>
    <t>Dalības maksa</t>
  </si>
  <si>
    <t>Dalības maksa UBC „Baltijas Pilsētu savienība”</t>
  </si>
  <si>
    <t>Dalības maksa ECAD (Eiropas pilsētu kustība pret narkotikām)</t>
  </si>
  <si>
    <t>Dalības maksa ESPA (Eiropas kūrortu asociācija)</t>
  </si>
  <si>
    <t>Pārējie pakalpojumi</t>
  </si>
  <si>
    <t>Jūrmalas kūrortu asociācijas (biedrības), Latvijas kūrortpilsētu pašvaldību savienības (biedrības) izveidošana</t>
  </si>
  <si>
    <t>CD-R fotogrāfiju ierakstīšana, Jūrmalas videoklipa ierakstīšana tūrisma profesionāļiem un plašsaziņas līdzekļiem</t>
  </si>
  <si>
    <t xml:space="preserve">Pētījumi tūrisma jomā(par tūrisma mirkrozonām, apmeklētāju ietilpību un mikrozonu attīstību, par Jūrmalas apmeklētāju apmierinātību ar atpūtu Jūrmalā, par Jūrmalas, izpēte kūrortu attīstībā </t>
  </si>
  <si>
    <t>Latvijas kūrortu konferences rīkošana</t>
  </si>
  <si>
    <t>Jūrmalas kūrorta zīmola izstrādāšana un popularizēšana (zīmols, mārketinga pasākumu koncepcija, t.sk. kūrorta produktu reklamēšana, kūrorta rakstu krājumu izdošana, grāmatas "Latvijas kūrortu dabiskie dziedniecības līdzekļi" izdošana)</t>
  </si>
  <si>
    <t>Jūrmala card/Jūrmalas kartes ieviešana Jūrmalā</t>
  </si>
  <si>
    <t>Orakāli un līmplēves Jūrmalas stendiem tūrisma gadatirgos</t>
  </si>
  <si>
    <t>Jūrmalas starptautiskās arhitektūras dienas</t>
  </si>
  <si>
    <t>Jūrmalas informācija, pasākumu bukletu ievietošana laikrakstos un žurnālos un izplatīšana, kā arī caur Latvijas pastu</t>
  </si>
  <si>
    <t>www.jurmala.lv reklāmas banera izgatavošana un ievietošana Latvijas (www.meeting.lv, www.eiropa.lv, www.eiropa.lv u.c.) un ārvalstu tūrisma un ziņu portālos, un reklāmas dažādos tūrisma izdevumos</t>
  </si>
  <si>
    <t>Sadraudzības līgumu notariālie tulkojumi, tulkojumi</t>
  </si>
  <si>
    <t>Sadraudzības pilsētu tikšanās Jūrmalā, Francijas pavasara dienas, Portugāļu dienas, Maskavas dienas, sadraudzības pilsētu konferences rīkošana</t>
  </si>
  <si>
    <t>Ārvalstu tūrisma aģentu un žurnālistu, un citu delegāciju uzņemšana Jūrmalā</t>
  </si>
  <si>
    <t>Ārvalstu vēstniecību pārstāvju uzņemšana Jūrmalā</t>
  </si>
  <si>
    <t>Tūrisma informatīvo ceļa zīmju finansējums</t>
  </si>
  <si>
    <t>Jūrmalas pilsētas tūrisma karte pie Jūrmalas TIC un TIP (2x4m), Jūrmalas TIS izkārtnes – pilona izgatavošana un uzstādīšana</t>
  </si>
  <si>
    <t>Jūrmalas TIC reklāmas pilona gada maksa par reklamas pasi</t>
  </si>
  <si>
    <t>Videoklipa par Jūrmalu izgatavošana (apmēram 5 minūtes) un reklamēšana</t>
  </si>
  <si>
    <t>Jūrmalas TIC sertifikācija</t>
  </si>
  <si>
    <t>Jauni T-krekli Jūrmalas TIC darbiniekiem</t>
  </si>
  <si>
    <t>Komisijas, maksa, bankas pakalpojumi tūrisma attīstībai</t>
  </si>
  <si>
    <t>Par telefona pārtēriņiem</t>
  </si>
  <si>
    <t>PVN no maksas pakalpojumiem</t>
  </si>
  <si>
    <t>Maskavas Dienvidrietumu apgabals- Jūrmalai</t>
  </si>
  <si>
    <t>Dalības maksa Latvijas kūrortpilsētu asociācijā</t>
  </si>
  <si>
    <t>Klimatiskās stacijas iegāde un uzstādīšana</t>
  </si>
  <si>
    <t>Kultūrvēsturisko objektu informatīvās plāksnes</t>
  </si>
  <si>
    <t>Tūrisma informatīvās ceļa norādes autotransportam</t>
  </si>
  <si>
    <t>Izglītojošs seminārs tūrisma uzņēmējiem</t>
  </si>
  <si>
    <t>Veselības dienu akcijas (Nordic walking, velo akcijas, maratoni)</t>
  </si>
  <si>
    <t>Jūrmalas fotokonkursa balvas</t>
  </si>
  <si>
    <t>Audumu apdrukas ar profiliem izstādēm uz darba semināriem</t>
  </si>
  <si>
    <t>Kultūras tūrisma produkts - Jūrmalas šaurākā vieta</t>
  </si>
  <si>
    <t>04.730</t>
  </si>
  <si>
    <t xml:space="preserve">Kopā: </t>
  </si>
  <si>
    <t>14.pielikums</t>
  </si>
</sst>
</file>

<file path=xl/styles.xml><?xml version="1.0" encoding="utf-8"?>
<styleSheet xmlns="http://schemas.openxmlformats.org/spreadsheetml/2006/main">
  <numFmts count="5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_-* #,##0\ _L_s_-;\-* #,##0\ _L_s_-;_-* &quot;-&quot;??\ _L_s_-;_-@_-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6]dddd\,\ yyyy&quot;. gada &quot;d\.\ mmmm"/>
    <numFmt numFmtId="176" formatCode="#,##0.0"/>
    <numFmt numFmtId="177" formatCode="#,##0.000"/>
    <numFmt numFmtId="178" formatCode="#,##0.0000"/>
    <numFmt numFmtId="179" formatCode="#,##0_ ;\-#,##0\ "/>
    <numFmt numFmtId="180" formatCode="#,##0.0;[Red]\-#,##0.0"/>
    <numFmt numFmtId="181" formatCode="#,##0.000;[Red]\-#,##0.000"/>
    <numFmt numFmtId="182" formatCode="#,##0.0000;[Red]\-#,##0.0000"/>
    <numFmt numFmtId="183" formatCode="_-&quot;Ls&quot;\ * #,##0.000_-;\-&quot;Ls&quot;\ * #,##0.000_-;_-&quot;Ls&quot;\ * &quot;-&quot;??_-;_-@_-"/>
    <numFmt numFmtId="184" formatCode="_-&quot;Ls&quot;\ * #,##0.0_-;\-&quot;Ls&quot;\ * #,##0.0_-;_-&quot;Ls&quot;\ * &quot;-&quot;??_-;_-@_-"/>
    <numFmt numFmtId="185" formatCode="_-&quot;Ls&quot;\ * #,##0_-;\-&quot;Ls&quot;\ * #,##0_-;_-&quot;Ls&quot;\ * &quot;-&quot;??_-;_-@_-"/>
    <numFmt numFmtId="186" formatCode="0.000"/>
    <numFmt numFmtId="187" formatCode="0.000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&quot;Ls&quot;\ #,##0_);\(&quot;Ls&quot;\ #,##0\)"/>
    <numFmt numFmtId="193" formatCode="&quot;Ls&quot;\ #,##0_);[Red]\(&quot;Ls&quot;\ #,##0\)"/>
    <numFmt numFmtId="194" formatCode="&quot;Ls&quot;\ #,##0.00_);\(&quot;Ls&quot;\ #,##0.00\)"/>
    <numFmt numFmtId="195" formatCode="&quot;Ls&quot;\ #,##0.00_);[Red]\(&quot;Ls&quot;\ #,##0.00\)"/>
    <numFmt numFmtId="196" formatCode="_(&quot;Ls&quot;\ * #,##0_);_(&quot;Ls&quot;\ * \(#,##0\);_(&quot;Ls&quot;\ * &quot;-&quot;_);_(@_)"/>
    <numFmt numFmtId="197" formatCode="_(* #,##0_);_(* \(#,##0\);_(* &quot;-&quot;_);_(@_)"/>
    <numFmt numFmtId="198" formatCode="_(&quot;Ls&quot;\ * #,##0.00_);_(&quot;Ls&quot;\ * \(#,##0.00\);_(&quot;Ls&quot;\ * &quot;-&quot;??_);_(@_)"/>
    <numFmt numFmtId="199" formatCode="_(* #,##0.00_);_(* \(#,##0.00\);_(* &quot;-&quot;??_);_(@_)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0.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%"/>
    <numFmt numFmtId="211" formatCode="mmm/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38" fontId="24" fillId="0" borderId="0" xfId="0" applyNumberFormat="1" applyFont="1" applyAlignment="1">
      <alignment horizontal="right" vertical="center"/>
    </xf>
    <xf numFmtId="40" fontId="24" fillId="0" borderId="0" xfId="0" applyNumberFormat="1" applyFont="1" applyAlignment="1">
      <alignment horizontal="right" vertical="center"/>
    </xf>
    <xf numFmtId="37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6" fillId="0" borderId="0" xfId="0" applyNumberFormat="1" applyFont="1" applyAlignment="1">
      <alignment vertical="center"/>
    </xf>
    <xf numFmtId="0" fontId="27" fillId="0" borderId="0" xfId="0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/>
    </xf>
    <xf numFmtId="38" fontId="26" fillId="0" borderId="10" xfId="0" applyNumberFormat="1" applyFont="1" applyFill="1" applyBorder="1" applyAlignment="1">
      <alignment horizontal="right" vertical="center" wrapText="1"/>
    </xf>
    <xf numFmtId="38" fontId="24" fillId="0" borderId="10" xfId="0" applyNumberFormat="1" applyFont="1" applyFill="1" applyBorder="1" applyAlignment="1">
      <alignment horizontal="right" vertical="center" wrapText="1"/>
    </xf>
    <xf numFmtId="37" fontId="24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24" fillId="0" borderId="16" xfId="0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/>
    </xf>
    <xf numFmtId="38" fontId="26" fillId="0" borderId="17" xfId="0" applyNumberFormat="1" applyFont="1" applyFill="1" applyBorder="1" applyAlignment="1">
      <alignment horizontal="right" vertical="center" wrapText="1"/>
    </xf>
    <xf numFmtId="38" fontId="24" fillId="0" borderId="17" xfId="0" applyNumberFormat="1" applyFont="1" applyFill="1" applyBorder="1" applyAlignment="1">
      <alignment horizontal="right" vertical="center" wrapText="1"/>
    </xf>
    <xf numFmtId="37" fontId="24" fillId="0" borderId="17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 wrapText="1"/>
    </xf>
    <xf numFmtId="38" fontId="26" fillId="0" borderId="14" xfId="0" applyNumberFormat="1" applyFont="1" applyFill="1" applyBorder="1" applyAlignment="1">
      <alignment horizontal="right" vertical="center" wrapText="1"/>
    </xf>
    <xf numFmtId="38" fontId="24" fillId="0" borderId="14" xfId="0" applyNumberFormat="1" applyFont="1" applyFill="1" applyBorder="1" applyAlignment="1">
      <alignment horizontal="right" vertical="center" wrapText="1"/>
    </xf>
    <xf numFmtId="37" fontId="24" fillId="0" borderId="14" xfId="0" applyNumberFormat="1" applyFont="1" applyFill="1" applyBorder="1" applyAlignment="1">
      <alignment horizontal="right" vertical="center" wrapText="1"/>
    </xf>
    <xf numFmtId="40" fontId="24" fillId="0" borderId="10" xfId="0" applyNumberFormat="1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right" vertical="center"/>
    </xf>
    <xf numFmtId="0" fontId="24" fillId="0" borderId="14" xfId="0" applyNumberFormat="1" applyFont="1" applyFill="1" applyBorder="1" applyAlignment="1">
      <alignment horizontal="right" vertical="center" wrapText="1"/>
    </xf>
    <xf numFmtId="1" fontId="24" fillId="0" borderId="14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right" vertical="center" wrapText="1"/>
    </xf>
    <xf numFmtId="38" fontId="24" fillId="0" borderId="16" xfId="0" applyNumberFormat="1" applyFont="1" applyFill="1" applyBorder="1" applyAlignment="1">
      <alignment horizontal="right" vertical="center" wrapText="1"/>
    </xf>
    <xf numFmtId="37" fontId="24" fillId="0" borderId="16" xfId="0" applyNumberFormat="1" applyFont="1" applyFill="1" applyBorder="1" applyAlignment="1">
      <alignment horizontal="right" vertical="center" wrapText="1"/>
    </xf>
    <xf numFmtId="1" fontId="24" fillId="0" borderId="16" xfId="0" applyNumberFormat="1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right" vertical="center"/>
    </xf>
    <xf numFmtId="38" fontId="24" fillId="0" borderId="15" xfId="0" applyNumberFormat="1" applyFont="1" applyFill="1" applyBorder="1" applyAlignment="1">
      <alignment horizontal="right" vertical="center" wrapText="1"/>
    </xf>
    <xf numFmtId="37" fontId="24" fillId="0" borderId="15" xfId="0" applyNumberFormat="1" applyFont="1" applyFill="1" applyBorder="1" applyAlignment="1">
      <alignment horizontal="right" vertical="center" wrapText="1"/>
    </xf>
    <xf numFmtId="1" fontId="24" fillId="0" borderId="17" xfId="0" applyNumberFormat="1" applyFont="1" applyFill="1" applyBorder="1" applyAlignment="1">
      <alignment horizontal="right" vertical="center" wrapText="1"/>
    </xf>
    <xf numFmtId="38" fontId="24" fillId="0" borderId="18" xfId="0" applyNumberFormat="1" applyFont="1" applyFill="1" applyBorder="1" applyAlignment="1">
      <alignment horizontal="right" vertical="center" wrapText="1"/>
    </xf>
    <xf numFmtId="1" fontId="24" fillId="0" borderId="15" xfId="0" applyNumberFormat="1" applyFont="1" applyFill="1" applyBorder="1" applyAlignment="1">
      <alignment horizontal="right" vertical="center" wrapText="1"/>
    </xf>
    <xf numFmtId="40" fontId="24" fillId="0" borderId="17" xfId="0" applyNumberFormat="1" applyFont="1" applyFill="1" applyBorder="1" applyAlignment="1">
      <alignment horizontal="right" vertical="center" wrapText="1"/>
    </xf>
    <xf numFmtId="0" fontId="24" fillId="0" borderId="19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/>
    </xf>
    <xf numFmtId="38" fontId="26" fillId="0" borderId="18" xfId="0" applyNumberFormat="1" applyFont="1" applyFill="1" applyBorder="1" applyAlignment="1">
      <alignment horizontal="right" vertical="center" wrapText="1"/>
    </xf>
    <xf numFmtId="37" fontId="24" fillId="0" borderId="18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/>
    </xf>
    <xf numFmtId="38" fontId="26" fillId="0" borderId="15" xfId="0" applyNumberFormat="1" applyFont="1" applyFill="1" applyBorder="1" applyAlignment="1">
      <alignment horizontal="right" vertical="center" wrapText="1"/>
    </xf>
    <xf numFmtId="0" fontId="24" fillId="0" borderId="14" xfId="0" applyFont="1" applyBorder="1" applyAlignment="1">
      <alignment horizontal="right" vertical="center" wrapText="1"/>
    </xf>
    <xf numFmtId="38" fontId="26" fillId="0" borderId="14" xfId="0" applyNumberFormat="1" applyFont="1" applyBorder="1" applyAlignment="1">
      <alignment horizontal="right" vertical="center" wrapText="1"/>
    </xf>
    <xf numFmtId="38" fontId="24" fillId="0" borderId="14" xfId="0" applyNumberFormat="1" applyFont="1" applyBorder="1" applyAlignment="1">
      <alignment horizontal="right" vertical="center" wrapText="1"/>
    </xf>
    <xf numFmtId="37" fontId="24" fillId="0" borderId="14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38" fontId="26" fillId="0" borderId="10" xfId="0" applyNumberFormat="1" applyFont="1" applyBorder="1" applyAlignment="1">
      <alignment horizontal="right" vertical="center" wrapText="1"/>
    </xf>
    <xf numFmtId="38" fontId="24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37" fontId="24" fillId="0" borderId="10" xfId="0" applyNumberFormat="1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center" wrapText="1"/>
    </xf>
    <xf numFmtId="38" fontId="24" fillId="0" borderId="17" xfId="0" applyNumberFormat="1" applyFont="1" applyBorder="1" applyAlignment="1">
      <alignment horizontal="right" vertical="center" wrapText="1"/>
    </xf>
    <xf numFmtId="37" fontId="24" fillId="0" borderId="17" xfId="0" applyNumberFormat="1" applyFont="1" applyBorder="1" applyAlignment="1">
      <alignment horizontal="right" vertical="center" wrapText="1"/>
    </xf>
    <xf numFmtId="2" fontId="24" fillId="0" borderId="14" xfId="0" applyNumberFormat="1" applyFont="1" applyBorder="1" applyAlignment="1">
      <alignment horizontal="right" vertical="center" wrapText="1"/>
    </xf>
    <xf numFmtId="40" fontId="24" fillId="0" borderId="14" xfId="0" applyNumberFormat="1" applyFont="1" applyBorder="1" applyAlignment="1">
      <alignment horizontal="right" vertical="center" wrapText="1"/>
    </xf>
    <xf numFmtId="0" fontId="24" fillId="0" borderId="16" xfId="0" applyNumberFormat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vertical="center"/>
    </xf>
    <xf numFmtId="0" fontId="24" fillId="0" borderId="19" xfId="0" applyFont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right" vertical="center" wrapText="1"/>
    </xf>
    <xf numFmtId="1" fontId="24" fillId="0" borderId="19" xfId="0" applyNumberFormat="1" applyFont="1" applyFill="1" applyBorder="1" applyAlignment="1">
      <alignment horizontal="right" vertical="center" wrapText="1"/>
    </xf>
    <xf numFmtId="38" fontId="26" fillId="0" borderId="19" xfId="0" applyNumberFormat="1" applyFont="1" applyFill="1" applyBorder="1" applyAlignment="1">
      <alignment horizontal="right" vertical="center" wrapText="1"/>
    </xf>
    <xf numFmtId="38" fontId="24" fillId="0" borderId="19" xfId="0" applyNumberFormat="1" applyFont="1" applyBorder="1" applyAlignment="1">
      <alignment horizontal="right" vertical="center" wrapText="1"/>
    </xf>
    <xf numFmtId="38" fontId="24" fillId="0" borderId="19" xfId="0" applyNumberFormat="1" applyFont="1" applyFill="1" applyBorder="1" applyAlignment="1">
      <alignment horizontal="right" vertical="center" wrapText="1"/>
    </xf>
    <xf numFmtId="37" fontId="24" fillId="0" borderId="19" xfId="0" applyNumberFormat="1" applyFont="1" applyBorder="1" applyAlignment="1">
      <alignment horizontal="right" vertical="center" wrapText="1"/>
    </xf>
    <xf numFmtId="0" fontId="24" fillId="0" borderId="0" xfId="0" applyFont="1" applyFill="1" applyAlignment="1">
      <alignment horizontal="right"/>
    </xf>
    <xf numFmtId="1" fontId="24" fillId="0" borderId="14" xfId="0" applyNumberFormat="1" applyFont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1" fontId="24" fillId="0" borderId="10" xfId="0" applyNumberFormat="1" applyFont="1" applyBorder="1" applyAlignment="1">
      <alignment horizontal="right" vertical="center" wrapText="1"/>
    </xf>
    <xf numFmtId="38" fontId="26" fillId="0" borderId="15" xfId="0" applyNumberFormat="1" applyFont="1" applyBorder="1" applyAlignment="1">
      <alignment horizontal="right" vertical="center" wrapText="1"/>
    </xf>
    <xf numFmtId="38" fontId="24" fillId="0" borderId="15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38" fontId="24" fillId="0" borderId="10" xfId="0" applyNumberFormat="1" applyFont="1" applyFill="1" applyBorder="1" applyAlignment="1">
      <alignment horizontal="right" vertical="center"/>
    </xf>
    <xf numFmtId="37" fontId="24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3" fontId="24" fillId="0" borderId="10" xfId="0" applyNumberFormat="1" applyFont="1" applyFill="1" applyBorder="1" applyAlignment="1">
      <alignment horizontal="right" vertical="center"/>
    </xf>
    <xf numFmtId="0" fontId="24" fillId="0" borderId="20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right" vertical="center"/>
    </xf>
    <xf numFmtId="3" fontId="24" fillId="0" borderId="21" xfId="0" applyNumberFormat="1" applyFont="1" applyFill="1" applyBorder="1" applyAlignment="1">
      <alignment horizontal="right" vertical="center" wrapText="1"/>
    </xf>
    <xf numFmtId="38" fontId="26" fillId="0" borderId="21" xfId="0" applyNumberFormat="1" applyFont="1" applyFill="1" applyBorder="1" applyAlignment="1">
      <alignment horizontal="right" vertical="center" wrapText="1"/>
    </xf>
    <xf numFmtId="38" fontId="24" fillId="0" borderId="21" xfId="0" applyNumberFormat="1" applyFont="1" applyFill="1" applyBorder="1" applyAlignment="1">
      <alignment horizontal="right" vertical="center" wrapText="1"/>
    </xf>
    <xf numFmtId="37" fontId="24" fillId="0" borderId="21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wrapText="1"/>
    </xf>
    <xf numFmtId="38" fontId="24" fillId="0" borderId="0" xfId="0" applyNumberFormat="1" applyFont="1" applyFill="1" applyBorder="1" applyAlignment="1">
      <alignment horizontal="right" vertical="center" wrapText="1"/>
    </xf>
    <xf numFmtId="37" fontId="24" fillId="0" borderId="0" xfId="0" applyNumberFormat="1" applyFont="1" applyFill="1" applyBorder="1" applyAlignment="1">
      <alignment horizontal="right" vertical="center" wrapText="1"/>
    </xf>
    <xf numFmtId="40" fontId="24" fillId="0" borderId="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8" fontId="24" fillId="0" borderId="0" xfId="0" applyNumberFormat="1" applyFont="1" applyFill="1" applyBorder="1" applyAlignment="1">
      <alignment horizontal="right" vertical="center"/>
    </xf>
    <xf numFmtId="40" fontId="24" fillId="0" borderId="0" xfId="0" applyNumberFormat="1" applyFont="1" applyFill="1" applyBorder="1" applyAlignment="1">
      <alignment horizontal="right" vertical="center"/>
    </xf>
    <xf numFmtId="37" fontId="24" fillId="0" borderId="0" xfId="0" applyNumberFormat="1" applyFont="1" applyFill="1" applyBorder="1" applyAlignment="1">
      <alignment horizontal="right" vertical="center"/>
    </xf>
    <xf numFmtId="49" fontId="28" fillId="0" borderId="0" xfId="0" applyNumberFormat="1" applyFont="1" applyAlignment="1">
      <alignment vertical="center"/>
    </xf>
    <xf numFmtId="0" fontId="24" fillId="0" borderId="0" xfId="0" applyFont="1" applyFill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0" fontId="24" fillId="17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40" fontId="26" fillId="0" borderId="10" xfId="0" applyNumberFormat="1" applyFont="1" applyBorder="1" applyAlignment="1">
      <alignment horizontal="right" vertical="center"/>
    </xf>
    <xf numFmtId="38" fontId="24" fillId="0" borderId="10" xfId="0" applyNumberFormat="1" applyFont="1" applyBorder="1" applyAlignment="1">
      <alignment horizontal="right" vertical="center"/>
    </xf>
    <xf numFmtId="37" fontId="24" fillId="0" borderId="10" xfId="0" applyNumberFormat="1" applyFont="1" applyBorder="1" applyAlignment="1">
      <alignment horizontal="right" vertical="center"/>
    </xf>
    <xf numFmtId="0" fontId="24" fillId="24" borderId="10" xfId="0" applyFont="1" applyFill="1" applyBorder="1" applyAlignment="1">
      <alignment horizontal="right" vertical="center"/>
    </xf>
    <xf numFmtId="0" fontId="24" fillId="20" borderId="10" xfId="0" applyFont="1" applyFill="1" applyBorder="1" applyAlignment="1">
      <alignment horizontal="right" vertical="center"/>
    </xf>
    <xf numFmtId="0" fontId="24" fillId="10" borderId="10" xfId="0" applyFont="1" applyFill="1" applyBorder="1" applyAlignment="1">
      <alignment horizontal="right" vertical="center"/>
    </xf>
    <xf numFmtId="0" fontId="24" fillId="11" borderId="10" xfId="0" applyFont="1" applyFill="1" applyBorder="1" applyAlignment="1">
      <alignment horizontal="right" vertical="center"/>
    </xf>
    <xf numFmtId="0" fontId="24" fillId="25" borderId="10" xfId="0" applyFont="1" applyFill="1" applyBorder="1" applyAlignment="1">
      <alignment horizontal="right" vertical="center"/>
    </xf>
    <xf numFmtId="40" fontId="26" fillId="0" borderId="10" xfId="0" applyNumberFormat="1" applyFont="1" applyFill="1" applyBorder="1" applyAlignment="1">
      <alignment horizontal="right" vertical="center"/>
    </xf>
    <xf numFmtId="0" fontId="24" fillId="26" borderId="10" xfId="0" applyFont="1" applyFill="1" applyBorder="1" applyAlignment="1">
      <alignment horizontal="right" vertical="center"/>
    </xf>
    <xf numFmtId="0" fontId="24" fillId="5" borderId="10" xfId="0" applyFont="1" applyFill="1" applyBorder="1" applyAlignment="1">
      <alignment horizontal="right" vertical="center"/>
    </xf>
    <xf numFmtId="0" fontId="24" fillId="8" borderId="10" xfId="0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0" fontId="24" fillId="14" borderId="10" xfId="0" applyFont="1" applyFill="1" applyBorder="1" applyAlignment="1">
      <alignment horizontal="right" vertical="center"/>
    </xf>
    <xf numFmtId="0" fontId="24" fillId="3" borderId="10" xfId="0" applyFont="1" applyFill="1" applyBorder="1" applyAlignment="1">
      <alignment horizontal="right" vertical="center"/>
    </xf>
    <xf numFmtId="1" fontId="26" fillId="0" borderId="10" xfId="0" applyNumberFormat="1" applyFont="1" applyFill="1" applyBorder="1" applyAlignment="1">
      <alignment horizontal="right" vertical="center"/>
    </xf>
    <xf numFmtId="1" fontId="26" fillId="0" borderId="10" xfId="0" applyNumberFormat="1" applyFont="1" applyBorder="1" applyAlignment="1">
      <alignment horizontal="right" vertical="center"/>
    </xf>
    <xf numFmtId="38" fontId="26" fillId="0" borderId="10" xfId="0" applyNumberFormat="1" applyFont="1" applyFill="1" applyBorder="1" applyAlignment="1">
      <alignment horizontal="right" vertical="center"/>
    </xf>
    <xf numFmtId="37" fontId="26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right" vertical="center" wrapText="1"/>
    </xf>
    <xf numFmtId="0" fontId="26" fillId="0" borderId="19" xfId="0" applyFont="1" applyFill="1" applyBorder="1" applyAlignment="1">
      <alignment horizontal="left" vertical="center" wrapText="1"/>
    </xf>
    <xf numFmtId="3" fontId="26" fillId="0" borderId="19" xfId="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horizontal="right" vertical="center"/>
    </xf>
    <xf numFmtId="38" fontId="26" fillId="0" borderId="19" xfId="0" applyNumberFormat="1" applyFont="1" applyFill="1" applyBorder="1" applyAlignment="1">
      <alignment horizontal="right" vertical="center"/>
    </xf>
    <xf numFmtId="3" fontId="26" fillId="0" borderId="23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horizontal="right" vertical="center"/>
    </xf>
    <xf numFmtId="38" fontId="26" fillId="0" borderId="14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1" fontId="26" fillId="0" borderId="10" xfId="0" applyNumberFormat="1" applyFont="1" applyFill="1" applyBorder="1" applyAlignment="1">
      <alignment vertical="center"/>
    </xf>
    <xf numFmtId="38" fontId="31" fillId="0" borderId="0" xfId="0" applyNumberFormat="1" applyFont="1" applyAlignment="1">
      <alignment horizontal="right" vertical="center"/>
    </xf>
    <xf numFmtId="3" fontId="24" fillId="0" borderId="15" xfId="0" applyNumberFormat="1" applyFont="1" applyFill="1" applyBorder="1" applyAlignment="1">
      <alignment horizontal="right" vertical="center" wrapText="1"/>
    </xf>
    <xf numFmtId="3" fontId="24" fillId="0" borderId="14" xfId="0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 wrapText="1"/>
    </xf>
    <xf numFmtId="40" fontId="32" fillId="0" borderId="0" xfId="0" applyNumberFormat="1" applyFont="1" applyAlignment="1">
      <alignment horizontal="right" vertical="center"/>
    </xf>
    <xf numFmtId="0" fontId="24" fillId="0" borderId="13" xfId="0" applyFont="1" applyBorder="1" applyAlignment="1">
      <alignment horizontal="center" vertical="center" wrapText="1"/>
    </xf>
    <xf numFmtId="38" fontId="24" fillId="0" borderId="10" xfId="0" applyNumberFormat="1" applyFont="1" applyFill="1" applyBorder="1" applyAlignment="1">
      <alignment horizontal="right" vertical="center" wrapText="1"/>
    </xf>
    <xf numFmtId="38" fontId="26" fillId="0" borderId="15" xfId="0" applyNumberFormat="1" applyFont="1" applyFill="1" applyBorder="1" applyAlignment="1">
      <alignment horizontal="right" vertical="center" wrapText="1"/>
    </xf>
    <xf numFmtId="38" fontId="26" fillId="0" borderId="16" xfId="0" applyNumberFormat="1" applyFont="1" applyFill="1" applyBorder="1" applyAlignment="1">
      <alignment horizontal="right" vertical="center" wrapText="1"/>
    </xf>
    <xf numFmtId="38" fontId="26" fillId="0" borderId="14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right" vertical="center"/>
    </xf>
    <xf numFmtId="3" fontId="24" fillId="0" borderId="16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horizontal="right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38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3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right" vertical="center" wrapText="1"/>
    </xf>
    <xf numFmtId="0" fontId="24" fillId="0" borderId="15" xfId="0" applyNumberFormat="1" applyFont="1" applyFill="1" applyBorder="1" applyAlignment="1">
      <alignment horizontal="right" vertical="center" wrapText="1"/>
    </xf>
    <xf numFmtId="0" fontId="24" fillId="0" borderId="17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0" fontId="24" fillId="0" borderId="23" xfId="0" applyFont="1" applyFill="1" applyBorder="1" applyAlignment="1">
      <alignment horizontal="right" vertical="center" wrapText="1"/>
    </xf>
    <xf numFmtId="0" fontId="24" fillId="0" borderId="14" xfId="0" applyNumberFormat="1" applyFont="1" applyFill="1" applyBorder="1" applyAlignment="1">
      <alignment horizontal="right" vertical="center" wrapText="1"/>
    </xf>
    <xf numFmtId="0" fontId="24" fillId="0" borderId="14" xfId="0" applyNumberFormat="1" applyFont="1" applyFill="1" applyBorder="1" applyAlignment="1">
      <alignment horizontal="right" vertical="center"/>
    </xf>
    <xf numFmtId="0" fontId="24" fillId="0" borderId="10" xfId="0" applyNumberFormat="1" applyFont="1" applyFill="1" applyBorder="1" applyAlignment="1">
      <alignment horizontal="right" vertical="center"/>
    </xf>
    <xf numFmtId="0" fontId="24" fillId="0" borderId="15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left" vertical="center"/>
    </xf>
    <xf numFmtId="0" fontId="24" fillId="0" borderId="23" xfId="0" applyNumberFormat="1" applyFont="1" applyFill="1" applyBorder="1" applyAlignment="1">
      <alignment horizontal="right" vertical="center"/>
    </xf>
    <xf numFmtId="0" fontId="24" fillId="0" borderId="17" xfId="0" applyNumberFormat="1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right" vertical="center" wrapText="1"/>
    </xf>
    <xf numFmtId="0" fontId="24" fillId="0" borderId="14" xfId="0" applyFont="1" applyBorder="1" applyAlignment="1">
      <alignment horizontal="right" vertical="center" wrapText="1"/>
    </xf>
    <xf numFmtId="0" fontId="24" fillId="0" borderId="10" xfId="0" applyFont="1" applyFill="1" applyBorder="1" applyAlignment="1">
      <alignment vertical="center"/>
    </xf>
    <xf numFmtId="0" fontId="24" fillId="0" borderId="16" xfId="0" applyFont="1" applyBorder="1" applyAlignment="1">
      <alignment horizontal="right" vertical="center" wrapText="1"/>
    </xf>
    <xf numFmtId="0" fontId="24" fillId="0" borderId="30" xfId="0" applyFont="1" applyBorder="1" applyAlignment="1">
      <alignment horizontal="right" vertical="center" wrapText="1"/>
    </xf>
    <xf numFmtId="3" fontId="24" fillId="0" borderId="30" xfId="0" applyNumberFormat="1" applyFont="1" applyFill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38" fontId="24" fillId="0" borderId="30" xfId="0" applyNumberFormat="1" applyFont="1" applyFill="1" applyBorder="1" applyAlignment="1">
      <alignment horizontal="right" vertical="center" wrapText="1"/>
    </xf>
    <xf numFmtId="38" fontId="24" fillId="0" borderId="14" xfId="0" applyNumberFormat="1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horizontal="right" vertical="center"/>
    </xf>
    <xf numFmtId="38" fontId="24" fillId="0" borderId="14" xfId="0" applyNumberFormat="1" applyFont="1" applyFill="1" applyBorder="1" applyAlignment="1">
      <alignment horizontal="right" vertical="center" wrapText="1"/>
    </xf>
    <xf numFmtId="0" fontId="24" fillId="0" borderId="18" xfId="0" applyFont="1" applyBorder="1" applyAlignment="1">
      <alignment horizontal="right" vertical="center" wrapText="1"/>
    </xf>
    <xf numFmtId="37" fontId="24" fillId="0" borderId="15" xfId="0" applyNumberFormat="1" applyFont="1" applyBorder="1" applyAlignment="1">
      <alignment horizontal="center" vertical="center" wrapText="1"/>
    </xf>
    <xf numFmtId="37" fontId="24" fillId="0" borderId="16" xfId="0" applyNumberFormat="1" applyFont="1" applyBorder="1" applyAlignment="1">
      <alignment horizontal="center" vertical="center" wrapText="1"/>
    </xf>
    <xf numFmtId="37" fontId="24" fillId="0" borderId="14" xfId="0" applyNumberFormat="1" applyFont="1" applyBorder="1" applyAlignment="1">
      <alignment horizontal="center" vertical="center" wrapText="1"/>
    </xf>
    <xf numFmtId="38" fontId="24" fillId="0" borderId="15" xfId="0" applyNumberFormat="1" applyFont="1" applyBorder="1" applyAlignment="1">
      <alignment horizontal="center" vertical="center" wrapText="1"/>
    </xf>
    <xf numFmtId="38" fontId="24" fillId="0" borderId="16" xfId="0" applyNumberFormat="1" applyFont="1" applyBorder="1" applyAlignment="1">
      <alignment horizontal="center" vertical="center" wrapText="1"/>
    </xf>
    <xf numFmtId="38" fontId="24" fillId="0" borderId="14" xfId="0" applyNumberFormat="1" applyFont="1" applyBorder="1" applyAlignment="1">
      <alignment horizontal="center" vertical="center" wrapText="1"/>
    </xf>
    <xf numFmtId="40" fontId="24" fillId="0" borderId="15" xfId="0" applyNumberFormat="1" applyFont="1" applyBorder="1" applyAlignment="1">
      <alignment horizontal="center" vertical="center" wrapText="1"/>
    </xf>
    <xf numFmtId="40" fontId="24" fillId="0" borderId="16" xfId="0" applyNumberFormat="1" applyFont="1" applyBorder="1" applyAlignment="1">
      <alignment horizontal="center" vertical="center" wrapText="1"/>
    </xf>
    <xf numFmtId="40" fontId="24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0"/>
  <sheetViews>
    <sheetView tabSelected="1" zoomScale="99" zoomScaleNormal="99" workbookViewId="0" topLeftCell="A1">
      <selection activeCell="Z5" sqref="Z5"/>
    </sheetView>
  </sheetViews>
  <sheetFormatPr defaultColWidth="9.140625" defaultRowHeight="12.75"/>
  <cols>
    <col min="1" max="1" width="3.140625" style="1" customWidth="1"/>
    <col min="2" max="2" width="27.421875" style="2" customWidth="1"/>
    <col min="3" max="3" width="9.57421875" style="2" hidden="1" customWidth="1"/>
    <col min="4" max="4" width="9.140625" style="2" hidden="1" customWidth="1"/>
    <col min="5" max="5" width="8.57421875" style="2" hidden="1" customWidth="1"/>
    <col min="6" max="6" width="10.28125" style="2" hidden="1" customWidth="1"/>
    <col min="7" max="7" width="6.57421875" style="3" bestFit="1" customWidth="1"/>
    <col min="8" max="8" width="5.8515625" style="3" bestFit="1" customWidth="1"/>
    <col min="9" max="9" width="7.7109375" style="3" bestFit="1" customWidth="1"/>
    <col min="10" max="10" width="5.7109375" style="4" hidden="1" customWidth="1"/>
    <col min="11" max="11" width="5.28125" style="4" hidden="1" customWidth="1"/>
    <col min="12" max="12" width="6.421875" style="4" hidden="1" customWidth="1"/>
    <col min="13" max="13" width="4.8515625" style="4" hidden="1" customWidth="1"/>
    <col min="14" max="14" width="7.140625" style="3" hidden="1" customWidth="1"/>
    <col min="15" max="15" width="6.7109375" style="3" hidden="1" customWidth="1"/>
    <col min="16" max="16" width="5.7109375" style="3" hidden="1" customWidth="1"/>
    <col min="17" max="17" width="3.7109375" style="3" hidden="1" customWidth="1"/>
    <col min="18" max="18" width="2.7109375" style="3" hidden="1" customWidth="1"/>
    <col min="19" max="19" width="2.140625" style="3" hidden="1" customWidth="1"/>
    <col min="20" max="20" width="2.7109375" style="3" hidden="1" customWidth="1"/>
    <col min="21" max="21" width="3.28125" style="3" hidden="1" customWidth="1"/>
    <col min="22" max="22" width="8.140625" style="5" bestFit="1" customWidth="1"/>
    <col min="23" max="23" width="6.28125" style="5" customWidth="1"/>
    <col min="24" max="24" width="6.7109375" style="5" customWidth="1"/>
    <col min="25" max="25" width="7.140625" style="6" bestFit="1" customWidth="1"/>
    <col min="26" max="26" width="9.7109375" style="7" customWidth="1"/>
    <col min="27" max="16384" width="9.140625" style="8" customWidth="1"/>
  </cols>
  <sheetData>
    <row r="1" spans="24:25" ht="12.75" customHeight="1">
      <c r="X1" s="162"/>
      <c r="Y1" s="172" t="s">
        <v>110</v>
      </c>
    </row>
    <row r="2" ht="11.25">
      <c r="A2" s="1" t="s">
        <v>0</v>
      </c>
    </row>
    <row r="3" spans="2:3" ht="12.75" customHeight="1">
      <c r="B3" s="9"/>
      <c r="C3" s="9"/>
    </row>
    <row r="4" ht="11.25">
      <c r="A4" s="10" t="s">
        <v>1</v>
      </c>
    </row>
    <row r="5" ht="12.75" customHeight="1">
      <c r="H5" s="11" t="s">
        <v>2</v>
      </c>
    </row>
    <row r="6" ht="11.25">
      <c r="A6" s="1" t="s">
        <v>3</v>
      </c>
    </row>
    <row r="7" spans="2:26" ht="12.75" customHeight="1">
      <c r="B7" s="2" t="s">
        <v>4</v>
      </c>
      <c r="F7" s="12"/>
      <c r="G7" s="13"/>
      <c r="H7" s="13"/>
      <c r="Z7" s="7" t="s">
        <v>5</v>
      </c>
    </row>
    <row r="8" spans="1:26" ht="12.75" customHeight="1">
      <c r="A8" s="169" t="s">
        <v>6</v>
      </c>
      <c r="B8" s="170" t="s">
        <v>7</v>
      </c>
      <c r="C8" s="196" t="s">
        <v>8</v>
      </c>
      <c r="D8" s="197"/>
      <c r="E8" s="197"/>
      <c r="F8" s="173"/>
      <c r="G8" s="186" t="s">
        <v>9</v>
      </c>
      <c r="H8" s="187"/>
      <c r="I8" s="192" t="s">
        <v>10</v>
      </c>
      <c r="J8" s="196" t="s">
        <v>11</v>
      </c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73"/>
      <c r="W8" s="250" t="s">
        <v>12</v>
      </c>
      <c r="X8" s="250" t="s">
        <v>13</v>
      </c>
      <c r="Y8" s="253" t="s">
        <v>14</v>
      </c>
      <c r="Z8" s="247" t="s">
        <v>15</v>
      </c>
    </row>
    <row r="9" spans="1:26" ht="12.75" customHeight="1">
      <c r="A9" s="169"/>
      <c r="B9" s="170"/>
      <c r="C9" s="15"/>
      <c r="D9" s="16"/>
      <c r="E9" s="16"/>
      <c r="F9" s="17"/>
      <c r="G9" s="188"/>
      <c r="H9" s="189"/>
      <c r="I9" s="193"/>
      <c r="J9" s="196" t="s">
        <v>16</v>
      </c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73"/>
      <c r="V9" s="195" t="s">
        <v>17</v>
      </c>
      <c r="W9" s="251"/>
      <c r="X9" s="251"/>
      <c r="Y9" s="254"/>
      <c r="Z9" s="248"/>
    </row>
    <row r="10" spans="1:26" ht="14.25" customHeight="1">
      <c r="A10" s="169"/>
      <c r="B10" s="170"/>
      <c r="C10" s="14" t="s">
        <v>18</v>
      </c>
      <c r="D10" s="14" t="s">
        <v>19</v>
      </c>
      <c r="E10" s="14" t="s">
        <v>20</v>
      </c>
      <c r="F10" s="14" t="s">
        <v>21</v>
      </c>
      <c r="G10" s="190"/>
      <c r="H10" s="191"/>
      <c r="I10" s="194"/>
      <c r="J10" s="19" t="s">
        <v>22</v>
      </c>
      <c r="K10" s="19" t="s">
        <v>23</v>
      </c>
      <c r="L10" s="19" t="s">
        <v>24</v>
      </c>
      <c r="M10" s="19" t="s">
        <v>25</v>
      </c>
      <c r="N10" s="14" t="s">
        <v>26</v>
      </c>
      <c r="O10" s="14" t="s">
        <v>27</v>
      </c>
      <c r="P10" s="14" t="s">
        <v>28</v>
      </c>
      <c r="Q10" s="14" t="s">
        <v>29</v>
      </c>
      <c r="R10" s="14" t="s">
        <v>30</v>
      </c>
      <c r="S10" s="14" t="s">
        <v>31</v>
      </c>
      <c r="T10" s="14" t="s">
        <v>32</v>
      </c>
      <c r="U10" s="15" t="s">
        <v>33</v>
      </c>
      <c r="V10" s="195"/>
      <c r="W10" s="252"/>
      <c r="X10" s="252"/>
      <c r="Y10" s="255"/>
      <c r="Z10" s="249"/>
    </row>
    <row r="11" spans="1:26" ht="12.75">
      <c r="A11" s="208" t="s">
        <v>34</v>
      </c>
      <c r="B11" s="208"/>
      <c r="C11" s="149">
        <f>C12+C44+C67+C83+C87</f>
        <v>159496</v>
      </c>
      <c r="D11" s="149">
        <f>D12+D44+D67+D83+D87</f>
        <v>152838</v>
      </c>
      <c r="E11" s="149">
        <f>E12+E44+E67+E83+E87</f>
        <v>149597.77000000002</v>
      </c>
      <c r="F11" s="149">
        <f>F12+F44+F67+F83+F87</f>
        <v>142247.21</v>
      </c>
      <c r="G11" s="149">
        <f>G12+G44+G67+G83+G87</f>
        <v>104731</v>
      </c>
      <c r="H11" s="148"/>
      <c r="I11" s="149">
        <f aca="true" t="shared" si="0" ref="I11:Z11">I12+I44+I67+I83+I87</f>
        <v>105524</v>
      </c>
      <c r="J11" s="149">
        <f t="shared" si="0"/>
        <v>9207.32</v>
      </c>
      <c r="K11" s="149">
        <f t="shared" si="0"/>
        <v>6450.75</v>
      </c>
      <c r="L11" s="149">
        <f t="shared" si="0"/>
        <v>32569.77</v>
      </c>
      <c r="M11" s="149">
        <f t="shared" si="0"/>
        <v>4057.41</v>
      </c>
      <c r="N11" s="149">
        <f t="shared" si="0"/>
        <v>17976.67</v>
      </c>
      <c r="O11" s="149">
        <f t="shared" si="0"/>
        <v>102</v>
      </c>
      <c r="P11" s="149">
        <f t="shared" si="0"/>
        <v>8798.669999999998</v>
      </c>
      <c r="Q11" s="149">
        <f t="shared" si="0"/>
        <v>877.25</v>
      </c>
      <c r="R11" s="149">
        <f t="shared" si="0"/>
        <v>0</v>
      </c>
      <c r="S11" s="149">
        <f t="shared" si="0"/>
        <v>0</v>
      </c>
      <c r="T11" s="149">
        <f t="shared" si="0"/>
        <v>0</v>
      </c>
      <c r="U11" s="149">
        <f t="shared" si="0"/>
        <v>0</v>
      </c>
      <c r="V11" s="149">
        <f t="shared" si="0"/>
        <v>80039.84000000001</v>
      </c>
      <c r="W11" s="23">
        <f t="shared" si="0"/>
        <v>24691.16</v>
      </c>
      <c r="X11" s="23">
        <f t="shared" si="0"/>
        <v>2986.53</v>
      </c>
      <c r="Y11" s="23">
        <f t="shared" si="0"/>
        <v>21704.63</v>
      </c>
      <c r="Z11" s="23">
        <f t="shared" si="0"/>
        <v>-14878</v>
      </c>
    </row>
    <row r="12" spans="1:26" ht="21">
      <c r="A12" s="148" t="s">
        <v>22</v>
      </c>
      <c r="B12" s="150" t="s">
        <v>35</v>
      </c>
      <c r="C12" s="149">
        <f>SUM(C13:C43)</f>
        <v>17170</v>
      </c>
      <c r="D12" s="149">
        <f>SUM(D13:D43)</f>
        <v>16697</v>
      </c>
      <c r="E12" s="149">
        <f>SUM(E13:E43)</f>
        <v>16695</v>
      </c>
      <c r="F12" s="149">
        <f>SUM(F13:F43)</f>
        <v>20978</v>
      </c>
      <c r="G12" s="149">
        <f>SUM(G13:G43)</f>
        <v>18585</v>
      </c>
      <c r="H12" s="148" t="s">
        <v>36</v>
      </c>
      <c r="I12" s="149">
        <f>SUM(I13:I43)</f>
        <v>18585</v>
      </c>
      <c r="J12" s="149">
        <f>SUM(J13:J43)</f>
        <v>8080.28</v>
      </c>
      <c r="K12" s="149">
        <f>SUM(K13:K43)</f>
        <v>4184.96</v>
      </c>
      <c r="L12" s="149">
        <f>SUM(L13:L43)</f>
        <v>5066.3</v>
      </c>
      <c r="M12" s="149">
        <f>SUM(M13:M43)</f>
        <v>406.32</v>
      </c>
      <c r="N12" s="149">
        <f aca="true" t="shared" si="1" ref="N12:V12">SUM(N13:N43)</f>
        <v>-1040.01</v>
      </c>
      <c r="O12" s="149">
        <f t="shared" si="1"/>
        <v>0</v>
      </c>
      <c r="P12" s="149">
        <f t="shared" si="1"/>
        <v>1026.48</v>
      </c>
      <c r="Q12" s="149">
        <f t="shared" si="1"/>
        <v>0</v>
      </c>
      <c r="R12" s="149">
        <f t="shared" si="1"/>
        <v>0</v>
      </c>
      <c r="S12" s="149">
        <f t="shared" si="1"/>
        <v>0</v>
      </c>
      <c r="T12" s="149">
        <f t="shared" si="1"/>
        <v>0</v>
      </c>
      <c r="U12" s="149">
        <f t="shared" si="1"/>
        <v>0</v>
      </c>
      <c r="V12" s="149">
        <f t="shared" si="1"/>
        <v>17724.330000000005</v>
      </c>
      <c r="W12" s="23">
        <f>SUM(W13:W43)</f>
        <v>860.6700000000001</v>
      </c>
      <c r="X12" s="23">
        <f>SUM(X13:X43)</f>
        <v>0</v>
      </c>
      <c r="Y12" s="23">
        <f>SUM(Y13:Y43)</f>
        <v>860.6700000000001</v>
      </c>
      <c r="Z12" s="23">
        <f>SUM(Z13:Z43)</f>
        <v>-151</v>
      </c>
    </row>
    <row r="13" spans="1:26" s="26" customFormat="1" ht="12.75">
      <c r="A13" s="209">
        <v>1</v>
      </c>
      <c r="B13" s="199" t="s">
        <v>37</v>
      </c>
      <c r="C13" s="180">
        <v>1470</v>
      </c>
      <c r="D13" s="163">
        <v>1079</v>
      </c>
      <c r="E13" s="163">
        <v>1079</v>
      </c>
      <c r="F13" s="163">
        <v>1475</v>
      </c>
      <c r="G13" s="22">
        <v>700</v>
      </c>
      <c r="H13" s="22">
        <v>2279</v>
      </c>
      <c r="I13" s="163">
        <f>SUM(G13:G15)</f>
        <v>1325</v>
      </c>
      <c r="J13" s="20"/>
      <c r="K13" s="20"/>
      <c r="L13" s="20">
        <v>700</v>
      </c>
      <c r="M13" s="20"/>
      <c r="N13" s="20"/>
      <c r="O13" s="20"/>
      <c r="P13" s="20"/>
      <c r="Q13" s="20"/>
      <c r="R13" s="20"/>
      <c r="S13" s="20"/>
      <c r="T13" s="20"/>
      <c r="U13" s="20"/>
      <c r="V13" s="23">
        <f>SUM(J13:U13)</f>
        <v>700</v>
      </c>
      <c r="W13" s="24">
        <f>G13-V13</f>
        <v>0</v>
      </c>
      <c r="X13" s="24"/>
      <c r="Y13" s="24">
        <f>W13-X13</f>
        <v>0</v>
      </c>
      <c r="Z13" s="25"/>
    </row>
    <row r="14" spans="1:26" s="26" customFormat="1" ht="12.75" customHeight="1">
      <c r="A14" s="209"/>
      <c r="B14" s="202"/>
      <c r="C14" s="181"/>
      <c r="D14" s="240"/>
      <c r="E14" s="240"/>
      <c r="F14" s="184"/>
      <c r="G14" s="22">
        <f>550-114-36</f>
        <v>400</v>
      </c>
      <c r="H14" s="22">
        <v>2122</v>
      </c>
      <c r="I14" s="184"/>
      <c r="J14" s="29">
        <f>395-19.86</f>
        <v>375.14</v>
      </c>
      <c r="K14" s="29">
        <f>23.92</f>
        <v>23.92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3">
        <f aca="true" t="shared" si="2" ref="V14:V43">SUM(J14:U14)</f>
        <v>399.06</v>
      </c>
      <c r="W14" s="24">
        <f aca="true" t="shared" si="3" ref="W14:W43">G14-V14</f>
        <v>0.9399999999999977</v>
      </c>
      <c r="X14" s="24"/>
      <c r="Y14" s="24">
        <f aca="true" t="shared" si="4" ref="Y14:Y43">W14-X14</f>
        <v>0.9399999999999977</v>
      </c>
      <c r="Z14" s="25"/>
    </row>
    <row r="15" spans="1:26" s="26" customFormat="1" ht="13.5" thickBot="1">
      <c r="A15" s="210"/>
      <c r="B15" s="203"/>
      <c r="C15" s="165"/>
      <c r="D15" s="241"/>
      <c r="E15" s="241"/>
      <c r="F15" s="185"/>
      <c r="G15" s="33">
        <v>225</v>
      </c>
      <c r="H15" s="33">
        <v>2121</v>
      </c>
      <c r="I15" s="185"/>
      <c r="J15" s="31">
        <v>225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4">
        <f t="shared" si="2"/>
        <v>225</v>
      </c>
      <c r="W15" s="35">
        <f t="shared" si="3"/>
        <v>0</v>
      </c>
      <c r="X15" s="35"/>
      <c r="Y15" s="35">
        <f t="shared" si="4"/>
        <v>0</v>
      </c>
      <c r="Z15" s="36"/>
    </row>
    <row r="16" spans="1:26" s="26" customFormat="1" ht="12.75" customHeight="1">
      <c r="A16" s="211">
        <v>2</v>
      </c>
      <c r="B16" s="202" t="s">
        <v>38</v>
      </c>
      <c r="C16" s="181">
        <v>1340</v>
      </c>
      <c r="D16" s="184">
        <v>1108</v>
      </c>
      <c r="E16" s="184">
        <v>1108</v>
      </c>
      <c r="F16" s="184">
        <v>1450</v>
      </c>
      <c r="G16" s="37">
        <v>700</v>
      </c>
      <c r="H16" s="37">
        <v>2279</v>
      </c>
      <c r="I16" s="184">
        <f>SUM(G16:G19)</f>
        <v>1501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9">
        <f t="shared" si="2"/>
        <v>0</v>
      </c>
      <c r="W16" s="40">
        <f t="shared" si="3"/>
        <v>700</v>
      </c>
      <c r="X16" s="40"/>
      <c r="Y16" s="40">
        <f t="shared" si="4"/>
        <v>700</v>
      </c>
      <c r="Z16" s="41"/>
    </row>
    <row r="17" spans="1:26" s="26" customFormat="1" ht="12.75" customHeight="1">
      <c r="A17" s="182"/>
      <c r="B17" s="202"/>
      <c r="C17" s="181"/>
      <c r="D17" s="184"/>
      <c r="E17" s="184"/>
      <c r="F17" s="184"/>
      <c r="G17" s="37"/>
      <c r="H17" s="37">
        <v>7712</v>
      </c>
      <c r="I17" s="184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23">
        <f>SUM(J17:U17)</f>
        <v>0</v>
      </c>
      <c r="W17" s="24">
        <f>G17-V17</f>
        <v>0</v>
      </c>
      <c r="X17" s="24"/>
      <c r="Y17" s="24">
        <f>W17-X17</f>
        <v>0</v>
      </c>
      <c r="Z17" s="25"/>
    </row>
    <row r="18" spans="1:26" s="26" customFormat="1" ht="12.75">
      <c r="A18" s="209"/>
      <c r="B18" s="202"/>
      <c r="C18" s="181"/>
      <c r="D18" s="184"/>
      <c r="E18" s="184"/>
      <c r="F18" s="184"/>
      <c r="G18" s="22">
        <f>550+36+15</f>
        <v>601</v>
      </c>
      <c r="H18" s="22">
        <v>2122</v>
      </c>
      <c r="I18" s="184"/>
      <c r="J18" s="29">
        <f>330+271.09</f>
        <v>601.0899999999999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3">
        <f t="shared" si="2"/>
        <v>601.0899999999999</v>
      </c>
      <c r="W18" s="24">
        <f t="shared" si="3"/>
        <v>-0.08999999999991815</v>
      </c>
      <c r="X18" s="24"/>
      <c r="Y18" s="42">
        <f t="shared" si="4"/>
        <v>-0.08999999999991815</v>
      </c>
      <c r="Z18" s="25"/>
    </row>
    <row r="19" spans="1:26" s="26" customFormat="1" ht="12.75" customHeight="1" thickBot="1">
      <c r="A19" s="210"/>
      <c r="B19" s="203"/>
      <c r="C19" s="165"/>
      <c r="D19" s="185"/>
      <c r="E19" s="185"/>
      <c r="F19" s="185"/>
      <c r="G19" s="33">
        <v>200</v>
      </c>
      <c r="H19" s="43">
        <v>2121</v>
      </c>
      <c r="I19" s="185"/>
      <c r="J19" s="31">
        <v>200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4">
        <f t="shared" si="2"/>
        <v>200</v>
      </c>
      <c r="W19" s="35">
        <f t="shared" si="3"/>
        <v>0</v>
      </c>
      <c r="X19" s="35"/>
      <c r="Y19" s="35">
        <f t="shared" si="4"/>
        <v>0</v>
      </c>
      <c r="Z19" s="36"/>
    </row>
    <row r="20" spans="1:26" s="26" customFormat="1" ht="12.75" customHeight="1">
      <c r="A20" s="212">
        <v>3</v>
      </c>
      <c r="B20" s="201" t="s">
        <v>39</v>
      </c>
      <c r="C20" s="181">
        <v>3000</v>
      </c>
      <c r="D20" s="184">
        <v>5938</v>
      </c>
      <c r="E20" s="184">
        <v>5936</v>
      </c>
      <c r="F20" s="184">
        <v>9578</v>
      </c>
      <c r="G20" s="244">
        <f>5583-100-879-1259</f>
        <v>3345</v>
      </c>
      <c r="H20" s="178">
        <v>2264</v>
      </c>
      <c r="I20" s="184">
        <f>SUM(G20:G24)</f>
        <v>7746</v>
      </c>
      <c r="J20" s="45">
        <f>1549.71</f>
        <v>1549.71</v>
      </c>
      <c r="K20" s="45">
        <f>1549.71</f>
        <v>1549.71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>
        <f t="shared" si="2"/>
        <v>3099.42</v>
      </c>
      <c r="W20" s="242">
        <f>G20-SUM(V20:V21)</f>
        <v>1.2399999999997817</v>
      </c>
      <c r="X20" s="40">
        <f>3099.42-V20</f>
        <v>0</v>
      </c>
      <c r="Y20" s="242">
        <f>SUM(W20:W21)-SUM(X20:X21)</f>
        <v>1.2399999999997817</v>
      </c>
      <c r="Z20" s="41"/>
    </row>
    <row r="21" spans="1:26" s="26" customFormat="1" ht="12.75" customHeight="1">
      <c r="A21" s="205"/>
      <c r="B21" s="202"/>
      <c r="C21" s="181"/>
      <c r="D21" s="184"/>
      <c r="E21" s="184"/>
      <c r="F21" s="184"/>
      <c r="G21" s="167"/>
      <c r="H21" s="178"/>
      <c r="I21" s="184"/>
      <c r="J21" s="29"/>
      <c r="K21" s="29">
        <f>56.87+25.41+162.06</f>
        <v>244.34</v>
      </c>
      <c r="L21" s="29"/>
      <c r="M21" s="20"/>
      <c r="N21" s="20"/>
      <c r="O21" s="20"/>
      <c r="P21" s="20"/>
      <c r="Q21" s="20"/>
      <c r="R21" s="20"/>
      <c r="S21" s="20"/>
      <c r="T21" s="20"/>
      <c r="U21" s="20"/>
      <c r="V21" s="23">
        <f t="shared" si="2"/>
        <v>244.34</v>
      </c>
      <c r="W21" s="245"/>
      <c r="X21" s="47"/>
      <c r="Y21" s="243"/>
      <c r="Z21" s="48"/>
    </row>
    <row r="22" spans="1:26" s="26" customFormat="1" ht="12.75" customHeight="1">
      <c r="A22" s="205"/>
      <c r="B22" s="202"/>
      <c r="C22" s="181"/>
      <c r="D22" s="184"/>
      <c r="E22" s="184"/>
      <c r="F22" s="184"/>
      <c r="G22" s="22">
        <f>12</f>
        <v>12</v>
      </c>
      <c r="H22" s="22">
        <v>2390</v>
      </c>
      <c r="I22" s="184"/>
      <c r="J22" s="49"/>
      <c r="K22" s="29">
        <f>7.5+4</f>
        <v>11.5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3">
        <f t="shared" si="2"/>
        <v>11.5</v>
      </c>
      <c r="W22" s="24">
        <f t="shared" si="3"/>
        <v>0.5</v>
      </c>
      <c r="X22" s="24"/>
      <c r="Y22" s="24">
        <f t="shared" si="4"/>
        <v>0.5</v>
      </c>
      <c r="Z22" s="25"/>
    </row>
    <row r="23" spans="1:26" s="26" customFormat="1" ht="12.75" customHeight="1">
      <c r="A23" s="205"/>
      <c r="B23" s="202"/>
      <c r="C23" s="181"/>
      <c r="D23" s="184"/>
      <c r="E23" s="184"/>
      <c r="F23" s="184"/>
      <c r="G23" s="50">
        <f>37+52+15+190</f>
        <v>294</v>
      </c>
      <c r="H23" s="22">
        <v>2231</v>
      </c>
      <c r="I23" s="184"/>
      <c r="J23" s="29"/>
      <c r="K23" s="29">
        <f>134.31+84.49</f>
        <v>218.8</v>
      </c>
      <c r="L23" s="29">
        <v>75.64</v>
      </c>
      <c r="M23" s="20"/>
      <c r="N23" s="20"/>
      <c r="O23" s="20"/>
      <c r="P23" s="20"/>
      <c r="Q23" s="20"/>
      <c r="R23" s="20"/>
      <c r="S23" s="20"/>
      <c r="T23" s="20"/>
      <c r="U23" s="20"/>
      <c r="V23" s="23">
        <f t="shared" si="2"/>
        <v>294.44</v>
      </c>
      <c r="W23" s="24">
        <f t="shared" si="3"/>
        <v>-0.4399999999999977</v>
      </c>
      <c r="X23" s="51"/>
      <c r="Y23" s="42">
        <f>W23-X23</f>
        <v>-0.4399999999999977</v>
      </c>
      <c r="Z23" s="52"/>
    </row>
    <row r="24" spans="1:26" s="26" customFormat="1" ht="13.5" customHeight="1" thickBot="1">
      <c r="A24" s="206"/>
      <c r="B24" s="203"/>
      <c r="C24" s="182"/>
      <c r="D24" s="164"/>
      <c r="E24" s="164"/>
      <c r="F24" s="164"/>
      <c r="G24" s="33">
        <f>3995+100</f>
        <v>4095</v>
      </c>
      <c r="H24" s="33">
        <v>2279</v>
      </c>
      <c r="I24" s="185"/>
      <c r="J24" s="53">
        <f>4093.89</f>
        <v>4093.89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4">
        <f t="shared" si="2"/>
        <v>4093.89</v>
      </c>
      <c r="W24" s="54">
        <f t="shared" si="3"/>
        <v>1.1100000000001273</v>
      </c>
      <c r="X24" s="35"/>
      <c r="Y24" s="54">
        <f t="shared" si="4"/>
        <v>1.1100000000001273</v>
      </c>
      <c r="Z24" s="36"/>
    </row>
    <row r="25" spans="1:26" s="26" customFormat="1" ht="12.75" customHeight="1">
      <c r="A25" s="204">
        <v>4</v>
      </c>
      <c r="B25" s="171" t="s">
        <v>40</v>
      </c>
      <c r="C25" s="180">
        <v>2600</v>
      </c>
      <c r="D25" s="163">
        <v>1441</v>
      </c>
      <c r="E25" s="163">
        <v>1441</v>
      </c>
      <c r="F25" s="163">
        <v>2515</v>
      </c>
      <c r="G25" s="37">
        <f>1100-64</f>
        <v>1036</v>
      </c>
      <c r="H25" s="37">
        <v>7712</v>
      </c>
      <c r="I25" s="184">
        <f>SUM(G25:G29)</f>
        <v>3022</v>
      </c>
      <c r="J25" s="45">
        <v>1035.45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>
        <f t="shared" si="2"/>
        <v>1035.45</v>
      </c>
      <c r="W25" s="40">
        <f t="shared" si="3"/>
        <v>0.5499999999999545</v>
      </c>
      <c r="X25" s="40"/>
      <c r="Y25" s="40">
        <f t="shared" si="4"/>
        <v>0.5499999999999545</v>
      </c>
      <c r="Z25" s="41"/>
    </row>
    <row r="26" spans="1:26" s="26" customFormat="1" ht="12.75">
      <c r="A26" s="205"/>
      <c r="B26" s="198"/>
      <c r="C26" s="181"/>
      <c r="D26" s="184"/>
      <c r="E26" s="184"/>
      <c r="F26" s="184"/>
      <c r="G26" s="22">
        <f>200-52</f>
        <v>148</v>
      </c>
      <c r="H26" s="22">
        <v>2122</v>
      </c>
      <c r="I26" s="184"/>
      <c r="J26" s="29"/>
      <c r="K26" s="29">
        <v>147.67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3">
        <f t="shared" si="2"/>
        <v>147.67</v>
      </c>
      <c r="W26" s="24">
        <f t="shared" si="3"/>
        <v>0.3300000000000125</v>
      </c>
      <c r="X26" s="24"/>
      <c r="Y26" s="24">
        <f t="shared" si="4"/>
        <v>0.3300000000000125</v>
      </c>
      <c r="Z26" s="25"/>
    </row>
    <row r="27" spans="1:26" s="26" customFormat="1" ht="12.75" customHeight="1">
      <c r="A27" s="205"/>
      <c r="B27" s="198"/>
      <c r="C27" s="181"/>
      <c r="D27" s="184"/>
      <c r="E27" s="184"/>
      <c r="F27" s="184"/>
      <c r="G27" s="22">
        <v>200</v>
      </c>
      <c r="H27" s="22">
        <v>2121</v>
      </c>
      <c r="I27" s="184"/>
      <c r="J27" s="20"/>
      <c r="K27" s="20">
        <f>100+100</f>
        <v>200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3">
        <f t="shared" si="2"/>
        <v>200</v>
      </c>
      <c r="W27" s="24">
        <f t="shared" si="3"/>
        <v>0</v>
      </c>
      <c r="X27" s="24"/>
      <c r="Y27" s="24">
        <f t="shared" si="4"/>
        <v>0</v>
      </c>
      <c r="Z27" s="25"/>
    </row>
    <row r="28" spans="1:26" s="26" customFormat="1" ht="12.75" hidden="1">
      <c r="A28" s="205"/>
      <c r="B28" s="198"/>
      <c r="C28" s="181"/>
      <c r="D28" s="184"/>
      <c r="E28" s="184"/>
      <c r="F28" s="184"/>
      <c r="G28" s="22">
        <f>15-15</f>
        <v>0</v>
      </c>
      <c r="H28" s="22">
        <v>2390</v>
      </c>
      <c r="I28" s="184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3">
        <f t="shared" si="2"/>
        <v>0</v>
      </c>
      <c r="W28" s="24">
        <f t="shared" si="3"/>
        <v>0</v>
      </c>
      <c r="X28" s="24"/>
      <c r="Y28" s="24">
        <f t="shared" si="4"/>
        <v>0</v>
      </c>
      <c r="Z28" s="25"/>
    </row>
    <row r="29" spans="1:26" s="26" customFormat="1" ht="12.75" customHeight="1" thickBot="1">
      <c r="A29" s="206"/>
      <c r="B29" s="200"/>
      <c r="C29" s="182"/>
      <c r="D29" s="164"/>
      <c r="E29" s="164"/>
      <c r="F29" s="164"/>
      <c r="G29" s="33">
        <f>1000+638</f>
        <v>1638</v>
      </c>
      <c r="H29" s="33">
        <v>2264</v>
      </c>
      <c r="I29" s="185"/>
      <c r="J29" s="31"/>
      <c r="K29" s="53">
        <f>227.93</f>
        <v>227.93</v>
      </c>
      <c r="L29" s="53">
        <v>1409.7</v>
      </c>
      <c r="M29" s="31"/>
      <c r="N29" s="31"/>
      <c r="O29" s="31"/>
      <c r="P29" s="31"/>
      <c r="Q29" s="31"/>
      <c r="R29" s="31"/>
      <c r="S29" s="31"/>
      <c r="T29" s="31"/>
      <c r="U29" s="31"/>
      <c r="V29" s="34">
        <f t="shared" si="2"/>
        <v>1637.63</v>
      </c>
      <c r="W29" s="35">
        <f t="shared" si="3"/>
        <v>0.36999999999989086</v>
      </c>
      <c r="X29" s="35"/>
      <c r="Y29" s="35">
        <f t="shared" si="4"/>
        <v>0.36999999999989086</v>
      </c>
      <c r="Z29" s="36"/>
    </row>
    <row r="30" spans="1:26" s="26" customFormat="1" ht="12.75">
      <c r="A30" s="204">
        <v>5</v>
      </c>
      <c r="B30" s="171" t="s">
        <v>41</v>
      </c>
      <c r="C30" s="180">
        <v>2200</v>
      </c>
      <c r="D30" s="163">
        <v>1343</v>
      </c>
      <c r="E30" s="163">
        <v>1126</v>
      </c>
      <c r="F30" s="163">
        <v>2640</v>
      </c>
      <c r="G30" s="37">
        <f>1300-288</f>
        <v>1012</v>
      </c>
      <c r="H30" s="37">
        <v>7712</v>
      </c>
      <c r="I30" s="184">
        <f>SUM(G30:G34)</f>
        <v>2979</v>
      </c>
      <c r="J30" s="4"/>
      <c r="K30" s="45">
        <v>1011.52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9">
        <f>SUM(K30:U30)</f>
        <v>1011.52</v>
      </c>
      <c r="W30" s="40">
        <f t="shared" si="3"/>
        <v>0.4800000000000182</v>
      </c>
      <c r="X30" s="40"/>
      <c r="Y30" s="40">
        <f t="shared" si="4"/>
        <v>0.4800000000000182</v>
      </c>
      <c r="Z30" s="41"/>
    </row>
    <row r="31" spans="1:26" s="26" customFormat="1" ht="12.75" customHeight="1">
      <c r="A31" s="205"/>
      <c r="B31" s="198"/>
      <c r="C31" s="181"/>
      <c r="D31" s="184"/>
      <c r="E31" s="184"/>
      <c r="F31" s="184"/>
      <c r="G31" s="22">
        <v>140</v>
      </c>
      <c r="H31" s="22">
        <v>2122</v>
      </c>
      <c r="I31" s="184"/>
      <c r="J31" s="20"/>
      <c r="K31" s="29">
        <v>138.51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3">
        <f t="shared" si="2"/>
        <v>138.51</v>
      </c>
      <c r="W31" s="24">
        <f t="shared" si="3"/>
        <v>1.490000000000009</v>
      </c>
      <c r="X31" s="24"/>
      <c r="Y31" s="24">
        <f t="shared" si="4"/>
        <v>1.490000000000009</v>
      </c>
      <c r="Z31" s="25"/>
    </row>
    <row r="32" spans="1:26" s="26" customFormat="1" ht="12.75">
      <c r="A32" s="205"/>
      <c r="B32" s="198"/>
      <c r="C32" s="181"/>
      <c r="D32" s="184"/>
      <c r="E32" s="184"/>
      <c r="F32" s="184"/>
      <c r="G32" s="22">
        <v>200</v>
      </c>
      <c r="H32" s="22">
        <v>2121</v>
      </c>
      <c r="I32" s="184"/>
      <c r="J32" s="20"/>
      <c r="K32" s="20">
        <f>100+100</f>
        <v>200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3">
        <f t="shared" si="2"/>
        <v>200</v>
      </c>
      <c r="W32" s="24">
        <f t="shared" si="3"/>
        <v>0</v>
      </c>
      <c r="X32" s="24"/>
      <c r="Y32" s="24">
        <f t="shared" si="4"/>
        <v>0</v>
      </c>
      <c r="Z32" s="25"/>
    </row>
    <row r="33" spans="1:26" s="26" customFormat="1" ht="12.75">
      <c r="A33" s="206"/>
      <c r="B33" s="199"/>
      <c r="C33" s="181"/>
      <c r="D33" s="184"/>
      <c r="E33" s="184"/>
      <c r="F33" s="184"/>
      <c r="G33" s="43">
        <f>6</f>
        <v>6</v>
      </c>
      <c r="H33" s="43">
        <v>2390</v>
      </c>
      <c r="I33" s="184"/>
      <c r="J33" s="21"/>
      <c r="K33" s="21"/>
      <c r="L33" s="55">
        <f>5.07</f>
        <v>5.07</v>
      </c>
      <c r="M33" s="21"/>
      <c r="N33" s="21"/>
      <c r="O33" s="21"/>
      <c r="P33" s="21"/>
      <c r="Q33" s="21"/>
      <c r="R33" s="21"/>
      <c r="S33" s="21"/>
      <c r="T33" s="21"/>
      <c r="U33" s="21"/>
      <c r="V33" s="23">
        <f t="shared" si="2"/>
        <v>5.07</v>
      </c>
      <c r="W33" s="24">
        <f t="shared" si="3"/>
        <v>0.9299999999999997</v>
      </c>
      <c r="X33" s="51"/>
      <c r="Y33" s="24">
        <f t="shared" si="4"/>
        <v>0.9299999999999997</v>
      </c>
      <c r="Z33" s="52"/>
    </row>
    <row r="34" spans="1:26" s="26" customFormat="1" ht="12.75" customHeight="1" thickBot="1">
      <c r="A34" s="207"/>
      <c r="B34" s="200"/>
      <c r="C34" s="182"/>
      <c r="D34" s="164"/>
      <c r="E34" s="164"/>
      <c r="F34" s="164"/>
      <c r="G34" s="33">
        <f>1000+621</f>
        <v>1621</v>
      </c>
      <c r="H34" s="33">
        <v>2264</v>
      </c>
      <c r="I34" s="185"/>
      <c r="J34" s="31"/>
      <c r="K34" s="53">
        <v>211.06</v>
      </c>
      <c r="L34" s="53">
        <f>2819.39-L29</f>
        <v>1409.6899999999998</v>
      </c>
      <c r="M34" s="31"/>
      <c r="N34" s="31"/>
      <c r="O34" s="31"/>
      <c r="P34" s="31"/>
      <c r="Q34" s="31"/>
      <c r="R34" s="31"/>
      <c r="S34" s="31"/>
      <c r="T34" s="31"/>
      <c r="U34" s="31"/>
      <c r="V34" s="34">
        <f t="shared" si="2"/>
        <v>1620.7499999999998</v>
      </c>
      <c r="W34" s="35">
        <f t="shared" si="3"/>
        <v>0.2500000000002274</v>
      </c>
      <c r="X34" s="35"/>
      <c r="Y34" s="35">
        <f t="shared" si="4"/>
        <v>0.2500000000002274</v>
      </c>
      <c r="Z34" s="36"/>
    </row>
    <row r="35" spans="1:26" s="26" customFormat="1" ht="12.75">
      <c r="A35" s="212">
        <v>6</v>
      </c>
      <c r="B35" s="216" t="s">
        <v>42</v>
      </c>
      <c r="C35" s="180">
        <v>1090</v>
      </c>
      <c r="D35" s="163">
        <v>1526</v>
      </c>
      <c r="E35" s="163">
        <v>1526</v>
      </c>
      <c r="F35" s="163">
        <v>1410</v>
      </c>
      <c r="G35" s="37">
        <f>100+98+108+190+562+344</f>
        <v>1402</v>
      </c>
      <c r="H35" s="37">
        <v>7712</v>
      </c>
      <c r="I35" s="239">
        <f>SUM(G35:G39)</f>
        <v>2012</v>
      </c>
      <c r="J35" s="38"/>
      <c r="K35" s="38"/>
      <c r="L35" s="45">
        <f>1066.2</f>
        <v>1066.2</v>
      </c>
      <c r="M35" s="38">
        <f>335</f>
        <v>335</v>
      </c>
      <c r="N35" s="38">
        <f>-1040.01</f>
        <v>-1040.01</v>
      </c>
      <c r="O35" s="45"/>
      <c r="P35" s="45">
        <f>1026.48</f>
        <v>1026.48</v>
      </c>
      <c r="Q35" s="38"/>
      <c r="R35" s="38"/>
      <c r="S35" s="38"/>
      <c r="T35" s="38"/>
      <c r="U35" s="38"/>
      <c r="V35" s="39">
        <f t="shared" si="2"/>
        <v>1387.67</v>
      </c>
      <c r="W35" s="40">
        <f t="shared" si="3"/>
        <v>14.329999999999927</v>
      </c>
      <c r="X35" s="40"/>
      <c r="Y35" s="40">
        <f t="shared" si="4"/>
        <v>14.329999999999927</v>
      </c>
      <c r="Z35" s="41">
        <v>-14</v>
      </c>
    </row>
    <row r="36" spans="1:26" s="26" customFormat="1" ht="12.75">
      <c r="A36" s="212"/>
      <c r="B36" s="216"/>
      <c r="C36" s="181"/>
      <c r="D36" s="184"/>
      <c r="E36" s="184"/>
      <c r="F36" s="184"/>
      <c r="G36" s="37">
        <f>18</f>
        <v>18</v>
      </c>
      <c r="H36" s="43">
        <v>2390</v>
      </c>
      <c r="I36" s="184"/>
      <c r="J36" s="38"/>
      <c r="K36" s="38"/>
      <c r="L36" s="45"/>
      <c r="M36" s="45">
        <v>17.61</v>
      </c>
      <c r="N36" s="38"/>
      <c r="O36" s="38"/>
      <c r="P36" s="38"/>
      <c r="Q36" s="38"/>
      <c r="R36" s="38"/>
      <c r="S36" s="38"/>
      <c r="T36" s="38"/>
      <c r="U36" s="38"/>
      <c r="V36" s="39">
        <f t="shared" si="2"/>
        <v>17.61</v>
      </c>
      <c r="W36" s="40">
        <f t="shared" si="3"/>
        <v>0.39000000000000057</v>
      </c>
      <c r="X36" s="40"/>
      <c r="Y36" s="40">
        <f t="shared" si="4"/>
        <v>0.39000000000000057</v>
      </c>
      <c r="Z36" s="41"/>
    </row>
    <row r="37" spans="1:26" s="26" customFormat="1" ht="12.75">
      <c r="A37" s="212"/>
      <c r="B37" s="216"/>
      <c r="C37" s="181"/>
      <c r="D37" s="184"/>
      <c r="E37" s="184"/>
      <c r="F37" s="184"/>
      <c r="G37" s="37">
        <f>5</f>
        <v>5</v>
      </c>
      <c r="H37" s="43">
        <v>2279</v>
      </c>
      <c r="I37" s="184"/>
      <c r="J37" s="38"/>
      <c r="K37" s="38"/>
      <c r="L37" s="45"/>
      <c r="M37" s="45">
        <v>4.13</v>
      </c>
      <c r="N37" s="38"/>
      <c r="O37" s="38"/>
      <c r="P37" s="38"/>
      <c r="Q37" s="38"/>
      <c r="R37" s="38"/>
      <c r="S37" s="38"/>
      <c r="T37" s="38"/>
      <c r="U37" s="38"/>
      <c r="V37" s="39">
        <f t="shared" si="2"/>
        <v>4.13</v>
      </c>
      <c r="W37" s="40">
        <f>G37-V37</f>
        <v>0.8700000000000001</v>
      </c>
      <c r="X37" s="40"/>
      <c r="Y37" s="40">
        <f>W37-X37</f>
        <v>0.8700000000000001</v>
      </c>
      <c r="Z37" s="41"/>
    </row>
    <row r="38" spans="1:26" s="26" customFormat="1" ht="12.75" customHeight="1">
      <c r="A38" s="205"/>
      <c r="B38" s="198"/>
      <c r="C38" s="181"/>
      <c r="D38" s="184"/>
      <c r="E38" s="184"/>
      <c r="F38" s="184"/>
      <c r="G38" s="22">
        <f>160+40</f>
        <v>200</v>
      </c>
      <c r="H38" s="22">
        <v>2121</v>
      </c>
      <c r="I38" s="184"/>
      <c r="J38" s="20"/>
      <c r="K38" s="20"/>
      <c r="L38" s="20">
        <v>200</v>
      </c>
      <c r="M38" s="20"/>
      <c r="N38" s="20"/>
      <c r="O38" s="20"/>
      <c r="P38" s="20"/>
      <c r="Q38" s="20"/>
      <c r="R38" s="20"/>
      <c r="S38" s="20"/>
      <c r="T38" s="20"/>
      <c r="U38" s="20"/>
      <c r="V38" s="23">
        <f t="shared" si="2"/>
        <v>200</v>
      </c>
      <c r="W38" s="24">
        <f t="shared" si="3"/>
        <v>0</v>
      </c>
      <c r="X38" s="24"/>
      <c r="Y38" s="24">
        <f t="shared" si="4"/>
        <v>0</v>
      </c>
      <c r="Z38" s="25"/>
    </row>
    <row r="39" spans="1:26" s="26" customFormat="1" ht="13.5" thickBot="1">
      <c r="A39" s="206"/>
      <c r="B39" s="199"/>
      <c r="C39" s="182"/>
      <c r="D39" s="164"/>
      <c r="E39" s="164"/>
      <c r="F39" s="164"/>
      <c r="G39" s="43">
        <f>800-413</f>
        <v>387</v>
      </c>
      <c r="H39" s="33">
        <v>2122</v>
      </c>
      <c r="I39" s="185"/>
      <c r="J39" s="31"/>
      <c r="K39" s="31"/>
      <c r="L39" s="53">
        <v>200</v>
      </c>
      <c r="M39" s="53">
        <f>49.58</f>
        <v>49.58</v>
      </c>
      <c r="N39" s="31"/>
      <c r="O39" s="31"/>
      <c r="P39" s="31"/>
      <c r="Q39" s="31"/>
      <c r="R39" s="31"/>
      <c r="S39" s="31"/>
      <c r="T39" s="31"/>
      <c r="U39" s="31"/>
      <c r="V39" s="34">
        <f t="shared" si="2"/>
        <v>249.57999999999998</v>
      </c>
      <c r="W39" s="35">
        <f t="shared" si="3"/>
        <v>137.42000000000002</v>
      </c>
      <c r="X39" s="35"/>
      <c r="Y39" s="56">
        <f t="shared" si="4"/>
        <v>137.42000000000002</v>
      </c>
      <c r="Z39" s="36">
        <v>-137</v>
      </c>
    </row>
    <row r="40" spans="1:26" s="26" customFormat="1" ht="34.5" hidden="1" thickBot="1">
      <c r="A40" s="57">
        <v>7</v>
      </c>
      <c r="B40" s="58" t="s">
        <v>43</v>
      </c>
      <c r="C40" s="31">
        <v>5470</v>
      </c>
      <c r="D40" s="33">
        <v>4262</v>
      </c>
      <c r="E40" s="33">
        <v>4479</v>
      </c>
      <c r="F40" s="59">
        <v>0</v>
      </c>
      <c r="G40" s="60">
        <v>0</v>
      </c>
      <c r="H40" s="61"/>
      <c r="I40" s="61">
        <v>0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62">
        <f t="shared" si="2"/>
        <v>0</v>
      </c>
      <c r="W40" s="54">
        <f t="shared" si="3"/>
        <v>0</v>
      </c>
      <c r="X40" s="54"/>
      <c r="Y40" s="54">
        <f t="shared" si="4"/>
        <v>0</v>
      </c>
      <c r="Z40" s="63"/>
    </row>
    <row r="41" spans="1:26" s="26" customFormat="1" ht="13.5" hidden="1" thickBot="1">
      <c r="A41" s="213">
        <v>8</v>
      </c>
      <c r="B41" s="217" t="s">
        <v>44</v>
      </c>
      <c r="C41" s="183">
        <v>0</v>
      </c>
      <c r="D41" s="183">
        <v>0</v>
      </c>
      <c r="E41" s="183">
        <v>0</v>
      </c>
      <c r="F41" s="183">
        <v>1910</v>
      </c>
      <c r="G41" s="37">
        <v>0</v>
      </c>
      <c r="H41" s="37">
        <v>7712</v>
      </c>
      <c r="I41" s="183">
        <v>0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>
        <f t="shared" si="2"/>
        <v>0</v>
      </c>
      <c r="W41" s="40">
        <f t="shared" si="3"/>
        <v>0</v>
      </c>
      <c r="X41" s="40"/>
      <c r="Y41" s="40">
        <f t="shared" si="4"/>
        <v>0</v>
      </c>
      <c r="Z41" s="41"/>
    </row>
    <row r="42" spans="1:26" s="26" customFormat="1" ht="12.75" customHeight="1" hidden="1">
      <c r="A42" s="214"/>
      <c r="B42" s="218"/>
      <c r="C42" s="183"/>
      <c r="D42" s="183"/>
      <c r="E42" s="183"/>
      <c r="F42" s="183"/>
      <c r="G42" s="22">
        <v>0</v>
      </c>
      <c r="H42" s="22">
        <v>2122</v>
      </c>
      <c r="I42" s="18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3">
        <f t="shared" si="2"/>
        <v>0</v>
      </c>
      <c r="W42" s="24">
        <f t="shared" si="3"/>
        <v>0</v>
      </c>
      <c r="X42" s="24"/>
      <c r="Y42" s="24">
        <f t="shared" si="4"/>
        <v>0</v>
      </c>
      <c r="Z42" s="25"/>
    </row>
    <row r="43" spans="1:26" s="26" customFormat="1" ht="13.5" hidden="1" thickBot="1">
      <c r="A43" s="215"/>
      <c r="B43" s="219"/>
      <c r="C43" s="183"/>
      <c r="D43" s="183"/>
      <c r="E43" s="183"/>
      <c r="F43" s="183"/>
      <c r="G43" s="43">
        <v>0</v>
      </c>
      <c r="H43" s="43">
        <v>2121</v>
      </c>
      <c r="I43" s="183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65">
        <f t="shared" si="2"/>
        <v>0</v>
      </c>
      <c r="W43" s="51">
        <f t="shared" si="3"/>
        <v>0</v>
      </c>
      <c r="X43" s="51"/>
      <c r="Y43" s="51">
        <f t="shared" si="4"/>
        <v>0</v>
      </c>
      <c r="Z43" s="52"/>
    </row>
    <row r="44" spans="1:26" s="26" customFormat="1" ht="12.75" customHeight="1" thickBot="1">
      <c r="A44" s="151" t="s">
        <v>23</v>
      </c>
      <c r="B44" s="152" t="s">
        <v>45</v>
      </c>
      <c r="C44" s="153">
        <f>SUM(C45:C66)</f>
        <v>11400</v>
      </c>
      <c r="D44" s="153">
        <f>SUM(D45:D66)</f>
        <v>7437</v>
      </c>
      <c r="E44" s="153">
        <f>SUM(E45:E66)</f>
        <v>7434</v>
      </c>
      <c r="F44" s="153">
        <f>SUM(F45:F66)</f>
        <v>12410</v>
      </c>
      <c r="G44" s="154">
        <f>SUM(G45:G66)</f>
        <v>5184</v>
      </c>
      <c r="H44" s="154"/>
      <c r="I44" s="154">
        <f>SUM(I45:I66)</f>
        <v>5184</v>
      </c>
      <c r="J44" s="154">
        <f>SUM(J45:J66)</f>
        <v>0</v>
      </c>
      <c r="K44" s="154">
        <f aca="true" t="shared" si="5" ref="K44:U44">SUM(K45:K66)</f>
        <v>0</v>
      </c>
      <c r="L44" s="154">
        <f t="shared" si="5"/>
        <v>381.34000000000003</v>
      </c>
      <c r="M44" s="154">
        <f t="shared" si="5"/>
        <v>393.7</v>
      </c>
      <c r="N44" s="154">
        <f t="shared" si="5"/>
        <v>1036.53</v>
      </c>
      <c r="O44" s="154">
        <f t="shared" si="5"/>
        <v>102</v>
      </c>
      <c r="P44" s="154">
        <f t="shared" si="5"/>
        <v>1824.27</v>
      </c>
      <c r="Q44" s="154">
        <f t="shared" si="5"/>
        <v>0</v>
      </c>
      <c r="R44" s="154">
        <f t="shared" si="5"/>
        <v>0</v>
      </c>
      <c r="S44" s="154">
        <f t="shared" si="5"/>
        <v>0</v>
      </c>
      <c r="T44" s="154">
        <f t="shared" si="5"/>
        <v>0</v>
      </c>
      <c r="U44" s="154">
        <f t="shared" si="5"/>
        <v>0</v>
      </c>
      <c r="V44" s="155">
        <f>SUM(V45:V66)</f>
        <v>3737.8399999999997</v>
      </c>
      <c r="W44" s="155">
        <f>SUM(W45:W66)</f>
        <v>1446.16</v>
      </c>
      <c r="X44" s="155">
        <f>SUM(X45:X66)</f>
        <v>0</v>
      </c>
      <c r="Y44" s="155">
        <f>SUM(Y45:Y66)</f>
        <v>1446.16</v>
      </c>
      <c r="Z44" s="155">
        <f>SUM(Z45:Z66)</f>
        <v>-1029</v>
      </c>
    </row>
    <row r="45" spans="1:26" s="26" customFormat="1" ht="12.75" hidden="1">
      <c r="A45" s="44">
        <v>9</v>
      </c>
      <c r="B45" s="18" t="s">
        <v>46</v>
      </c>
      <c r="C45" s="27">
        <v>460</v>
      </c>
      <c r="D45" s="28">
        <v>0</v>
      </c>
      <c r="E45" s="28">
        <v>0</v>
      </c>
      <c r="F45" s="28">
        <v>0</v>
      </c>
      <c r="G45" s="66">
        <v>0</v>
      </c>
      <c r="H45" s="38"/>
      <c r="I45" s="66">
        <v>0</v>
      </c>
      <c r="J45" s="38"/>
      <c r="K45" s="38"/>
      <c r="L45" s="38"/>
      <c r="M45" s="38"/>
      <c r="N45" s="66"/>
      <c r="O45" s="66"/>
      <c r="P45" s="66"/>
      <c r="Q45" s="66"/>
      <c r="R45" s="66"/>
      <c r="S45" s="66"/>
      <c r="T45" s="66"/>
      <c r="U45" s="66"/>
      <c r="V45" s="67">
        <f aca="true" t="shared" si="6" ref="V45:V66">SUM(J45:U45)</f>
        <v>0</v>
      </c>
      <c r="W45" s="68">
        <f aca="true" t="shared" si="7" ref="W45:W66">G45-V45</f>
        <v>0</v>
      </c>
      <c r="X45" s="68"/>
      <c r="Y45" s="68">
        <f aca="true" t="shared" si="8" ref="Y45:Y66">W45-X45</f>
        <v>0</v>
      </c>
      <c r="Z45" s="69"/>
    </row>
    <row r="46" spans="1:26" s="26" customFormat="1" ht="12.75" hidden="1">
      <c r="A46" s="30">
        <v>10</v>
      </c>
      <c r="B46" s="64" t="s">
        <v>47</v>
      </c>
      <c r="C46" s="43">
        <v>400</v>
      </c>
      <c r="D46" s="43">
        <v>0</v>
      </c>
      <c r="E46" s="43">
        <v>0</v>
      </c>
      <c r="F46" s="43">
        <v>0</v>
      </c>
      <c r="G46" s="70">
        <v>0</v>
      </c>
      <c r="H46" s="20"/>
      <c r="I46" s="70">
        <v>0</v>
      </c>
      <c r="J46" s="20"/>
      <c r="K46" s="20"/>
      <c r="L46" s="20"/>
      <c r="M46" s="20"/>
      <c r="N46" s="70"/>
      <c r="O46" s="70"/>
      <c r="P46" s="70"/>
      <c r="Q46" s="70"/>
      <c r="R46" s="70"/>
      <c r="S46" s="70"/>
      <c r="T46" s="70"/>
      <c r="U46" s="70"/>
      <c r="V46" s="71">
        <f t="shared" si="6"/>
        <v>0</v>
      </c>
      <c r="W46" s="72">
        <f t="shared" si="7"/>
        <v>0</v>
      </c>
      <c r="X46" s="72"/>
      <c r="Y46" s="72">
        <f t="shared" si="8"/>
        <v>0</v>
      </c>
      <c r="Z46" s="74"/>
    </row>
    <row r="47" spans="1:26" s="26" customFormat="1" ht="12.75">
      <c r="A47" s="205">
        <v>11</v>
      </c>
      <c r="B47" s="198" t="s">
        <v>48</v>
      </c>
      <c r="C47" s="180">
        <v>150</v>
      </c>
      <c r="D47" s="163">
        <v>138</v>
      </c>
      <c r="E47" s="163">
        <v>137</v>
      </c>
      <c r="F47" s="163">
        <v>590</v>
      </c>
      <c r="G47" s="70">
        <v>100</v>
      </c>
      <c r="H47" s="20">
        <v>2122</v>
      </c>
      <c r="I47" s="234">
        <f>SUM(G47:G48)</f>
        <v>200</v>
      </c>
      <c r="J47" s="20"/>
      <c r="K47" s="20"/>
      <c r="L47" s="20"/>
      <c r="M47" s="20"/>
      <c r="N47" s="70"/>
      <c r="O47" s="70"/>
      <c r="P47" s="70"/>
      <c r="Q47" s="70"/>
      <c r="R47" s="70"/>
      <c r="S47" s="70"/>
      <c r="T47" s="70"/>
      <c r="U47" s="70"/>
      <c r="V47" s="23">
        <f t="shared" si="6"/>
        <v>0</v>
      </c>
      <c r="W47" s="72">
        <f t="shared" si="7"/>
        <v>100</v>
      </c>
      <c r="X47" s="72"/>
      <c r="Y47" s="72">
        <f t="shared" si="8"/>
        <v>100</v>
      </c>
      <c r="Z47" s="74">
        <v>-100</v>
      </c>
    </row>
    <row r="48" spans="1:26" s="26" customFormat="1" ht="12.75" customHeight="1" thickBot="1">
      <c r="A48" s="206"/>
      <c r="B48" s="200"/>
      <c r="C48" s="165"/>
      <c r="D48" s="185"/>
      <c r="E48" s="185"/>
      <c r="F48" s="185"/>
      <c r="G48" s="76">
        <v>100</v>
      </c>
      <c r="H48" s="31">
        <v>2121</v>
      </c>
      <c r="I48" s="246"/>
      <c r="J48" s="31"/>
      <c r="K48" s="31"/>
      <c r="L48" s="31"/>
      <c r="M48" s="31"/>
      <c r="N48" s="76"/>
      <c r="O48" s="76"/>
      <c r="P48" s="76"/>
      <c r="Q48" s="76"/>
      <c r="R48" s="76"/>
      <c r="S48" s="76"/>
      <c r="T48" s="76"/>
      <c r="U48" s="76"/>
      <c r="V48" s="34">
        <f t="shared" si="6"/>
        <v>0</v>
      </c>
      <c r="W48" s="77">
        <f t="shared" si="7"/>
        <v>100</v>
      </c>
      <c r="X48" s="77"/>
      <c r="Y48" s="77">
        <f t="shared" si="8"/>
        <v>100</v>
      </c>
      <c r="Z48" s="78">
        <v>-100</v>
      </c>
    </row>
    <row r="49" spans="1:26" s="26" customFormat="1" ht="12.75">
      <c r="A49" s="222">
        <v>12</v>
      </c>
      <c r="B49" s="220" t="s">
        <v>49</v>
      </c>
      <c r="C49" s="183">
        <v>1300</v>
      </c>
      <c r="D49" s="183">
        <v>0</v>
      </c>
      <c r="E49" s="183">
        <v>0</v>
      </c>
      <c r="F49" s="183">
        <v>900</v>
      </c>
      <c r="G49" s="66">
        <f>700-300</f>
        <v>400</v>
      </c>
      <c r="H49" s="38">
        <v>2122</v>
      </c>
      <c r="I49" s="237">
        <f>SUM(G49:G50)</f>
        <v>600</v>
      </c>
      <c r="J49" s="38"/>
      <c r="K49" s="38"/>
      <c r="L49" s="38"/>
      <c r="M49" s="38"/>
      <c r="N49" s="66"/>
      <c r="O49" s="66"/>
      <c r="P49" s="66"/>
      <c r="Q49" s="66"/>
      <c r="R49" s="66"/>
      <c r="S49" s="66"/>
      <c r="T49" s="66"/>
      <c r="U49" s="66"/>
      <c r="V49" s="39">
        <f t="shared" si="6"/>
        <v>0</v>
      </c>
      <c r="W49" s="68">
        <f t="shared" si="7"/>
        <v>400</v>
      </c>
      <c r="X49" s="68"/>
      <c r="Y49" s="68">
        <f t="shared" si="8"/>
        <v>400</v>
      </c>
      <c r="Z49" s="69">
        <v>-400</v>
      </c>
    </row>
    <row r="50" spans="1:26" s="26" customFormat="1" ht="12.75" customHeight="1" thickBot="1">
      <c r="A50" s="223"/>
      <c r="B50" s="221"/>
      <c r="C50" s="168"/>
      <c r="D50" s="168"/>
      <c r="E50" s="168"/>
      <c r="F50" s="168"/>
      <c r="G50" s="76">
        <v>200</v>
      </c>
      <c r="H50" s="31">
        <v>2121</v>
      </c>
      <c r="I50" s="246"/>
      <c r="J50" s="31"/>
      <c r="K50" s="31"/>
      <c r="L50" s="31"/>
      <c r="M50" s="31"/>
      <c r="N50" s="76"/>
      <c r="O50" s="76"/>
      <c r="P50" s="76"/>
      <c r="Q50" s="76"/>
      <c r="R50" s="76"/>
      <c r="S50" s="76"/>
      <c r="T50" s="76"/>
      <c r="U50" s="76"/>
      <c r="V50" s="34">
        <f t="shared" si="6"/>
        <v>0</v>
      </c>
      <c r="W50" s="77">
        <f t="shared" si="7"/>
        <v>200</v>
      </c>
      <c r="X50" s="77"/>
      <c r="Y50" s="77">
        <f t="shared" si="8"/>
        <v>200</v>
      </c>
      <c r="Z50" s="78">
        <v>-200</v>
      </c>
    </row>
    <row r="51" spans="1:26" s="26" customFormat="1" ht="12.75">
      <c r="A51" s="222">
        <v>13</v>
      </c>
      <c r="B51" s="217" t="s">
        <v>50</v>
      </c>
      <c r="C51" s="183">
        <v>1100</v>
      </c>
      <c r="D51" s="183">
        <v>459</v>
      </c>
      <c r="E51" s="183">
        <v>458</v>
      </c>
      <c r="F51" s="183">
        <v>700</v>
      </c>
      <c r="G51" s="66">
        <v>350</v>
      </c>
      <c r="H51" s="38">
        <v>2121</v>
      </c>
      <c r="I51" s="237">
        <f>SUM(G51:G52)</f>
        <v>526</v>
      </c>
      <c r="J51" s="38"/>
      <c r="K51" s="38"/>
      <c r="L51" s="38"/>
      <c r="M51" s="38"/>
      <c r="N51" s="66"/>
      <c r="O51" s="66"/>
      <c r="P51" s="66"/>
      <c r="Q51" s="66"/>
      <c r="R51" s="66"/>
      <c r="S51" s="66"/>
      <c r="T51" s="66"/>
      <c r="U51" s="66"/>
      <c r="V51" s="39">
        <f t="shared" si="6"/>
        <v>0</v>
      </c>
      <c r="W51" s="68">
        <f t="shared" si="7"/>
        <v>350</v>
      </c>
      <c r="X51" s="68"/>
      <c r="Y51" s="68">
        <f t="shared" si="8"/>
        <v>350</v>
      </c>
      <c r="Z51" s="69">
        <v>-350</v>
      </c>
    </row>
    <row r="52" spans="1:26" s="26" customFormat="1" ht="12.75" customHeight="1" thickBot="1">
      <c r="A52" s="223"/>
      <c r="B52" s="224"/>
      <c r="C52" s="168"/>
      <c r="D52" s="168"/>
      <c r="E52" s="168"/>
      <c r="F52" s="168"/>
      <c r="G52" s="76">
        <f>350-174</f>
        <v>176</v>
      </c>
      <c r="H52" s="31">
        <v>2122</v>
      </c>
      <c r="I52" s="246"/>
      <c r="J52" s="31"/>
      <c r="K52" s="31"/>
      <c r="L52" s="31"/>
      <c r="M52" s="31"/>
      <c r="N52" s="76"/>
      <c r="O52" s="76"/>
      <c r="P52" s="76"/>
      <c r="Q52" s="76"/>
      <c r="R52" s="76"/>
      <c r="S52" s="76"/>
      <c r="T52" s="76"/>
      <c r="U52" s="76"/>
      <c r="V52" s="34">
        <f t="shared" si="6"/>
        <v>0</v>
      </c>
      <c r="W52" s="77">
        <f t="shared" si="7"/>
        <v>176</v>
      </c>
      <c r="X52" s="77"/>
      <c r="Y52" s="77">
        <f t="shared" si="8"/>
        <v>176</v>
      </c>
      <c r="Z52" s="78">
        <v>-174</v>
      </c>
    </row>
    <row r="53" spans="1:26" s="26" customFormat="1" ht="12.75" customHeight="1">
      <c r="A53" s="213">
        <v>14</v>
      </c>
      <c r="B53" s="217" t="s">
        <v>51</v>
      </c>
      <c r="C53" s="183">
        <v>660</v>
      </c>
      <c r="D53" s="183">
        <v>0</v>
      </c>
      <c r="E53" s="183">
        <v>0</v>
      </c>
      <c r="F53" s="183">
        <v>900</v>
      </c>
      <c r="G53" s="66">
        <f>350-150</f>
        <v>200</v>
      </c>
      <c r="H53" s="38">
        <v>2122</v>
      </c>
      <c r="I53" s="237">
        <f>SUM(G53:G55)</f>
        <v>440</v>
      </c>
      <c r="J53" s="38"/>
      <c r="K53" s="38"/>
      <c r="L53" s="38"/>
      <c r="M53" s="38"/>
      <c r="N53" s="66">
        <f>115</f>
        <v>115</v>
      </c>
      <c r="O53" s="66"/>
      <c r="P53" s="79">
        <f>644.05-P60</f>
        <v>85</v>
      </c>
      <c r="Q53" s="66"/>
      <c r="R53" s="66"/>
      <c r="S53" s="66"/>
      <c r="T53" s="66"/>
      <c r="U53" s="66"/>
      <c r="V53" s="39">
        <f t="shared" si="6"/>
        <v>200</v>
      </c>
      <c r="W53" s="68">
        <f t="shared" si="7"/>
        <v>0</v>
      </c>
      <c r="X53" s="68"/>
      <c r="Y53" s="80">
        <f t="shared" si="8"/>
        <v>0</v>
      </c>
      <c r="Z53" s="69"/>
    </row>
    <row r="54" spans="1:26" s="26" customFormat="1" ht="12.75">
      <c r="A54" s="214"/>
      <c r="B54" s="218"/>
      <c r="C54" s="183"/>
      <c r="D54" s="183"/>
      <c r="E54" s="183"/>
      <c r="F54" s="183"/>
      <c r="G54" s="70">
        <f>495-255</f>
        <v>240</v>
      </c>
      <c r="H54" s="20">
        <v>2121</v>
      </c>
      <c r="I54" s="237"/>
      <c r="J54" s="20"/>
      <c r="K54" s="20"/>
      <c r="L54" s="20"/>
      <c r="M54" s="20"/>
      <c r="N54" s="70">
        <f>325-85</f>
        <v>240</v>
      </c>
      <c r="O54" s="70"/>
      <c r="P54" s="70"/>
      <c r="Q54" s="70"/>
      <c r="R54" s="70"/>
      <c r="S54" s="70"/>
      <c r="T54" s="70"/>
      <c r="U54" s="70"/>
      <c r="V54" s="23">
        <f t="shared" si="6"/>
        <v>240</v>
      </c>
      <c r="W54" s="72">
        <f t="shared" si="7"/>
        <v>0</v>
      </c>
      <c r="X54" s="72"/>
      <c r="Y54" s="72">
        <f t="shared" si="8"/>
        <v>0</v>
      </c>
      <c r="Z54" s="74"/>
    </row>
    <row r="55" spans="1:26" s="26" customFormat="1" ht="13.5" thickBot="1">
      <c r="A55" s="223"/>
      <c r="B55" s="224"/>
      <c r="C55" s="168"/>
      <c r="D55" s="168"/>
      <c r="E55" s="168"/>
      <c r="F55" s="168"/>
      <c r="G55" s="76">
        <f>55-55</f>
        <v>0</v>
      </c>
      <c r="H55" s="31">
        <v>2231</v>
      </c>
      <c r="I55" s="246"/>
      <c r="J55" s="31"/>
      <c r="K55" s="31"/>
      <c r="L55" s="31"/>
      <c r="M55" s="31"/>
      <c r="N55" s="76"/>
      <c r="O55" s="76"/>
      <c r="P55" s="76"/>
      <c r="Q55" s="76"/>
      <c r="R55" s="76"/>
      <c r="S55" s="76"/>
      <c r="T55" s="76"/>
      <c r="U55" s="76"/>
      <c r="V55" s="34">
        <f t="shared" si="6"/>
        <v>0</v>
      </c>
      <c r="W55" s="77">
        <f t="shared" si="7"/>
        <v>0</v>
      </c>
      <c r="X55" s="77"/>
      <c r="Y55" s="77">
        <f t="shared" si="8"/>
        <v>0</v>
      </c>
      <c r="Z55" s="78"/>
    </row>
    <row r="56" spans="1:26" s="26" customFormat="1" ht="12.75" customHeight="1" thickBot="1">
      <c r="A56" s="81">
        <v>15</v>
      </c>
      <c r="B56" s="82" t="s">
        <v>52</v>
      </c>
      <c r="C56" s="37">
        <v>250</v>
      </c>
      <c r="D56" s="37">
        <v>0</v>
      </c>
      <c r="E56" s="37">
        <v>0</v>
      </c>
      <c r="F56" s="37">
        <v>500</v>
      </c>
      <c r="G56" s="83">
        <v>200</v>
      </c>
      <c r="H56" s="84">
        <v>2122</v>
      </c>
      <c r="I56" s="83">
        <f>G56</f>
        <v>200</v>
      </c>
      <c r="J56" s="84"/>
      <c r="K56" s="84"/>
      <c r="L56" s="85">
        <f>91.31</f>
        <v>91.31</v>
      </c>
      <c r="M56" s="85">
        <v>93</v>
      </c>
      <c r="N56" s="83"/>
      <c r="O56" s="83"/>
      <c r="P56" s="83"/>
      <c r="Q56" s="83"/>
      <c r="R56" s="83"/>
      <c r="S56" s="83"/>
      <c r="T56" s="83"/>
      <c r="U56" s="83"/>
      <c r="V56" s="86">
        <f t="shared" si="6"/>
        <v>184.31</v>
      </c>
      <c r="W56" s="87">
        <f t="shared" si="7"/>
        <v>15.689999999999998</v>
      </c>
      <c r="X56" s="87"/>
      <c r="Y56" s="88">
        <f t="shared" si="8"/>
        <v>15.689999999999998</v>
      </c>
      <c r="Z56" s="89">
        <v>-16</v>
      </c>
    </row>
    <row r="57" spans="1:26" s="26" customFormat="1" ht="12.75">
      <c r="A57" s="222">
        <v>16</v>
      </c>
      <c r="B57" s="171" t="s">
        <v>53</v>
      </c>
      <c r="C57" s="180">
        <v>5800</v>
      </c>
      <c r="D57" s="166">
        <v>4945</v>
      </c>
      <c r="E57" s="166">
        <v>4945</v>
      </c>
      <c r="F57" s="166">
        <v>6520</v>
      </c>
      <c r="G57" s="66">
        <f>600-190+850</f>
        <v>1260</v>
      </c>
      <c r="H57" s="38">
        <v>7712</v>
      </c>
      <c r="I57" s="237">
        <f>SUM(G57:G61)</f>
        <v>2860</v>
      </c>
      <c r="J57" s="38"/>
      <c r="K57" s="27"/>
      <c r="L57" s="90"/>
      <c r="M57" s="27"/>
      <c r="N57" s="91">
        <f>31.23</f>
        <v>31.23</v>
      </c>
      <c r="O57" s="66"/>
      <c r="P57" s="66">
        <v>990</v>
      </c>
      <c r="Q57" s="66"/>
      <c r="R57" s="66"/>
      <c r="S57" s="66"/>
      <c r="T57" s="66"/>
      <c r="U57" s="66"/>
      <c r="V57" s="39">
        <f t="shared" si="6"/>
        <v>1021.23</v>
      </c>
      <c r="W57" s="68">
        <f t="shared" si="7"/>
        <v>238.76999999999998</v>
      </c>
      <c r="X57" s="68"/>
      <c r="Y57" s="40">
        <f t="shared" si="8"/>
        <v>238.76999999999998</v>
      </c>
      <c r="Z57" s="69"/>
    </row>
    <row r="58" spans="1:26" s="26" customFormat="1" ht="12.75">
      <c r="A58" s="213"/>
      <c r="B58" s="216"/>
      <c r="C58" s="181"/>
      <c r="D58" s="183"/>
      <c r="E58" s="183"/>
      <c r="F58" s="183"/>
      <c r="G58" s="66">
        <f>10</f>
        <v>10</v>
      </c>
      <c r="H58" s="38">
        <v>2279</v>
      </c>
      <c r="I58" s="237"/>
      <c r="J58" s="38"/>
      <c r="K58" s="20"/>
      <c r="L58" s="92">
        <v>10</v>
      </c>
      <c r="M58" s="20"/>
      <c r="N58" s="66"/>
      <c r="O58" s="66"/>
      <c r="P58" s="66"/>
      <c r="Q58" s="66"/>
      <c r="R58" s="66"/>
      <c r="S58" s="66"/>
      <c r="T58" s="66"/>
      <c r="U58" s="66"/>
      <c r="V58" s="23">
        <f>SUM(J58:U58)</f>
        <v>10</v>
      </c>
      <c r="W58" s="72">
        <f>G58-V58</f>
        <v>0</v>
      </c>
      <c r="X58" s="68"/>
      <c r="Y58" s="24">
        <f t="shared" si="8"/>
        <v>0</v>
      </c>
      <c r="Z58" s="69"/>
    </row>
    <row r="59" spans="1:26" s="26" customFormat="1" ht="12.75" customHeight="1">
      <c r="A59" s="214"/>
      <c r="B59" s="198"/>
      <c r="C59" s="181"/>
      <c r="D59" s="183"/>
      <c r="E59" s="183"/>
      <c r="F59" s="183"/>
      <c r="G59" s="70">
        <f>20+27</f>
        <v>47</v>
      </c>
      <c r="H59" s="20">
        <v>2390</v>
      </c>
      <c r="I59" s="237"/>
      <c r="J59" s="20"/>
      <c r="K59" s="20"/>
      <c r="L59" s="20"/>
      <c r="M59" s="20"/>
      <c r="N59" s="70">
        <f>46.59</f>
        <v>46.59</v>
      </c>
      <c r="O59" s="70"/>
      <c r="P59" s="70"/>
      <c r="Q59" s="70"/>
      <c r="R59" s="70"/>
      <c r="S59" s="70"/>
      <c r="T59" s="70"/>
      <c r="U59" s="70"/>
      <c r="V59" s="23">
        <f t="shared" si="6"/>
        <v>46.59</v>
      </c>
      <c r="W59" s="72">
        <f t="shared" si="7"/>
        <v>0.4099999999999966</v>
      </c>
      <c r="X59" s="72"/>
      <c r="Y59" s="24">
        <f t="shared" si="8"/>
        <v>0.4099999999999966</v>
      </c>
      <c r="Z59" s="74"/>
    </row>
    <row r="60" spans="1:26" s="26" customFormat="1" ht="12.75">
      <c r="A60" s="214"/>
      <c r="B60" s="198"/>
      <c r="C60" s="181"/>
      <c r="D60" s="183"/>
      <c r="E60" s="183"/>
      <c r="F60" s="183"/>
      <c r="G60" s="70">
        <f>1800-850-300+93</f>
        <v>743</v>
      </c>
      <c r="H60" s="20">
        <v>2122</v>
      </c>
      <c r="I60" s="237"/>
      <c r="J60" s="20"/>
      <c r="K60" s="20"/>
      <c r="L60" s="29">
        <f>180.03+40</f>
        <v>220.03</v>
      </c>
      <c r="M60" s="20">
        <f>120-37</f>
        <v>83</v>
      </c>
      <c r="N60" s="93">
        <f>109.31+15.01+0.61</f>
        <v>124.93</v>
      </c>
      <c r="O60" s="93">
        <f>197.5+26.44+15.7-172.64</f>
        <v>67</v>
      </c>
      <c r="P60" s="93">
        <v>559.05</v>
      </c>
      <c r="Q60" s="70"/>
      <c r="R60" s="70"/>
      <c r="S60" s="70"/>
      <c r="T60" s="70"/>
      <c r="U60" s="70"/>
      <c r="V60" s="23">
        <f t="shared" si="6"/>
        <v>1054.01</v>
      </c>
      <c r="W60" s="72">
        <f t="shared" si="7"/>
        <v>-311.01</v>
      </c>
      <c r="X60" s="72"/>
      <c r="Y60" s="24">
        <f t="shared" si="8"/>
        <v>-311.01</v>
      </c>
      <c r="Z60" s="147">
        <f>137+174</f>
        <v>311</v>
      </c>
    </row>
    <row r="61" spans="1:26" s="26" customFormat="1" ht="13.5" thickBot="1">
      <c r="A61" s="223"/>
      <c r="B61" s="200"/>
      <c r="C61" s="165"/>
      <c r="D61" s="168"/>
      <c r="E61" s="168"/>
      <c r="F61" s="168"/>
      <c r="G61" s="76">
        <v>800</v>
      </c>
      <c r="H61" s="31">
        <v>2121</v>
      </c>
      <c r="I61" s="246"/>
      <c r="J61" s="31"/>
      <c r="K61" s="31"/>
      <c r="L61" s="31">
        <f>60</f>
        <v>60</v>
      </c>
      <c r="M61" s="31">
        <f>150</f>
        <v>150</v>
      </c>
      <c r="N61" s="76">
        <f>105+85</f>
        <v>190</v>
      </c>
      <c r="O61" s="76">
        <v>35</v>
      </c>
      <c r="P61" s="76">
        <v>190.22</v>
      </c>
      <c r="Q61" s="76"/>
      <c r="R61" s="76"/>
      <c r="S61" s="76"/>
      <c r="T61" s="76"/>
      <c r="U61" s="76"/>
      <c r="V61" s="34">
        <f t="shared" si="6"/>
        <v>625.22</v>
      </c>
      <c r="W61" s="77">
        <f t="shared" si="7"/>
        <v>174.77999999999997</v>
      </c>
      <c r="X61" s="77"/>
      <c r="Y61" s="77">
        <f t="shared" si="8"/>
        <v>174.77999999999997</v>
      </c>
      <c r="Z61" s="78"/>
    </row>
    <row r="62" spans="1:26" s="26" customFormat="1" ht="12.75">
      <c r="A62" s="213">
        <v>17</v>
      </c>
      <c r="B62" s="217" t="s">
        <v>54</v>
      </c>
      <c r="C62" s="183">
        <v>1280</v>
      </c>
      <c r="D62" s="183">
        <v>1895</v>
      </c>
      <c r="E62" s="183">
        <v>1894</v>
      </c>
      <c r="F62" s="183">
        <v>800</v>
      </c>
      <c r="G62" s="66">
        <f>400-185</f>
        <v>215</v>
      </c>
      <c r="H62" s="38">
        <v>7712</v>
      </c>
      <c r="I62" s="238">
        <f>SUM(G62:G64)</f>
        <v>358</v>
      </c>
      <c r="J62" s="38"/>
      <c r="K62" s="38"/>
      <c r="L62" s="38"/>
      <c r="M62" s="38"/>
      <c r="N62" s="91">
        <f>213.78</f>
        <v>213.78</v>
      </c>
      <c r="O62" s="66"/>
      <c r="P62" s="66"/>
      <c r="Q62" s="66"/>
      <c r="R62" s="66"/>
      <c r="S62" s="66"/>
      <c r="T62" s="66"/>
      <c r="U62" s="66"/>
      <c r="V62" s="39">
        <f t="shared" si="6"/>
        <v>213.78</v>
      </c>
      <c r="W62" s="68">
        <f t="shared" si="7"/>
        <v>1.2199999999999989</v>
      </c>
      <c r="X62" s="68"/>
      <c r="Y62" s="68">
        <f t="shared" si="8"/>
        <v>1.2199999999999989</v>
      </c>
      <c r="Z62" s="69"/>
    </row>
    <row r="63" spans="1:26" s="26" customFormat="1" ht="12.75" customHeight="1">
      <c r="A63" s="214"/>
      <c r="B63" s="218"/>
      <c r="C63" s="183"/>
      <c r="D63" s="183"/>
      <c r="E63" s="183"/>
      <c r="F63" s="183"/>
      <c r="G63" s="20">
        <f>200-132</f>
        <v>68</v>
      </c>
      <c r="H63" s="20">
        <v>2122</v>
      </c>
      <c r="I63" s="237"/>
      <c r="J63" s="20"/>
      <c r="K63" s="20"/>
      <c r="L63" s="20"/>
      <c r="M63" s="29">
        <v>67.7</v>
      </c>
      <c r="N63" s="70"/>
      <c r="O63" s="70"/>
      <c r="P63" s="70"/>
      <c r="Q63" s="70"/>
      <c r="R63" s="70"/>
      <c r="S63" s="70"/>
      <c r="T63" s="70"/>
      <c r="U63" s="70"/>
      <c r="V63" s="23">
        <f t="shared" si="6"/>
        <v>67.7</v>
      </c>
      <c r="W63" s="72">
        <f t="shared" si="7"/>
        <v>0.29999999999999716</v>
      </c>
      <c r="X63" s="72"/>
      <c r="Y63" s="24">
        <f t="shared" si="8"/>
        <v>0.29999999999999716</v>
      </c>
      <c r="Z63" s="74"/>
    </row>
    <row r="64" spans="1:26" s="26" customFormat="1" ht="13.5" thickBot="1">
      <c r="A64" s="214"/>
      <c r="B64" s="218"/>
      <c r="C64" s="167"/>
      <c r="D64" s="167"/>
      <c r="E64" s="167"/>
      <c r="F64" s="167"/>
      <c r="G64" s="20">
        <f>100-25</f>
        <v>75</v>
      </c>
      <c r="H64" s="20">
        <v>2121</v>
      </c>
      <c r="I64" s="235"/>
      <c r="J64" s="20"/>
      <c r="K64" s="20"/>
      <c r="L64" s="20"/>
      <c r="M64" s="20"/>
      <c r="N64" s="70">
        <v>75</v>
      </c>
      <c r="O64" s="70"/>
      <c r="P64" s="70"/>
      <c r="Q64" s="70"/>
      <c r="R64" s="70"/>
      <c r="S64" s="70"/>
      <c r="T64" s="70"/>
      <c r="U64" s="70"/>
      <c r="V64" s="23">
        <f t="shared" si="6"/>
        <v>75</v>
      </c>
      <c r="W64" s="72">
        <f t="shared" si="7"/>
        <v>0</v>
      </c>
      <c r="X64" s="72"/>
      <c r="Y64" s="24">
        <f t="shared" si="8"/>
        <v>0</v>
      </c>
      <c r="Z64" s="74"/>
    </row>
    <row r="65" spans="1:26" s="26" customFormat="1" ht="12.75" customHeight="1" hidden="1">
      <c r="A65" s="214">
        <v>18</v>
      </c>
      <c r="B65" s="218" t="s">
        <v>55</v>
      </c>
      <c r="C65" s="166">
        <v>0</v>
      </c>
      <c r="D65" s="166">
        <v>0</v>
      </c>
      <c r="E65" s="166">
        <v>0</v>
      </c>
      <c r="F65" s="166">
        <v>1500</v>
      </c>
      <c r="G65" s="70">
        <v>0</v>
      </c>
      <c r="H65" s="20">
        <v>2121</v>
      </c>
      <c r="I65" s="70">
        <f>SUM(G65:G66)</f>
        <v>0</v>
      </c>
      <c r="J65" s="20"/>
      <c r="K65" s="20"/>
      <c r="L65" s="20"/>
      <c r="M65" s="20"/>
      <c r="N65" s="70"/>
      <c r="O65" s="70"/>
      <c r="P65" s="70"/>
      <c r="Q65" s="70"/>
      <c r="R65" s="70"/>
      <c r="S65" s="70"/>
      <c r="T65" s="70"/>
      <c r="U65" s="70"/>
      <c r="V65" s="71">
        <f t="shared" si="6"/>
        <v>0</v>
      </c>
      <c r="W65" s="72">
        <f t="shared" si="7"/>
        <v>0</v>
      </c>
      <c r="X65" s="72"/>
      <c r="Y65" s="72">
        <f t="shared" si="8"/>
        <v>0</v>
      </c>
      <c r="Z65" s="74"/>
    </row>
    <row r="66" spans="1:26" s="26" customFormat="1" ht="13.5" hidden="1" thickBot="1">
      <c r="A66" s="215"/>
      <c r="B66" s="219"/>
      <c r="C66" s="183"/>
      <c r="D66" s="183"/>
      <c r="E66" s="183"/>
      <c r="F66" s="183"/>
      <c r="G66" s="75">
        <v>0</v>
      </c>
      <c r="H66" s="21">
        <v>2122</v>
      </c>
      <c r="I66" s="75"/>
      <c r="J66" s="21"/>
      <c r="K66" s="21"/>
      <c r="L66" s="21"/>
      <c r="M66" s="21"/>
      <c r="N66" s="75"/>
      <c r="O66" s="75"/>
      <c r="P66" s="75"/>
      <c r="Q66" s="75"/>
      <c r="R66" s="75"/>
      <c r="S66" s="75"/>
      <c r="T66" s="75"/>
      <c r="U66" s="75"/>
      <c r="V66" s="94">
        <f t="shared" si="6"/>
        <v>0</v>
      </c>
      <c r="W66" s="95">
        <f t="shared" si="7"/>
        <v>0</v>
      </c>
      <c r="X66" s="72"/>
      <c r="Y66" s="72">
        <f t="shared" si="8"/>
        <v>0</v>
      </c>
      <c r="Z66" s="74"/>
    </row>
    <row r="67" spans="1:26" s="26" customFormat="1" ht="21">
      <c r="A67" s="148" t="s">
        <v>24</v>
      </c>
      <c r="B67" s="150" t="s">
        <v>56</v>
      </c>
      <c r="C67" s="156">
        <f>SUM(C68:C82)</f>
        <v>55250</v>
      </c>
      <c r="D67" s="156">
        <f>SUM(D68:D82)</f>
        <v>45712</v>
      </c>
      <c r="E67" s="156">
        <f>SUM(E68:E82)</f>
        <v>45508.770000000004</v>
      </c>
      <c r="F67" s="156">
        <f>SUM(F68:F82)</f>
        <v>58468.45</v>
      </c>
      <c r="G67" s="157">
        <f>SUM(G68:G82)</f>
        <v>42544</v>
      </c>
      <c r="H67" s="157"/>
      <c r="I67" s="157">
        <f>SUM(I68:I82)</f>
        <v>43394</v>
      </c>
      <c r="J67" s="157">
        <f>SUM(J68:J82)</f>
        <v>1027.04</v>
      </c>
      <c r="K67" s="157">
        <f aca="true" t="shared" si="9" ref="K67:U67">SUM(K68:K82)</f>
        <v>770.1700000000001</v>
      </c>
      <c r="L67" s="157">
        <f t="shared" si="9"/>
        <v>21617.45</v>
      </c>
      <c r="M67" s="157">
        <f t="shared" si="9"/>
        <v>300</v>
      </c>
      <c r="N67" s="157">
        <f t="shared" si="9"/>
        <v>8977.61</v>
      </c>
      <c r="O67" s="157">
        <f t="shared" si="9"/>
        <v>0</v>
      </c>
      <c r="P67" s="157">
        <f t="shared" si="9"/>
        <v>1846.3899999999999</v>
      </c>
      <c r="Q67" s="157">
        <f t="shared" si="9"/>
        <v>877.25</v>
      </c>
      <c r="R67" s="157">
        <f t="shared" si="9"/>
        <v>0</v>
      </c>
      <c r="S67" s="157">
        <f t="shared" si="9"/>
        <v>0</v>
      </c>
      <c r="T67" s="157">
        <f t="shared" si="9"/>
        <v>0</v>
      </c>
      <c r="U67" s="157">
        <f t="shared" si="9"/>
        <v>0</v>
      </c>
      <c r="V67" s="157">
        <f>SUM(V68:V82)</f>
        <v>35415.91</v>
      </c>
      <c r="W67" s="145">
        <f>SUM(W68:W82)</f>
        <v>7128.089999999998</v>
      </c>
      <c r="X67" s="158">
        <f>SUM(X68:X82)</f>
        <v>2986.53</v>
      </c>
      <c r="Y67" s="158">
        <f>SUM(Y68:Y82)</f>
        <v>4141.5599999999995</v>
      </c>
      <c r="Z67" s="158">
        <f>SUM(Z68:Z82)</f>
        <v>-6716</v>
      </c>
    </row>
    <row r="68" spans="1:26" s="26" customFormat="1" ht="25.5" customHeight="1">
      <c r="A68" s="70">
        <v>19</v>
      </c>
      <c r="B68" s="73" t="s">
        <v>57</v>
      </c>
      <c r="C68" s="70">
        <v>20000</v>
      </c>
      <c r="D68" s="92">
        <v>16048</v>
      </c>
      <c r="E68" s="92">
        <v>16048</v>
      </c>
      <c r="F68" s="92">
        <v>20001</v>
      </c>
      <c r="G68" s="70">
        <f>14000-5382</f>
        <v>8618</v>
      </c>
      <c r="H68" s="20">
        <v>2390</v>
      </c>
      <c r="I68" s="70">
        <f>G68</f>
        <v>8618</v>
      </c>
      <c r="J68" s="20"/>
      <c r="K68" s="29"/>
      <c r="L68" s="20"/>
      <c r="M68" s="20"/>
      <c r="N68" s="70">
        <v>8617.1</v>
      </c>
      <c r="O68" s="70"/>
      <c r="P68" s="70"/>
      <c r="Q68" s="70"/>
      <c r="R68" s="70"/>
      <c r="S68" s="70"/>
      <c r="T68" s="70"/>
      <c r="U68" s="70"/>
      <c r="V68" s="23">
        <f aca="true" t="shared" si="10" ref="V68:V82">SUM(J68:U68)</f>
        <v>8617.1</v>
      </c>
      <c r="W68" s="72">
        <f aca="true" t="shared" si="11" ref="W68:W82">G68-V68</f>
        <v>0.8999999999996362</v>
      </c>
      <c r="X68" s="72">
        <f>8617.1-V68</f>
        <v>0</v>
      </c>
      <c r="Y68" s="24">
        <f aca="true" t="shared" si="12" ref="Y68:Y82">W68-X68</f>
        <v>0.8999999999996362</v>
      </c>
      <c r="Z68" s="74"/>
    </row>
    <row r="69" spans="1:26" s="26" customFormat="1" ht="12.75">
      <c r="A69" s="70">
        <v>20</v>
      </c>
      <c r="B69" s="73" t="s">
        <v>58</v>
      </c>
      <c r="C69" s="70">
        <v>1000</v>
      </c>
      <c r="D69" s="22">
        <v>0</v>
      </c>
      <c r="E69" s="22">
        <v>0</v>
      </c>
      <c r="F69" s="22">
        <v>1000</v>
      </c>
      <c r="G69" s="70">
        <v>0</v>
      </c>
      <c r="H69" s="20">
        <v>2390</v>
      </c>
      <c r="I69" s="70">
        <f>G69</f>
        <v>0</v>
      </c>
      <c r="J69" s="20"/>
      <c r="K69" s="29"/>
      <c r="L69" s="20"/>
      <c r="M69" s="20"/>
      <c r="N69" s="70"/>
      <c r="O69" s="70"/>
      <c r="P69" s="70"/>
      <c r="Q69" s="70"/>
      <c r="R69" s="70"/>
      <c r="S69" s="70"/>
      <c r="T69" s="70"/>
      <c r="U69" s="70"/>
      <c r="V69" s="23">
        <f t="shared" si="10"/>
        <v>0</v>
      </c>
      <c r="W69" s="72">
        <f t="shared" si="11"/>
        <v>0</v>
      </c>
      <c r="X69" s="72"/>
      <c r="Y69" s="24">
        <f t="shared" si="12"/>
        <v>0</v>
      </c>
      <c r="Z69" s="74"/>
    </row>
    <row r="70" spans="1:26" s="26" customFormat="1" ht="12.75" customHeight="1">
      <c r="A70" s="70">
        <v>21</v>
      </c>
      <c r="B70" s="73" t="s">
        <v>59</v>
      </c>
      <c r="C70" s="70">
        <v>1500</v>
      </c>
      <c r="D70" s="22">
        <v>2210</v>
      </c>
      <c r="E70" s="22">
        <v>2210</v>
      </c>
      <c r="F70" s="22">
        <v>1000</v>
      </c>
      <c r="G70" s="70">
        <v>500</v>
      </c>
      <c r="H70" s="20">
        <v>2390</v>
      </c>
      <c r="I70" s="70">
        <f>G70</f>
        <v>500</v>
      </c>
      <c r="J70" s="20">
        <v>500</v>
      </c>
      <c r="K70" s="29"/>
      <c r="L70" s="20"/>
      <c r="M70" s="20"/>
      <c r="N70" s="70"/>
      <c r="O70" s="70"/>
      <c r="P70" s="70"/>
      <c r="Q70" s="70"/>
      <c r="R70" s="70"/>
      <c r="S70" s="70"/>
      <c r="T70" s="70"/>
      <c r="U70" s="70"/>
      <c r="V70" s="23">
        <f t="shared" si="10"/>
        <v>500</v>
      </c>
      <c r="W70" s="72">
        <f t="shared" si="11"/>
        <v>0</v>
      </c>
      <c r="X70" s="72"/>
      <c r="Y70" s="24">
        <f t="shared" si="12"/>
        <v>0</v>
      </c>
      <c r="Z70" s="74"/>
    </row>
    <row r="71" spans="1:26" s="26" customFormat="1" ht="22.5">
      <c r="A71" s="70">
        <v>22</v>
      </c>
      <c r="B71" s="73" t="s">
        <v>60</v>
      </c>
      <c r="C71" s="75">
        <v>18000</v>
      </c>
      <c r="D71" s="92">
        <v>16259</v>
      </c>
      <c r="E71" s="92">
        <v>16221</v>
      </c>
      <c r="F71" s="92">
        <v>21617.45</v>
      </c>
      <c r="G71" s="70">
        <f>21617+931</f>
        <v>22548</v>
      </c>
      <c r="H71" s="20">
        <v>2390</v>
      </c>
      <c r="I71" s="70">
        <f>G71</f>
        <v>22548</v>
      </c>
      <c r="J71" s="20"/>
      <c r="K71" s="29"/>
      <c r="L71" s="29">
        <f>21617.45</f>
        <v>21617.45</v>
      </c>
      <c r="M71" s="20"/>
      <c r="N71" s="70"/>
      <c r="O71" s="70"/>
      <c r="P71" s="70"/>
      <c r="Q71" s="70"/>
      <c r="R71" s="70"/>
      <c r="S71" s="70"/>
      <c r="T71" s="70"/>
      <c r="U71" s="70"/>
      <c r="V71" s="23">
        <f t="shared" si="10"/>
        <v>21617.45</v>
      </c>
      <c r="W71" s="72">
        <f t="shared" si="11"/>
        <v>930.5499999999993</v>
      </c>
      <c r="X71" s="72">
        <f>21617.45-V71</f>
        <v>0</v>
      </c>
      <c r="Y71" s="42">
        <f t="shared" si="12"/>
        <v>930.5499999999993</v>
      </c>
      <c r="Z71" s="74">
        <v>-930</v>
      </c>
    </row>
    <row r="72" spans="1:26" s="26" customFormat="1" ht="12.75">
      <c r="A72" s="234">
        <v>23</v>
      </c>
      <c r="B72" s="228" t="s">
        <v>61</v>
      </c>
      <c r="C72" s="70">
        <v>1500</v>
      </c>
      <c r="D72" s="92">
        <v>0</v>
      </c>
      <c r="E72" s="92">
        <v>0</v>
      </c>
      <c r="F72" s="92">
        <v>1000</v>
      </c>
      <c r="G72" s="70">
        <v>800</v>
      </c>
      <c r="H72" s="20">
        <v>2390</v>
      </c>
      <c r="I72" s="70">
        <f>G72</f>
        <v>800</v>
      </c>
      <c r="J72" s="20"/>
      <c r="K72" s="29"/>
      <c r="L72" s="20"/>
      <c r="M72" s="20"/>
      <c r="N72" s="70"/>
      <c r="O72" s="93"/>
      <c r="P72" s="93">
        <f>532.4</f>
        <v>532.4</v>
      </c>
      <c r="Q72" s="70"/>
      <c r="R72" s="70"/>
      <c r="S72" s="70"/>
      <c r="T72" s="70"/>
      <c r="U72" s="70"/>
      <c r="V72" s="23">
        <f t="shared" si="10"/>
        <v>532.4</v>
      </c>
      <c r="W72" s="72">
        <f t="shared" si="11"/>
        <v>267.6</v>
      </c>
      <c r="X72" s="72"/>
      <c r="Y72" s="24">
        <f t="shared" si="12"/>
        <v>267.6</v>
      </c>
      <c r="Z72" s="74">
        <v>-246</v>
      </c>
    </row>
    <row r="73" spans="1:26" s="26" customFormat="1" ht="12.75">
      <c r="A73" s="235"/>
      <c r="B73" s="230"/>
      <c r="C73" s="70">
        <v>1000</v>
      </c>
      <c r="D73" s="22">
        <v>0</v>
      </c>
      <c r="E73" s="22">
        <v>0</v>
      </c>
      <c r="F73" s="22">
        <v>1000</v>
      </c>
      <c r="G73" s="70"/>
      <c r="H73" s="20">
        <v>2279</v>
      </c>
      <c r="I73" s="70"/>
      <c r="J73" s="20"/>
      <c r="K73" s="29"/>
      <c r="L73" s="20"/>
      <c r="M73" s="20"/>
      <c r="N73" s="70"/>
      <c r="O73" s="70"/>
      <c r="P73" s="70"/>
      <c r="Q73" s="70"/>
      <c r="R73" s="70"/>
      <c r="S73" s="70"/>
      <c r="T73" s="70"/>
      <c r="U73" s="70"/>
      <c r="V73" s="23">
        <f t="shared" si="10"/>
        <v>0</v>
      </c>
      <c r="W73" s="72">
        <f t="shared" si="11"/>
        <v>0</v>
      </c>
      <c r="X73" s="72"/>
      <c r="Y73" s="24">
        <f t="shared" si="12"/>
        <v>0</v>
      </c>
      <c r="Z73" s="74">
        <v>246</v>
      </c>
    </row>
    <row r="74" spans="1:26" s="26" customFormat="1" ht="33.75">
      <c r="A74" s="70">
        <v>25</v>
      </c>
      <c r="B74" s="73" t="s">
        <v>62</v>
      </c>
      <c r="C74" s="70">
        <v>1200</v>
      </c>
      <c r="D74" s="92">
        <v>1178</v>
      </c>
      <c r="E74" s="92">
        <v>1178</v>
      </c>
      <c r="F74" s="92">
        <v>1500</v>
      </c>
      <c r="G74" s="70">
        <v>1200</v>
      </c>
      <c r="H74" s="20">
        <v>2390</v>
      </c>
      <c r="I74" s="70">
        <f>G74</f>
        <v>1200</v>
      </c>
      <c r="J74" s="20"/>
      <c r="K74" s="29"/>
      <c r="L74" s="20"/>
      <c r="M74" s="20"/>
      <c r="N74" s="70"/>
      <c r="O74" s="70"/>
      <c r="P74" s="70"/>
      <c r="Q74" s="70"/>
      <c r="R74" s="70"/>
      <c r="S74" s="70"/>
      <c r="T74" s="70"/>
      <c r="U74" s="70"/>
      <c r="V74" s="23">
        <f t="shared" si="10"/>
        <v>0</v>
      </c>
      <c r="W74" s="72">
        <f t="shared" si="11"/>
        <v>1200</v>
      </c>
      <c r="X74" s="72"/>
      <c r="Y74" s="24">
        <f t="shared" si="12"/>
        <v>1200</v>
      </c>
      <c r="Z74" s="74">
        <v>-1200</v>
      </c>
    </row>
    <row r="75" spans="1:26" s="26" customFormat="1" ht="12.75">
      <c r="A75" s="70">
        <v>26</v>
      </c>
      <c r="B75" s="73" t="s">
        <v>63</v>
      </c>
      <c r="C75" s="70">
        <v>6000</v>
      </c>
      <c r="D75" s="92">
        <v>4250</v>
      </c>
      <c r="E75" s="92">
        <v>4249.77</v>
      </c>
      <c r="F75" s="92">
        <v>4500</v>
      </c>
      <c r="G75" s="70">
        <f>4500-108</f>
        <v>4392</v>
      </c>
      <c r="H75" s="20">
        <v>2390</v>
      </c>
      <c r="I75" s="70">
        <f>G75</f>
        <v>4392</v>
      </c>
      <c r="J75" s="29">
        <v>527.04</v>
      </c>
      <c r="K75" s="29"/>
      <c r="L75" s="20"/>
      <c r="M75" s="20"/>
      <c r="N75" s="70"/>
      <c r="O75" s="70"/>
      <c r="P75" s="70">
        <f>878.39</f>
        <v>878.39</v>
      </c>
      <c r="Q75" s="70"/>
      <c r="R75" s="70"/>
      <c r="S75" s="70"/>
      <c r="T75" s="70"/>
      <c r="U75" s="70"/>
      <c r="V75" s="23">
        <f t="shared" si="10"/>
        <v>1405.4299999999998</v>
      </c>
      <c r="W75" s="72">
        <f t="shared" si="11"/>
        <v>2986.57</v>
      </c>
      <c r="X75" s="72">
        <f>4391.96-V75</f>
        <v>2986.53</v>
      </c>
      <c r="Y75" s="24">
        <f t="shared" si="12"/>
        <v>0.03999999999996362</v>
      </c>
      <c r="Z75" s="74">
        <v>-2986</v>
      </c>
    </row>
    <row r="76" spans="1:26" s="26" customFormat="1" ht="12.75">
      <c r="A76" s="234">
        <v>27</v>
      </c>
      <c r="B76" s="228" t="s">
        <v>64</v>
      </c>
      <c r="C76" s="70">
        <v>2500</v>
      </c>
      <c r="D76" s="22">
        <v>2537</v>
      </c>
      <c r="E76" s="22">
        <v>2537</v>
      </c>
      <c r="F76" s="22">
        <v>2500</v>
      </c>
      <c r="G76" s="96">
        <v>1455</v>
      </c>
      <c r="H76" s="20">
        <v>2390</v>
      </c>
      <c r="I76" s="70">
        <f>G76</f>
        <v>1455</v>
      </c>
      <c r="J76" s="20"/>
      <c r="K76" s="29"/>
      <c r="L76" s="20"/>
      <c r="M76" s="20"/>
      <c r="N76" s="70"/>
      <c r="O76" s="70"/>
      <c r="P76" s="93">
        <f>435.6</f>
        <v>435.6</v>
      </c>
      <c r="Q76" s="20">
        <v>877.25</v>
      </c>
      <c r="R76" s="70"/>
      <c r="S76" s="70"/>
      <c r="T76" s="70"/>
      <c r="U76" s="70"/>
      <c r="V76" s="23">
        <f t="shared" si="10"/>
        <v>1312.85</v>
      </c>
      <c r="W76" s="72">
        <f t="shared" si="11"/>
        <v>142.1500000000001</v>
      </c>
      <c r="X76" s="72"/>
      <c r="Y76" s="24">
        <f t="shared" si="12"/>
        <v>142.1500000000001</v>
      </c>
      <c r="Z76" s="74">
        <v>-436</v>
      </c>
    </row>
    <row r="77" spans="1:26" s="26" customFormat="1" ht="12.75">
      <c r="A77" s="235"/>
      <c r="B77" s="230"/>
      <c r="C77" s="75"/>
      <c r="D77" s="22"/>
      <c r="E77" s="22"/>
      <c r="F77" s="22"/>
      <c r="G77" s="96"/>
      <c r="H77" s="20">
        <v>2279</v>
      </c>
      <c r="I77" s="70"/>
      <c r="J77" s="20"/>
      <c r="K77" s="29"/>
      <c r="L77" s="20"/>
      <c r="M77" s="20"/>
      <c r="N77" s="70"/>
      <c r="O77" s="70"/>
      <c r="P77" s="93"/>
      <c r="Q77" s="20"/>
      <c r="R77" s="70"/>
      <c r="S77" s="70"/>
      <c r="T77" s="70"/>
      <c r="U77" s="70"/>
      <c r="V77" s="23">
        <f>SUM(J77:U77)</f>
        <v>0</v>
      </c>
      <c r="W77" s="72">
        <f>G77-V77</f>
        <v>0</v>
      </c>
      <c r="X77" s="72"/>
      <c r="Y77" s="24">
        <f>W77-X77</f>
        <v>0</v>
      </c>
      <c r="Z77" s="74">
        <v>436</v>
      </c>
    </row>
    <row r="78" spans="1:26" s="26" customFormat="1" ht="22.5">
      <c r="A78" s="70">
        <v>28</v>
      </c>
      <c r="B78" s="73" t="s">
        <v>65</v>
      </c>
      <c r="C78" s="75">
        <v>1000</v>
      </c>
      <c r="D78" s="92">
        <f>1443+82</f>
        <v>1525</v>
      </c>
      <c r="E78" s="92">
        <v>1360</v>
      </c>
      <c r="F78" s="92">
        <v>1000</v>
      </c>
      <c r="G78" s="70">
        <f>500+185+346</f>
        <v>1031</v>
      </c>
      <c r="H78" s="20">
        <v>2239</v>
      </c>
      <c r="I78" s="70">
        <f>G78</f>
        <v>1031</v>
      </c>
      <c r="J78" s="20"/>
      <c r="K78" s="29">
        <f>370.26</f>
        <v>370.26</v>
      </c>
      <c r="L78" s="20"/>
      <c r="M78" s="20">
        <f>300</f>
        <v>300</v>
      </c>
      <c r="N78" s="93">
        <f>360.51</f>
        <v>360.51</v>
      </c>
      <c r="O78" s="70"/>
      <c r="P78" s="70"/>
      <c r="Q78" s="70"/>
      <c r="R78" s="70"/>
      <c r="S78" s="70"/>
      <c r="T78" s="70"/>
      <c r="U78" s="70"/>
      <c r="V78" s="23">
        <f t="shared" si="10"/>
        <v>1030.77</v>
      </c>
      <c r="W78" s="72">
        <f t="shared" si="11"/>
        <v>0.2300000000000182</v>
      </c>
      <c r="X78" s="72"/>
      <c r="Y78" s="24">
        <f t="shared" si="12"/>
        <v>0.2300000000000182</v>
      </c>
      <c r="Z78" s="74"/>
    </row>
    <row r="79" spans="1:26" s="26" customFormat="1" ht="22.5">
      <c r="A79" s="70">
        <v>29</v>
      </c>
      <c r="B79" s="73" t="s">
        <v>66</v>
      </c>
      <c r="C79" s="70">
        <v>600</v>
      </c>
      <c r="D79" s="22">
        <v>600</v>
      </c>
      <c r="E79" s="22">
        <v>600</v>
      </c>
      <c r="F79" s="22">
        <v>2100</v>
      </c>
      <c r="G79" s="70">
        <f>2100-500</f>
        <v>1600</v>
      </c>
      <c r="H79" s="20">
        <v>2239</v>
      </c>
      <c r="I79" s="70">
        <v>2100</v>
      </c>
      <c r="J79" s="20"/>
      <c r="K79" s="29"/>
      <c r="L79" s="20"/>
      <c r="M79" s="20"/>
      <c r="N79" s="70"/>
      <c r="O79" s="70"/>
      <c r="P79" s="70"/>
      <c r="Q79" s="70"/>
      <c r="R79" s="70"/>
      <c r="S79" s="70"/>
      <c r="T79" s="70"/>
      <c r="U79" s="70"/>
      <c r="V79" s="23">
        <f t="shared" si="10"/>
        <v>0</v>
      </c>
      <c r="W79" s="72">
        <f t="shared" si="11"/>
        <v>1600</v>
      </c>
      <c r="X79" s="72"/>
      <c r="Y79" s="24">
        <f t="shared" si="12"/>
        <v>1600</v>
      </c>
      <c r="Z79" s="74">
        <v>-1600</v>
      </c>
    </row>
    <row r="80" spans="1:26" s="26" customFormat="1" ht="33.75">
      <c r="A80" s="70">
        <v>30</v>
      </c>
      <c r="B80" s="73" t="s">
        <v>67</v>
      </c>
      <c r="C80" s="70">
        <v>350</v>
      </c>
      <c r="D80" s="22">
        <v>0</v>
      </c>
      <c r="E80" s="22">
        <v>0</v>
      </c>
      <c r="F80" s="22">
        <v>350</v>
      </c>
      <c r="G80" s="70">
        <f>350-350</f>
        <v>0</v>
      </c>
      <c r="H80" s="20">
        <v>2390</v>
      </c>
      <c r="I80" s="70">
        <v>350</v>
      </c>
      <c r="J80" s="20"/>
      <c r="K80" s="29"/>
      <c r="L80" s="20"/>
      <c r="M80" s="20"/>
      <c r="N80" s="70"/>
      <c r="O80" s="70"/>
      <c r="P80" s="70"/>
      <c r="Q80" s="70"/>
      <c r="R80" s="70"/>
      <c r="S80" s="70"/>
      <c r="T80" s="70"/>
      <c r="U80" s="70"/>
      <c r="V80" s="23">
        <f t="shared" si="10"/>
        <v>0</v>
      </c>
      <c r="W80" s="72">
        <f t="shared" si="11"/>
        <v>0</v>
      </c>
      <c r="X80" s="72"/>
      <c r="Y80" s="24">
        <f t="shared" si="12"/>
        <v>0</v>
      </c>
      <c r="Z80" s="74"/>
    </row>
    <row r="81" spans="1:26" s="26" customFormat="1" ht="22.5">
      <c r="A81" s="70">
        <v>31</v>
      </c>
      <c r="B81" s="73" t="s">
        <v>68</v>
      </c>
      <c r="C81" s="75">
        <v>600</v>
      </c>
      <c r="D81" s="22">
        <v>1105</v>
      </c>
      <c r="E81" s="22">
        <v>1105</v>
      </c>
      <c r="F81" s="22">
        <v>400</v>
      </c>
      <c r="G81" s="70">
        <v>400</v>
      </c>
      <c r="H81" s="20">
        <v>2390</v>
      </c>
      <c r="I81" s="70">
        <v>400</v>
      </c>
      <c r="J81" s="20"/>
      <c r="K81" s="29">
        <f>399.91</f>
        <v>399.91</v>
      </c>
      <c r="L81" s="20"/>
      <c r="M81" s="20"/>
      <c r="N81" s="70"/>
      <c r="O81" s="70"/>
      <c r="P81" s="70"/>
      <c r="Q81" s="70"/>
      <c r="R81" s="70"/>
      <c r="S81" s="70"/>
      <c r="T81" s="70"/>
      <c r="U81" s="70"/>
      <c r="V81" s="23">
        <f t="shared" si="10"/>
        <v>399.91</v>
      </c>
      <c r="W81" s="72">
        <f t="shared" si="11"/>
        <v>0.08999999999997499</v>
      </c>
      <c r="X81" s="72"/>
      <c r="Y81" s="72">
        <f t="shared" si="12"/>
        <v>0.08999999999997499</v>
      </c>
      <c r="Z81" s="74"/>
    </row>
    <row r="82" spans="1:26" s="26" customFormat="1" ht="12.75">
      <c r="A82" s="70">
        <v>32</v>
      </c>
      <c r="B82" s="97" t="s">
        <v>69</v>
      </c>
      <c r="C82" s="20">
        <v>0</v>
      </c>
      <c r="D82" s="22">
        <v>0</v>
      </c>
      <c r="E82" s="22">
        <v>0</v>
      </c>
      <c r="F82" s="22">
        <v>500</v>
      </c>
      <c r="G82" s="70">
        <v>0</v>
      </c>
      <c r="H82" s="20">
        <v>2390</v>
      </c>
      <c r="I82" s="70">
        <v>0</v>
      </c>
      <c r="J82" s="20"/>
      <c r="K82" s="29"/>
      <c r="L82" s="20"/>
      <c r="M82" s="20"/>
      <c r="N82" s="70"/>
      <c r="O82" s="70"/>
      <c r="P82" s="70"/>
      <c r="Q82" s="70"/>
      <c r="R82" s="70"/>
      <c r="S82" s="70"/>
      <c r="T82" s="70"/>
      <c r="U82" s="70"/>
      <c r="V82" s="23">
        <f t="shared" si="10"/>
        <v>0</v>
      </c>
      <c r="W82" s="72">
        <f t="shared" si="11"/>
        <v>0</v>
      </c>
      <c r="X82" s="72"/>
      <c r="Y82" s="72">
        <f t="shared" si="12"/>
        <v>0</v>
      </c>
      <c r="Z82" s="74"/>
    </row>
    <row r="83" spans="1:26" s="26" customFormat="1" ht="12.75">
      <c r="A83" s="148" t="s">
        <v>25</v>
      </c>
      <c r="B83" s="150" t="s">
        <v>70</v>
      </c>
      <c r="C83" s="159">
        <f>SUM(C84:C86)</f>
        <v>3686</v>
      </c>
      <c r="D83" s="159">
        <f>SUM(D84:D86)</f>
        <v>4734</v>
      </c>
      <c r="E83" s="159">
        <f>SUM(E84:E86)</f>
        <v>4734</v>
      </c>
      <c r="F83" s="159">
        <f>SUM(F84:F86)</f>
        <v>4865</v>
      </c>
      <c r="G83" s="160">
        <f>SUM(G84:G86)</f>
        <v>4922</v>
      </c>
      <c r="H83" s="22"/>
      <c r="I83" s="160">
        <f>SUM(I84:I86)</f>
        <v>4865</v>
      </c>
      <c r="J83" s="160">
        <f>SUM(J84:J86)</f>
        <v>0</v>
      </c>
      <c r="K83" s="160">
        <f>SUM(K84:K86)</f>
        <v>0</v>
      </c>
      <c r="L83" s="143">
        <f>SUM(L84:L86)</f>
        <v>3851.69</v>
      </c>
      <c r="M83" s="143">
        <f>SUM(M84:M86)</f>
        <v>1068.9</v>
      </c>
      <c r="N83" s="160">
        <f aca="true" t="shared" si="13" ref="N83:Z83">SUM(N84:N86)</f>
        <v>0</v>
      </c>
      <c r="O83" s="160">
        <f t="shared" si="13"/>
        <v>0</v>
      </c>
      <c r="P83" s="160">
        <f t="shared" si="13"/>
        <v>0</v>
      </c>
      <c r="Q83" s="160">
        <f t="shared" si="13"/>
        <v>0</v>
      </c>
      <c r="R83" s="160">
        <f t="shared" si="13"/>
        <v>0</v>
      </c>
      <c r="S83" s="160">
        <f t="shared" si="13"/>
        <v>0</v>
      </c>
      <c r="T83" s="160">
        <f t="shared" si="13"/>
        <v>0</v>
      </c>
      <c r="U83" s="160">
        <f t="shared" si="13"/>
        <v>0</v>
      </c>
      <c r="V83" s="145">
        <f t="shared" si="13"/>
        <v>4920.59</v>
      </c>
      <c r="W83" s="145">
        <f t="shared" si="13"/>
        <v>1.4099999999998545</v>
      </c>
      <c r="X83" s="145">
        <f t="shared" si="13"/>
        <v>0</v>
      </c>
      <c r="Y83" s="145">
        <f t="shared" si="13"/>
        <v>1.4099999999998545</v>
      </c>
      <c r="Z83" s="145">
        <f t="shared" si="13"/>
        <v>0</v>
      </c>
    </row>
    <row r="84" spans="1:26" s="26" customFormat="1" ht="22.5">
      <c r="A84" s="70">
        <v>33</v>
      </c>
      <c r="B84" s="73" t="s">
        <v>71</v>
      </c>
      <c r="C84" s="73">
        <v>1260</v>
      </c>
      <c r="D84" s="73">
        <v>1260</v>
      </c>
      <c r="E84" s="73">
        <v>1252</v>
      </c>
      <c r="F84" s="73">
        <v>1365</v>
      </c>
      <c r="G84" s="70">
        <f>1365+23</f>
        <v>1388</v>
      </c>
      <c r="H84" s="20">
        <v>7712</v>
      </c>
      <c r="I84" s="70">
        <v>1365</v>
      </c>
      <c r="J84" s="20"/>
      <c r="K84" s="20"/>
      <c r="L84" s="29">
        <f>1387.04</f>
        <v>1387.04</v>
      </c>
      <c r="M84" s="20"/>
      <c r="N84" s="70"/>
      <c r="O84" s="70"/>
      <c r="P84" s="70"/>
      <c r="Q84" s="70"/>
      <c r="R84" s="70"/>
      <c r="S84" s="70"/>
      <c r="T84" s="70"/>
      <c r="U84" s="70"/>
      <c r="V84" s="23">
        <f>SUM(J84:U84)</f>
        <v>1387.04</v>
      </c>
      <c r="W84" s="72">
        <f>G84-V84</f>
        <v>0.9600000000000364</v>
      </c>
      <c r="X84" s="72"/>
      <c r="Y84" s="24">
        <f>W84-X84</f>
        <v>0.9600000000000364</v>
      </c>
      <c r="Z84" s="74"/>
    </row>
    <row r="85" spans="1:26" s="26" customFormat="1" ht="22.5">
      <c r="A85" s="70">
        <v>34</v>
      </c>
      <c r="B85" s="73" t="s">
        <v>72</v>
      </c>
      <c r="C85" s="73">
        <v>0</v>
      </c>
      <c r="D85" s="73">
        <v>1048</v>
      </c>
      <c r="E85" s="73">
        <v>1052</v>
      </c>
      <c r="F85" s="73">
        <v>1050</v>
      </c>
      <c r="G85" s="70">
        <f>1050+5+14</f>
        <v>1069</v>
      </c>
      <c r="H85" s="20">
        <v>7712</v>
      </c>
      <c r="I85" s="70">
        <v>1050</v>
      </c>
      <c r="J85" s="20"/>
      <c r="K85" s="20"/>
      <c r="L85" s="29"/>
      <c r="M85" s="29">
        <v>1068.9</v>
      </c>
      <c r="N85" s="70"/>
      <c r="O85" s="70"/>
      <c r="P85" s="70"/>
      <c r="Q85" s="70"/>
      <c r="R85" s="70"/>
      <c r="S85" s="70"/>
      <c r="T85" s="70"/>
      <c r="U85" s="70"/>
      <c r="V85" s="23">
        <f>SUM(J85:U85)</f>
        <v>1068.9</v>
      </c>
      <c r="W85" s="72">
        <f>G85-V85</f>
        <v>0.09999999999990905</v>
      </c>
      <c r="X85" s="72"/>
      <c r="Y85" s="24">
        <f>W85-X85</f>
        <v>0.09999999999990905</v>
      </c>
      <c r="Z85" s="74"/>
    </row>
    <row r="86" spans="1:26" s="26" customFormat="1" ht="22.5">
      <c r="A86" s="70">
        <v>35</v>
      </c>
      <c r="B86" s="73" t="s">
        <v>73</v>
      </c>
      <c r="C86" s="73">
        <v>2426</v>
      </c>
      <c r="D86" s="73">
        <v>2426</v>
      </c>
      <c r="E86" s="73">
        <v>2430</v>
      </c>
      <c r="F86" s="73">
        <v>2450</v>
      </c>
      <c r="G86" s="70">
        <f>2450+15</f>
        <v>2465</v>
      </c>
      <c r="H86" s="20">
        <v>7712</v>
      </c>
      <c r="I86" s="70">
        <v>2450</v>
      </c>
      <c r="J86" s="20"/>
      <c r="K86" s="20"/>
      <c r="L86" s="29">
        <f>2464.65</f>
        <v>2464.65</v>
      </c>
      <c r="M86" s="20"/>
      <c r="N86" s="70"/>
      <c r="O86" s="70"/>
      <c r="P86" s="70"/>
      <c r="Q86" s="70"/>
      <c r="R86" s="70"/>
      <c r="S86" s="70"/>
      <c r="T86" s="70"/>
      <c r="U86" s="70"/>
      <c r="V86" s="23">
        <f>SUM(J86:U86)</f>
        <v>2464.65</v>
      </c>
      <c r="W86" s="72">
        <f>G86-V86</f>
        <v>0.34999999999990905</v>
      </c>
      <c r="X86" s="72"/>
      <c r="Y86" s="72">
        <f>W86-X86</f>
        <v>0.34999999999990905</v>
      </c>
      <c r="Z86" s="74"/>
    </row>
    <row r="87" spans="1:26" s="26" customFormat="1" ht="12" customHeight="1">
      <c r="A87" s="148" t="s">
        <v>26</v>
      </c>
      <c r="B87" s="150" t="s">
        <v>74</v>
      </c>
      <c r="C87" s="159">
        <f>SUM(C88:C132)</f>
        <v>71990</v>
      </c>
      <c r="D87" s="159">
        <f>SUM(D88:D132)</f>
        <v>78258</v>
      </c>
      <c r="E87" s="159">
        <f>SUM(E88:E132)</f>
        <v>75226</v>
      </c>
      <c r="F87" s="161">
        <f>SUM(F88:F132)</f>
        <v>45525.76</v>
      </c>
      <c r="G87" s="143">
        <f>SUM(G88:G132)</f>
        <v>33496</v>
      </c>
      <c r="H87" s="22"/>
      <c r="I87" s="143">
        <f>SUM(I88:I132)</f>
        <v>33496</v>
      </c>
      <c r="J87" s="143">
        <f>SUM(J88:J132)</f>
        <v>100</v>
      </c>
      <c r="K87" s="143">
        <f>SUM(K88:K132)</f>
        <v>1495.62</v>
      </c>
      <c r="L87" s="143">
        <f>SUM(L88:L132)</f>
        <v>1652.99</v>
      </c>
      <c r="M87" s="143">
        <f>SUM(M88:M132)</f>
        <v>1888.49</v>
      </c>
      <c r="N87" s="143">
        <f aca="true" t="shared" si="14" ref="N87:Z87">SUM(N88:N132)</f>
        <v>9002.539999999999</v>
      </c>
      <c r="O87" s="143">
        <f t="shared" si="14"/>
        <v>0</v>
      </c>
      <c r="P87" s="143">
        <f t="shared" si="14"/>
        <v>4101.53</v>
      </c>
      <c r="Q87" s="143">
        <f t="shared" si="14"/>
        <v>0</v>
      </c>
      <c r="R87" s="143">
        <f t="shared" si="14"/>
        <v>0</v>
      </c>
      <c r="S87" s="143">
        <f t="shared" si="14"/>
        <v>0</v>
      </c>
      <c r="T87" s="143">
        <f t="shared" si="14"/>
        <v>0</v>
      </c>
      <c r="U87" s="143">
        <f t="shared" si="14"/>
        <v>0</v>
      </c>
      <c r="V87" s="145">
        <f t="shared" si="14"/>
        <v>18241.17</v>
      </c>
      <c r="W87" s="145">
        <f t="shared" si="14"/>
        <v>15254.830000000002</v>
      </c>
      <c r="X87" s="145">
        <f t="shared" si="14"/>
        <v>0</v>
      </c>
      <c r="Y87" s="145">
        <f t="shared" si="14"/>
        <v>15254.830000000002</v>
      </c>
      <c r="Z87" s="145">
        <f t="shared" si="14"/>
        <v>-6982</v>
      </c>
    </row>
    <row r="88" spans="1:26" s="26" customFormat="1" ht="33.75" hidden="1">
      <c r="A88" s="70">
        <v>36</v>
      </c>
      <c r="B88" s="73" t="s">
        <v>75</v>
      </c>
      <c r="C88" s="70">
        <v>300</v>
      </c>
      <c r="D88" s="22">
        <v>300</v>
      </c>
      <c r="E88" s="22">
        <v>300</v>
      </c>
      <c r="F88" s="22">
        <v>300</v>
      </c>
      <c r="G88" s="22">
        <v>0</v>
      </c>
      <c r="H88" s="22">
        <v>2239</v>
      </c>
      <c r="I88" s="22">
        <f>G88</f>
        <v>0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3">
        <f aca="true" t="shared" si="15" ref="V88:V131">SUM(J88:U88)</f>
        <v>0</v>
      </c>
      <c r="W88" s="24">
        <f aca="true" t="shared" si="16" ref="W88:W131">G88-V88</f>
        <v>0</v>
      </c>
      <c r="X88" s="98"/>
      <c r="Y88" s="24">
        <f aca="true" t="shared" si="17" ref="Y88:Y131">W88-X88</f>
        <v>0</v>
      </c>
      <c r="Z88" s="99"/>
    </row>
    <row r="89" spans="1:26" s="26" customFormat="1" ht="12" customHeight="1" hidden="1">
      <c r="A89" s="226">
        <v>37</v>
      </c>
      <c r="B89" s="227" t="s">
        <v>76</v>
      </c>
      <c r="C89" s="234">
        <v>1500</v>
      </c>
      <c r="D89" s="166">
        <v>1309</v>
      </c>
      <c r="E89" s="166">
        <v>1309</v>
      </c>
      <c r="F89" s="166">
        <v>500</v>
      </c>
      <c r="G89" s="22">
        <v>0</v>
      </c>
      <c r="H89" s="22">
        <v>2239</v>
      </c>
      <c r="I89" s="166">
        <f>SUM(G89:G90)</f>
        <v>0</v>
      </c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3">
        <f t="shared" si="15"/>
        <v>0</v>
      </c>
      <c r="W89" s="24">
        <f t="shared" si="16"/>
        <v>0</v>
      </c>
      <c r="X89" s="98"/>
      <c r="Y89" s="24">
        <f t="shared" si="17"/>
        <v>0</v>
      </c>
      <c r="Z89" s="99"/>
    </row>
    <row r="90" spans="1:26" s="26" customFormat="1" ht="12.75" hidden="1">
      <c r="A90" s="226"/>
      <c r="B90" s="227"/>
      <c r="C90" s="235"/>
      <c r="D90" s="167"/>
      <c r="E90" s="167"/>
      <c r="F90" s="167"/>
      <c r="G90" s="22">
        <v>0</v>
      </c>
      <c r="H90" s="22">
        <v>2390</v>
      </c>
      <c r="I90" s="167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3">
        <f t="shared" si="15"/>
        <v>0</v>
      </c>
      <c r="W90" s="24">
        <f t="shared" si="16"/>
        <v>0</v>
      </c>
      <c r="X90" s="98"/>
      <c r="Y90" s="24">
        <f t="shared" si="17"/>
        <v>0</v>
      </c>
      <c r="Z90" s="99"/>
    </row>
    <row r="91" spans="1:26" s="26" customFormat="1" ht="67.5">
      <c r="A91" s="46">
        <v>38</v>
      </c>
      <c r="B91" s="73" t="s">
        <v>77</v>
      </c>
      <c r="C91" s="70">
        <v>4000</v>
      </c>
      <c r="D91" s="22">
        <v>2522</v>
      </c>
      <c r="E91" s="22">
        <v>2522</v>
      </c>
      <c r="F91" s="22">
        <v>3000</v>
      </c>
      <c r="G91" s="22">
        <f>1290-290</f>
        <v>1000</v>
      </c>
      <c r="H91" s="22">
        <v>2232</v>
      </c>
      <c r="I91" s="92">
        <f>G91</f>
        <v>1000</v>
      </c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23">
        <f t="shared" si="15"/>
        <v>0</v>
      </c>
      <c r="W91" s="24">
        <f t="shared" si="16"/>
        <v>1000</v>
      </c>
      <c r="X91" s="24"/>
      <c r="Y91" s="24">
        <f t="shared" si="17"/>
        <v>1000</v>
      </c>
      <c r="Z91" s="25">
        <v>-1000</v>
      </c>
    </row>
    <row r="92" spans="1:26" s="26" customFormat="1" ht="12.75" hidden="1">
      <c r="A92" s="30">
        <v>39</v>
      </c>
      <c r="B92" s="64" t="s">
        <v>78</v>
      </c>
      <c r="C92" s="22">
        <v>4000</v>
      </c>
      <c r="D92" s="24">
        <f>8290+1320</f>
        <v>9610</v>
      </c>
      <c r="E92" s="92">
        <f>8291+929</f>
        <v>9220</v>
      </c>
      <c r="F92" s="24">
        <v>0</v>
      </c>
      <c r="G92" s="24">
        <v>0</v>
      </c>
      <c r="H92" s="20"/>
      <c r="I92" s="92">
        <v>0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23">
        <f t="shared" si="15"/>
        <v>0</v>
      </c>
      <c r="W92" s="24">
        <f t="shared" si="16"/>
        <v>0</v>
      </c>
      <c r="X92" s="24"/>
      <c r="Y92" s="24">
        <f t="shared" si="17"/>
        <v>0</v>
      </c>
      <c r="Z92" s="25"/>
    </row>
    <row r="93" spans="1:26" s="26" customFormat="1" ht="90">
      <c r="A93" s="30">
        <v>40</v>
      </c>
      <c r="B93" s="73" t="s">
        <v>79</v>
      </c>
      <c r="C93" s="70">
        <v>8000</v>
      </c>
      <c r="D93" s="22">
        <f>5641+2000</f>
        <v>7641</v>
      </c>
      <c r="E93" s="22">
        <f>5641+864</f>
        <v>6505</v>
      </c>
      <c r="F93" s="22">
        <v>5726</v>
      </c>
      <c r="G93" s="22">
        <f>4716+120</f>
        <v>4836</v>
      </c>
      <c r="H93" s="20">
        <v>5110</v>
      </c>
      <c r="I93" s="92">
        <f>G93</f>
        <v>4836</v>
      </c>
      <c r="J93" s="92"/>
      <c r="K93" s="92"/>
      <c r="L93" s="92"/>
      <c r="M93" s="92"/>
      <c r="N93" s="92">
        <v>4835.16</v>
      </c>
      <c r="O93" s="92"/>
      <c r="P93" s="92"/>
      <c r="Q93" s="92"/>
      <c r="R93" s="92"/>
      <c r="S93" s="92"/>
      <c r="T93" s="92"/>
      <c r="U93" s="92"/>
      <c r="V93" s="23">
        <f t="shared" si="15"/>
        <v>4835.16</v>
      </c>
      <c r="W93" s="24">
        <f t="shared" si="16"/>
        <v>0.8400000000001455</v>
      </c>
      <c r="X93" s="24">
        <f>3996*1.21-V93</f>
        <v>0</v>
      </c>
      <c r="Y93" s="24">
        <f t="shared" si="17"/>
        <v>0.8400000000001455</v>
      </c>
      <c r="Z93" s="25"/>
    </row>
    <row r="94" spans="1:26" s="26" customFormat="1" ht="22.5">
      <c r="A94" s="30">
        <v>41</v>
      </c>
      <c r="B94" s="73" t="s">
        <v>80</v>
      </c>
      <c r="C94" s="70">
        <v>500</v>
      </c>
      <c r="D94" s="22">
        <v>441</v>
      </c>
      <c r="E94" s="22">
        <v>441</v>
      </c>
      <c r="F94" s="22">
        <v>2500</v>
      </c>
      <c r="G94" s="22">
        <v>500</v>
      </c>
      <c r="H94" s="22">
        <v>2239</v>
      </c>
      <c r="I94" s="92">
        <f>G94</f>
        <v>500</v>
      </c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23">
        <f t="shared" si="15"/>
        <v>0</v>
      </c>
      <c r="W94" s="24">
        <f t="shared" si="16"/>
        <v>500</v>
      </c>
      <c r="X94" s="24"/>
      <c r="Y94" s="24">
        <f t="shared" si="17"/>
        <v>500</v>
      </c>
      <c r="Z94" s="25">
        <v>-500</v>
      </c>
    </row>
    <row r="95" spans="1:26" s="26" customFormat="1" ht="22.5" hidden="1">
      <c r="A95" s="30">
        <v>42</v>
      </c>
      <c r="B95" s="73" t="s">
        <v>81</v>
      </c>
      <c r="C95" s="70">
        <v>100</v>
      </c>
      <c r="D95" s="22">
        <v>0</v>
      </c>
      <c r="E95" s="22">
        <v>0</v>
      </c>
      <c r="F95" s="22">
        <v>0</v>
      </c>
      <c r="G95" s="22">
        <v>0</v>
      </c>
      <c r="H95" s="22"/>
      <c r="I95" s="92">
        <v>0</v>
      </c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23">
        <f t="shared" si="15"/>
        <v>0</v>
      </c>
      <c r="W95" s="24">
        <f t="shared" si="16"/>
        <v>0</v>
      </c>
      <c r="X95" s="24"/>
      <c r="Y95" s="24">
        <f t="shared" si="17"/>
        <v>0</v>
      </c>
      <c r="Z95" s="25"/>
    </row>
    <row r="96" spans="1:26" s="26" customFormat="1" ht="22.5" hidden="1">
      <c r="A96" s="30">
        <v>43</v>
      </c>
      <c r="B96" s="73" t="s">
        <v>82</v>
      </c>
      <c r="C96" s="70">
        <v>19800</v>
      </c>
      <c r="D96" s="22">
        <v>12683</v>
      </c>
      <c r="E96" s="22">
        <v>12683</v>
      </c>
      <c r="F96" s="22">
        <v>0</v>
      </c>
      <c r="G96" s="22">
        <v>0</v>
      </c>
      <c r="H96" s="22">
        <v>2231</v>
      </c>
      <c r="I96" s="92">
        <v>0</v>
      </c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23">
        <f t="shared" si="15"/>
        <v>0</v>
      </c>
      <c r="W96" s="24">
        <f t="shared" si="16"/>
        <v>0</v>
      </c>
      <c r="X96" s="24"/>
      <c r="Y96" s="24">
        <f t="shared" si="17"/>
        <v>0</v>
      </c>
      <c r="Z96" s="25"/>
    </row>
    <row r="97" spans="1:26" s="26" customFormat="1" ht="45">
      <c r="A97" s="30">
        <v>44</v>
      </c>
      <c r="B97" s="73" t="s">
        <v>83</v>
      </c>
      <c r="C97" s="70">
        <v>10000</v>
      </c>
      <c r="D97" s="92">
        <v>6939</v>
      </c>
      <c r="E97" s="92">
        <v>6938</v>
      </c>
      <c r="F97" s="92">
        <v>8499.76</v>
      </c>
      <c r="G97" s="92">
        <f>6000-1997</f>
        <v>4003</v>
      </c>
      <c r="H97" s="22">
        <v>2219</v>
      </c>
      <c r="I97" s="92">
        <f>G97</f>
        <v>4003</v>
      </c>
      <c r="J97" s="92"/>
      <c r="K97" s="92"/>
      <c r="L97" s="92"/>
      <c r="M97" s="92"/>
      <c r="N97" s="92"/>
      <c r="O97" s="92"/>
      <c r="P97" s="92">
        <f>3002.31</f>
        <v>3002.31</v>
      </c>
      <c r="Q97" s="92"/>
      <c r="R97" s="92"/>
      <c r="S97" s="92"/>
      <c r="T97" s="92"/>
      <c r="U97" s="92"/>
      <c r="V97" s="23">
        <f>SUM(J97:U97)</f>
        <v>3002.31</v>
      </c>
      <c r="W97" s="24">
        <f t="shared" si="16"/>
        <v>1000.69</v>
      </c>
      <c r="X97" s="42">
        <f>3002.31-V97</f>
        <v>0</v>
      </c>
      <c r="Y97" s="24">
        <f t="shared" si="17"/>
        <v>1000.69</v>
      </c>
      <c r="Z97" s="25">
        <v>-1000</v>
      </c>
    </row>
    <row r="98" spans="1:26" s="26" customFormat="1" ht="12.75">
      <c r="A98" s="231">
        <v>45</v>
      </c>
      <c r="B98" s="228" t="s">
        <v>84</v>
      </c>
      <c r="C98" s="70">
        <v>1500</v>
      </c>
      <c r="D98" s="22">
        <f>2309+1450</f>
        <v>3759</v>
      </c>
      <c r="E98" s="22">
        <f>2309+660</f>
        <v>2969</v>
      </c>
      <c r="F98" s="22">
        <v>2000</v>
      </c>
      <c r="G98" s="178">
        <f>1500+1331-800</f>
        <v>2031</v>
      </c>
      <c r="H98" s="178">
        <v>2239</v>
      </c>
      <c r="I98" s="179">
        <f>G98</f>
        <v>2031</v>
      </c>
      <c r="J98" s="92"/>
      <c r="K98" s="92"/>
      <c r="L98" s="92">
        <v>370</v>
      </c>
      <c r="M98" s="92"/>
      <c r="N98" s="92"/>
      <c r="O98" s="92"/>
      <c r="P98" s="92"/>
      <c r="Q98" s="92"/>
      <c r="R98" s="92"/>
      <c r="S98" s="92"/>
      <c r="T98" s="92"/>
      <c r="U98" s="92"/>
      <c r="V98" s="175">
        <f>SUM(J98:U102)</f>
        <v>1841.06</v>
      </c>
      <c r="W98" s="174">
        <f>G98-SUM(V98:V102)</f>
        <v>189.94000000000005</v>
      </c>
      <c r="X98" s="24"/>
      <c r="Y98" s="174">
        <f>W98-SUM(X98:X102)</f>
        <v>189.94000000000005</v>
      </c>
      <c r="Z98" s="25"/>
    </row>
    <row r="99" spans="1:26" s="26" customFormat="1" ht="12.75">
      <c r="A99" s="232"/>
      <c r="B99" s="229"/>
      <c r="C99" s="70"/>
      <c r="D99" s="22"/>
      <c r="E99" s="22"/>
      <c r="F99" s="22"/>
      <c r="G99" s="178"/>
      <c r="H99" s="178"/>
      <c r="I99" s="179"/>
      <c r="J99" s="92"/>
      <c r="K99" s="92"/>
      <c r="L99" s="92"/>
      <c r="M99" s="92">
        <f>249.99</f>
        <v>249.99</v>
      </c>
      <c r="N99" s="92"/>
      <c r="O99" s="92"/>
      <c r="P99" s="92"/>
      <c r="Q99" s="92"/>
      <c r="R99" s="92"/>
      <c r="S99" s="92"/>
      <c r="T99" s="92"/>
      <c r="U99" s="92"/>
      <c r="V99" s="176"/>
      <c r="W99" s="174"/>
      <c r="X99" s="24"/>
      <c r="Y99" s="174"/>
      <c r="Z99" s="25"/>
    </row>
    <row r="100" spans="1:26" s="26" customFormat="1" ht="12.75">
      <c r="A100" s="232"/>
      <c r="B100" s="229"/>
      <c r="C100" s="70"/>
      <c r="D100" s="22"/>
      <c r="E100" s="22"/>
      <c r="F100" s="22"/>
      <c r="G100" s="178"/>
      <c r="H100" s="178"/>
      <c r="I100" s="179"/>
      <c r="J100" s="92"/>
      <c r="K100" s="92"/>
      <c r="L100" s="92"/>
      <c r="M100" s="92">
        <f>181.5</f>
        <v>181.5</v>
      </c>
      <c r="N100" s="92"/>
      <c r="O100" s="92"/>
      <c r="P100" s="92"/>
      <c r="Q100" s="92"/>
      <c r="R100" s="92"/>
      <c r="S100" s="92"/>
      <c r="T100" s="92"/>
      <c r="U100" s="92"/>
      <c r="V100" s="176"/>
      <c r="W100" s="174"/>
      <c r="X100" s="24"/>
      <c r="Y100" s="174"/>
      <c r="Z100" s="25"/>
    </row>
    <row r="101" spans="1:26" s="26" customFormat="1" ht="12.75">
      <c r="A101" s="232"/>
      <c r="B101" s="229"/>
      <c r="C101" s="70"/>
      <c r="D101" s="22"/>
      <c r="E101" s="22"/>
      <c r="F101" s="22"/>
      <c r="G101" s="178"/>
      <c r="H101" s="178"/>
      <c r="I101" s="179"/>
      <c r="J101" s="92"/>
      <c r="K101" s="92"/>
      <c r="L101" s="92"/>
      <c r="M101" s="92"/>
      <c r="N101" s="92"/>
      <c r="O101" s="92"/>
      <c r="P101" s="92">
        <f>1039.57</f>
        <v>1039.57</v>
      </c>
      <c r="Q101" s="92"/>
      <c r="R101" s="92"/>
      <c r="S101" s="92"/>
      <c r="T101" s="92"/>
      <c r="U101" s="92"/>
      <c r="V101" s="176"/>
      <c r="W101" s="174"/>
      <c r="X101" s="24"/>
      <c r="Y101" s="174"/>
      <c r="Z101" s="25"/>
    </row>
    <row r="102" spans="1:26" s="26" customFormat="1" ht="12.75">
      <c r="A102" s="232"/>
      <c r="B102" s="229"/>
      <c r="C102" s="70"/>
      <c r="D102" s="22"/>
      <c r="E102" s="22"/>
      <c r="F102" s="22"/>
      <c r="G102" s="178"/>
      <c r="H102" s="178"/>
      <c r="I102" s="179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177"/>
      <c r="W102" s="174"/>
      <c r="X102" s="24"/>
      <c r="Y102" s="174"/>
      <c r="Z102" s="25"/>
    </row>
    <row r="103" spans="1:26" s="26" customFormat="1" ht="19.5" customHeight="1">
      <c r="A103" s="233"/>
      <c r="B103" s="230"/>
      <c r="C103" s="70"/>
      <c r="D103" s="22"/>
      <c r="E103" s="22"/>
      <c r="F103" s="22"/>
      <c r="G103" s="97">
        <f>800</f>
        <v>800</v>
      </c>
      <c r="H103" s="97">
        <v>2390</v>
      </c>
      <c r="I103" s="100">
        <f>G103</f>
        <v>800</v>
      </c>
      <c r="J103" s="92"/>
      <c r="K103" s="92"/>
      <c r="L103" s="92"/>
      <c r="M103" s="92">
        <v>800</v>
      </c>
      <c r="N103" s="92"/>
      <c r="O103" s="92"/>
      <c r="P103" s="92"/>
      <c r="Q103" s="92"/>
      <c r="R103" s="92"/>
      <c r="S103" s="92"/>
      <c r="T103" s="92"/>
      <c r="U103" s="92"/>
      <c r="V103" s="23">
        <f t="shared" si="15"/>
        <v>800</v>
      </c>
      <c r="W103" s="24">
        <f t="shared" si="16"/>
        <v>0</v>
      </c>
      <c r="X103" s="24">
        <f>800-V103</f>
        <v>0</v>
      </c>
      <c r="Y103" s="24">
        <f t="shared" si="17"/>
        <v>0</v>
      </c>
      <c r="Z103" s="25"/>
    </row>
    <row r="104" spans="1:26" s="26" customFormat="1" ht="22.5">
      <c r="A104" s="30">
        <v>46</v>
      </c>
      <c r="B104" s="96" t="s">
        <v>85</v>
      </c>
      <c r="C104" s="70">
        <v>1000</v>
      </c>
      <c r="D104" s="22">
        <v>1000</v>
      </c>
      <c r="E104" s="22">
        <v>1000</v>
      </c>
      <c r="F104" s="22">
        <v>1000</v>
      </c>
      <c r="G104" s="22">
        <f>1800+114+317+290</f>
        <v>2521</v>
      </c>
      <c r="H104" s="22">
        <v>2239</v>
      </c>
      <c r="I104" s="92">
        <f>G104</f>
        <v>2521</v>
      </c>
      <c r="J104" s="92"/>
      <c r="K104" s="92">
        <f>255.89+607.73</f>
        <v>863.62</v>
      </c>
      <c r="L104" s="92">
        <f>907.5+359.29</f>
        <v>1266.79</v>
      </c>
      <c r="M104" s="92"/>
      <c r="N104" s="92">
        <v>350</v>
      </c>
      <c r="O104" s="92"/>
      <c r="P104" s="92"/>
      <c r="Q104" s="92"/>
      <c r="R104" s="92"/>
      <c r="S104" s="92"/>
      <c r="T104" s="92"/>
      <c r="U104" s="92"/>
      <c r="V104" s="23">
        <f t="shared" si="15"/>
        <v>2480.41</v>
      </c>
      <c r="W104" s="24">
        <f t="shared" si="16"/>
        <v>40.590000000000146</v>
      </c>
      <c r="X104" s="24"/>
      <c r="Y104" s="24">
        <f t="shared" si="17"/>
        <v>40.590000000000146</v>
      </c>
      <c r="Z104" s="25">
        <v>930</v>
      </c>
    </row>
    <row r="105" spans="1:26" s="26" customFormat="1" ht="56.25">
      <c r="A105" s="30">
        <v>47</v>
      </c>
      <c r="B105" s="96" t="s">
        <v>86</v>
      </c>
      <c r="C105" s="70">
        <v>8000</v>
      </c>
      <c r="D105" s="22">
        <f>17717+1079</f>
        <v>18796</v>
      </c>
      <c r="E105" s="22">
        <f>17717+1064</f>
        <v>18781</v>
      </c>
      <c r="F105" s="22">
        <v>6234</v>
      </c>
      <c r="G105" s="22">
        <f>3500-500</f>
        <v>3000</v>
      </c>
      <c r="H105" s="22">
        <v>2231</v>
      </c>
      <c r="I105" s="92">
        <f>G105</f>
        <v>3000</v>
      </c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23">
        <f t="shared" si="15"/>
        <v>0</v>
      </c>
      <c r="W105" s="24">
        <f t="shared" si="16"/>
        <v>3000</v>
      </c>
      <c r="X105" s="24"/>
      <c r="Y105" s="24">
        <f t="shared" si="17"/>
        <v>3000</v>
      </c>
      <c r="Z105" s="25">
        <f>-2700-176</f>
        <v>-2876</v>
      </c>
    </row>
    <row r="106" spans="1:26" s="26" customFormat="1" ht="33.75">
      <c r="A106" s="30">
        <v>48</v>
      </c>
      <c r="B106" s="96" t="s">
        <v>87</v>
      </c>
      <c r="C106" s="70">
        <v>6000</v>
      </c>
      <c r="D106" s="22">
        <v>4193</v>
      </c>
      <c r="E106" s="22">
        <v>6103</v>
      </c>
      <c r="F106" s="22">
        <v>3000</v>
      </c>
      <c r="G106" s="22">
        <f>3000+2624</f>
        <v>5624</v>
      </c>
      <c r="H106" s="22">
        <v>2231</v>
      </c>
      <c r="I106" s="92">
        <f>G106</f>
        <v>5624</v>
      </c>
      <c r="J106" s="92">
        <v>100</v>
      </c>
      <c r="K106" s="92">
        <f>274.5+108+137.5+112</f>
        <v>632</v>
      </c>
      <c r="L106" s="92">
        <v>16.2</v>
      </c>
      <c r="M106" s="92">
        <v>57</v>
      </c>
      <c r="N106" s="92">
        <f>105+68+1524.6+883.3+617.1+65.25+55</f>
        <v>3318.2499999999995</v>
      </c>
      <c r="O106" s="92"/>
      <c r="P106" s="92">
        <f>44.65+15</f>
        <v>59.65</v>
      </c>
      <c r="Q106" s="92"/>
      <c r="R106" s="92"/>
      <c r="S106" s="92"/>
      <c r="T106" s="92"/>
      <c r="U106" s="92"/>
      <c r="V106" s="23">
        <f t="shared" si="15"/>
        <v>4183.099999999999</v>
      </c>
      <c r="W106" s="24">
        <f t="shared" si="16"/>
        <v>1440.9000000000005</v>
      </c>
      <c r="X106" s="24"/>
      <c r="Y106" s="24">
        <f t="shared" si="17"/>
        <v>1440.9000000000005</v>
      </c>
      <c r="Z106" s="25">
        <v>-800</v>
      </c>
    </row>
    <row r="107" spans="1:26" s="26" customFormat="1" ht="22.5" hidden="1">
      <c r="A107" s="30">
        <v>49</v>
      </c>
      <c r="B107" s="96" t="s">
        <v>88</v>
      </c>
      <c r="C107" s="70">
        <v>600</v>
      </c>
      <c r="D107" s="22">
        <v>600</v>
      </c>
      <c r="E107" s="22">
        <v>953</v>
      </c>
      <c r="F107" s="22">
        <v>0</v>
      </c>
      <c r="G107" s="22">
        <v>0</v>
      </c>
      <c r="H107" s="22">
        <v>2231</v>
      </c>
      <c r="I107" s="92">
        <v>0</v>
      </c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23">
        <f t="shared" si="15"/>
        <v>0</v>
      </c>
      <c r="W107" s="24">
        <f t="shared" si="16"/>
        <v>0</v>
      </c>
      <c r="X107" s="24"/>
      <c r="Y107" s="24">
        <f t="shared" si="17"/>
        <v>0</v>
      </c>
      <c r="Z107" s="25"/>
    </row>
    <row r="108" spans="1:26" s="26" customFormat="1" ht="12.75">
      <c r="A108" s="214">
        <v>50</v>
      </c>
      <c r="B108" s="225" t="s">
        <v>89</v>
      </c>
      <c r="C108" s="234">
        <v>800</v>
      </c>
      <c r="D108" s="166">
        <v>2008</v>
      </c>
      <c r="E108" s="166">
        <v>2008</v>
      </c>
      <c r="F108" s="166">
        <v>1786</v>
      </c>
      <c r="G108" s="22">
        <v>600</v>
      </c>
      <c r="H108" s="22">
        <v>2312</v>
      </c>
      <c r="I108" s="163">
        <f>SUM(G108:G110)</f>
        <v>1056</v>
      </c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23">
        <f t="shared" si="15"/>
        <v>0</v>
      </c>
      <c r="W108" s="24">
        <f t="shared" si="16"/>
        <v>600</v>
      </c>
      <c r="X108" s="24"/>
      <c r="Y108" s="24">
        <f t="shared" si="17"/>
        <v>600</v>
      </c>
      <c r="Z108" s="25">
        <v>-600</v>
      </c>
    </row>
    <row r="109" spans="1:26" s="26" customFormat="1" ht="12.75" customHeight="1">
      <c r="A109" s="214"/>
      <c r="B109" s="225"/>
      <c r="C109" s="237"/>
      <c r="D109" s="183"/>
      <c r="E109" s="183"/>
      <c r="F109" s="183"/>
      <c r="G109" s="22">
        <v>356</v>
      </c>
      <c r="H109" s="22">
        <v>2239</v>
      </c>
      <c r="I109" s="184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23">
        <f t="shared" si="15"/>
        <v>0</v>
      </c>
      <c r="W109" s="24">
        <f t="shared" si="16"/>
        <v>356</v>
      </c>
      <c r="X109" s="24"/>
      <c r="Y109" s="24">
        <f t="shared" si="17"/>
        <v>356</v>
      </c>
      <c r="Z109" s="25">
        <v>-356</v>
      </c>
    </row>
    <row r="110" spans="1:26" s="26" customFormat="1" ht="12.75">
      <c r="A110" s="214"/>
      <c r="B110" s="225"/>
      <c r="C110" s="235"/>
      <c r="D110" s="167"/>
      <c r="E110" s="167"/>
      <c r="F110" s="167"/>
      <c r="G110" s="22">
        <v>100</v>
      </c>
      <c r="H110" s="22">
        <v>2390</v>
      </c>
      <c r="I110" s="164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23">
        <f t="shared" si="15"/>
        <v>0</v>
      </c>
      <c r="W110" s="24">
        <f t="shared" si="16"/>
        <v>100</v>
      </c>
      <c r="X110" s="24"/>
      <c r="Y110" s="24">
        <f t="shared" si="17"/>
        <v>100</v>
      </c>
      <c r="Z110" s="25">
        <v>-100</v>
      </c>
    </row>
    <row r="111" spans="1:26" s="26" customFormat="1" ht="45" hidden="1">
      <c r="A111" s="30">
        <v>51</v>
      </c>
      <c r="B111" s="101" t="s">
        <v>90</v>
      </c>
      <c r="C111" s="22">
        <v>2000</v>
      </c>
      <c r="D111" s="22">
        <v>239</v>
      </c>
      <c r="E111" s="22">
        <v>238</v>
      </c>
      <c r="F111" s="22">
        <v>0</v>
      </c>
      <c r="G111" s="22">
        <v>0</v>
      </c>
      <c r="H111" s="22"/>
      <c r="I111" s="92">
        <v>0</v>
      </c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23">
        <f t="shared" si="15"/>
        <v>0</v>
      </c>
      <c r="W111" s="24">
        <f t="shared" si="16"/>
        <v>0</v>
      </c>
      <c r="X111" s="24"/>
      <c r="Y111" s="24">
        <f t="shared" si="17"/>
        <v>0</v>
      </c>
      <c r="Z111" s="25"/>
    </row>
    <row r="112" spans="1:26" s="26" customFormat="1" ht="12.75">
      <c r="A112" s="30">
        <v>52</v>
      </c>
      <c r="B112" s="97" t="s">
        <v>91</v>
      </c>
      <c r="C112" s="22">
        <v>30</v>
      </c>
      <c r="D112" s="22">
        <v>0</v>
      </c>
      <c r="E112" s="22">
        <v>0</v>
      </c>
      <c r="F112" s="22">
        <v>30</v>
      </c>
      <c r="G112" s="22">
        <v>30</v>
      </c>
      <c r="H112" s="22">
        <v>2239</v>
      </c>
      <c r="I112" s="92">
        <f>G112</f>
        <v>30</v>
      </c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23">
        <f t="shared" si="15"/>
        <v>0</v>
      </c>
      <c r="W112" s="24">
        <f t="shared" si="16"/>
        <v>30</v>
      </c>
      <c r="X112" s="24"/>
      <c r="Y112" s="24">
        <f t="shared" si="17"/>
        <v>30</v>
      </c>
      <c r="Z112" s="25">
        <v>-30</v>
      </c>
    </row>
    <row r="113" spans="1:26" s="26" customFormat="1" ht="33.75">
      <c r="A113" s="30">
        <v>53</v>
      </c>
      <c r="B113" s="101" t="s">
        <v>92</v>
      </c>
      <c r="C113" s="22">
        <v>1500</v>
      </c>
      <c r="D113" s="22">
        <v>1230</v>
      </c>
      <c r="E113" s="22">
        <v>1230</v>
      </c>
      <c r="F113" s="22">
        <v>1000</v>
      </c>
      <c r="G113" s="22">
        <f>500-500+500</f>
        <v>500</v>
      </c>
      <c r="H113" s="22">
        <v>2239</v>
      </c>
      <c r="I113" s="92">
        <f>G113</f>
        <v>500</v>
      </c>
      <c r="J113" s="92"/>
      <c r="K113" s="92"/>
      <c r="L113" s="92"/>
      <c r="M113" s="92"/>
      <c r="N113" s="92">
        <f>299.48+199.65</f>
        <v>499.13</v>
      </c>
      <c r="O113" s="92"/>
      <c r="P113" s="92"/>
      <c r="Q113" s="92"/>
      <c r="R113" s="92"/>
      <c r="S113" s="92"/>
      <c r="T113" s="92"/>
      <c r="U113" s="92"/>
      <c r="V113" s="23">
        <f t="shared" si="15"/>
        <v>499.13</v>
      </c>
      <c r="W113" s="24">
        <f t="shared" si="16"/>
        <v>0.8700000000000045</v>
      </c>
      <c r="X113" s="24"/>
      <c r="Y113" s="24">
        <f t="shared" si="17"/>
        <v>0.8700000000000045</v>
      </c>
      <c r="Z113" s="25"/>
    </row>
    <row r="114" spans="1:26" s="26" customFormat="1" ht="12.75">
      <c r="A114" s="30">
        <v>54</v>
      </c>
      <c r="B114" s="96" t="s">
        <v>93</v>
      </c>
      <c r="C114" s="70"/>
      <c r="D114" s="22">
        <v>0</v>
      </c>
      <c r="E114" s="22">
        <v>0</v>
      </c>
      <c r="F114" s="22">
        <v>100</v>
      </c>
      <c r="G114" s="22">
        <v>100</v>
      </c>
      <c r="H114" s="22">
        <v>2279</v>
      </c>
      <c r="I114" s="92">
        <f>G114</f>
        <v>100</v>
      </c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23">
        <f t="shared" si="15"/>
        <v>0</v>
      </c>
      <c r="W114" s="24">
        <f t="shared" si="16"/>
        <v>100</v>
      </c>
      <c r="X114" s="24"/>
      <c r="Y114" s="24">
        <f t="shared" si="17"/>
        <v>100</v>
      </c>
      <c r="Z114" s="25">
        <v>-100</v>
      </c>
    </row>
    <row r="115" spans="1:26" s="26" customFormat="1" ht="12.75">
      <c r="A115" s="30">
        <v>55</v>
      </c>
      <c r="B115" s="97" t="s">
        <v>94</v>
      </c>
      <c r="C115" s="22">
        <v>100</v>
      </c>
      <c r="D115" s="22">
        <v>69</v>
      </c>
      <c r="E115" s="22">
        <v>69</v>
      </c>
      <c r="F115" s="22">
        <v>100</v>
      </c>
      <c r="G115" s="22">
        <v>50</v>
      </c>
      <c r="H115" s="22">
        <v>2313</v>
      </c>
      <c r="I115" s="92">
        <f>G115</f>
        <v>50</v>
      </c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23">
        <f t="shared" si="15"/>
        <v>0</v>
      </c>
      <c r="W115" s="24">
        <f t="shared" si="16"/>
        <v>50</v>
      </c>
      <c r="X115" s="24"/>
      <c r="Y115" s="24">
        <f t="shared" si="17"/>
        <v>50</v>
      </c>
      <c r="Z115" s="25">
        <v>-50</v>
      </c>
    </row>
    <row r="116" spans="1:26" s="26" customFormat="1" ht="22.5" hidden="1">
      <c r="A116" s="30">
        <v>56</v>
      </c>
      <c r="B116" s="102" t="s">
        <v>95</v>
      </c>
      <c r="C116" s="70">
        <v>500</v>
      </c>
      <c r="D116" s="22">
        <f>300+200</f>
        <v>500</v>
      </c>
      <c r="E116" s="22">
        <f>300+200</f>
        <v>500</v>
      </c>
      <c r="F116" s="22">
        <v>0</v>
      </c>
      <c r="G116" s="22">
        <v>0</v>
      </c>
      <c r="H116" s="22"/>
      <c r="I116" s="92">
        <v>0</v>
      </c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23">
        <f t="shared" si="15"/>
        <v>0</v>
      </c>
      <c r="W116" s="24">
        <f t="shared" si="16"/>
        <v>0</v>
      </c>
      <c r="X116" s="24"/>
      <c r="Y116" s="24">
        <f t="shared" si="17"/>
        <v>0</v>
      </c>
      <c r="Z116" s="25"/>
    </row>
    <row r="117" spans="1:26" s="26" customFormat="1" ht="12.75">
      <c r="A117" s="30">
        <v>57</v>
      </c>
      <c r="B117" s="97" t="s">
        <v>96</v>
      </c>
      <c r="C117" s="22">
        <v>500</v>
      </c>
      <c r="D117" s="22">
        <v>500</v>
      </c>
      <c r="E117" s="22">
        <v>0</v>
      </c>
      <c r="F117" s="22">
        <v>200</v>
      </c>
      <c r="G117" s="22">
        <v>200</v>
      </c>
      <c r="H117" s="22">
        <v>2214</v>
      </c>
      <c r="I117" s="92">
        <f>G117</f>
        <v>200</v>
      </c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23">
        <f t="shared" si="15"/>
        <v>0</v>
      </c>
      <c r="W117" s="24">
        <f t="shared" si="16"/>
        <v>200</v>
      </c>
      <c r="X117" s="24"/>
      <c r="Y117" s="24">
        <f t="shared" si="17"/>
        <v>200</v>
      </c>
      <c r="Z117" s="25"/>
    </row>
    <row r="118" spans="1:26" s="26" customFormat="1" ht="12.75">
      <c r="A118" s="30">
        <v>58</v>
      </c>
      <c r="B118" s="97" t="s">
        <v>97</v>
      </c>
      <c r="C118" s="22">
        <v>1260</v>
      </c>
      <c r="D118" s="22">
        <v>1260</v>
      </c>
      <c r="E118" s="22">
        <v>665</v>
      </c>
      <c r="F118" s="22">
        <v>0</v>
      </c>
      <c r="G118" s="22">
        <v>545</v>
      </c>
      <c r="H118" s="22">
        <v>2512</v>
      </c>
      <c r="I118" s="92">
        <f>G118</f>
        <v>545</v>
      </c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23">
        <f t="shared" si="15"/>
        <v>0</v>
      </c>
      <c r="W118" s="24">
        <f t="shared" si="16"/>
        <v>545</v>
      </c>
      <c r="X118" s="24"/>
      <c r="Y118" s="24">
        <f t="shared" si="17"/>
        <v>545</v>
      </c>
      <c r="Z118" s="25"/>
    </row>
    <row r="119" spans="1:26" s="26" customFormat="1" ht="22.5" hidden="1">
      <c r="A119" s="30">
        <v>59</v>
      </c>
      <c r="B119" s="96" t="s">
        <v>98</v>
      </c>
      <c r="C119" s="70">
        <v>0</v>
      </c>
      <c r="D119" s="22">
        <v>2659</v>
      </c>
      <c r="E119" s="22">
        <v>792</v>
      </c>
      <c r="F119" s="22">
        <v>0</v>
      </c>
      <c r="G119" s="22">
        <v>0</v>
      </c>
      <c r="H119" s="22"/>
      <c r="I119" s="92">
        <v>0</v>
      </c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23">
        <f t="shared" si="15"/>
        <v>0</v>
      </c>
      <c r="W119" s="24">
        <f t="shared" si="16"/>
        <v>0</v>
      </c>
      <c r="X119" s="24"/>
      <c r="Y119" s="24">
        <f t="shared" si="17"/>
        <v>0</v>
      </c>
      <c r="Z119" s="25"/>
    </row>
    <row r="120" spans="1:26" s="26" customFormat="1" ht="12.75">
      <c r="A120" s="30">
        <v>60</v>
      </c>
      <c r="B120" s="97" t="s">
        <v>99</v>
      </c>
      <c r="C120" s="22">
        <v>0</v>
      </c>
      <c r="D120" s="22">
        <v>0</v>
      </c>
      <c r="E120" s="22">
        <v>0</v>
      </c>
      <c r="F120" s="22">
        <v>600</v>
      </c>
      <c r="G120" s="22">
        <v>600</v>
      </c>
      <c r="H120" s="22">
        <v>2279</v>
      </c>
      <c r="I120" s="92">
        <f>G120</f>
        <v>600</v>
      </c>
      <c r="J120" s="92"/>
      <c r="K120" s="92"/>
      <c r="L120" s="92"/>
      <c r="M120" s="92">
        <v>600</v>
      </c>
      <c r="N120" s="92"/>
      <c r="O120" s="92"/>
      <c r="P120" s="92"/>
      <c r="Q120" s="92"/>
      <c r="R120" s="92"/>
      <c r="S120" s="92"/>
      <c r="T120" s="92"/>
      <c r="U120" s="92"/>
      <c r="V120" s="23">
        <f t="shared" si="15"/>
        <v>600</v>
      </c>
      <c r="W120" s="24">
        <f t="shared" si="16"/>
        <v>0</v>
      </c>
      <c r="X120" s="24"/>
      <c r="Y120" s="24">
        <f t="shared" si="17"/>
        <v>0</v>
      </c>
      <c r="Z120" s="25"/>
    </row>
    <row r="121" spans="1:26" s="26" customFormat="1" ht="12.75">
      <c r="A121" s="214">
        <v>61</v>
      </c>
      <c r="B121" s="236" t="s">
        <v>100</v>
      </c>
      <c r="C121" s="166">
        <v>0</v>
      </c>
      <c r="D121" s="166">
        <v>0</v>
      </c>
      <c r="E121" s="166">
        <v>0</v>
      </c>
      <c r="F121" s="166">
        <v>2200</v>
      </c>
      <c r="G121" s="22">
        <v>1700</v>
      </c>
      <c r="H121" s="22">
        <v>2312</v>
      </c>
      <c r="I121" s="166">
        <f>SUM(G121:G122)</f>
        <v>2200</v>
      </c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3">
        <f t="shared" si="15"/>
        <v>0</v>
      </c>
      <c r="W121" s="24">
        <f t="shared" si="16"/>
        <v>1700</v>
      </c>
      <c r="X121" s="98"/>
      <c r="Y121" s="24">
        <f t="shared" si="17"/>
        <v>1700</v>
      </c>
      <c r="Z121" s="99"/>
    </row>
    <row r="122" spans="1:26" s="26" customFormat="1" ht="12.75">
      <c r="A122" s="214"/>
      <c r="B122" s="236"/>
      <c r="C122" s="167"/>
      <c r="D122" s="167"/>
      <c r="E122" s="167"/>
      <c r="F122" s="167"/>
      <c r="G122" s="22">
        <v>500</v>
      </c>
      <c r="H122" s="22">
        <v>2239</v>
      </c>
      <c r="I122" s="167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3">
        <f t="shared" si="15"/>
        <v>0</v>
      </c>
      <c r="W122" s="24">
        <f t="shared" si="16"/>
        <v>500</v>
      </c>
      <c r="X122" s="98"/>
      <c r="Y122" s="24">
        <f t="shared" si="17"/>
        <v>500</v>
      </c>
      <c r="Z122" s="99"/>
    </row>
    <row r="123" spans="1:26" s="26" customFormat="1" ht="12.75">
      <c r="A123" s="214">
        <v>62</v>
      </c>
      <c r="B123" s="236" t="s">
        <v>101</v>
      </c>
      <c r="C123" s="166">
        <v>0</v>
      </c>
      <c r="D123" s="166">
        <v>0</v>
      </c>
      <c r="E123" s="166">
        <v>0</v>
      </c>
      <c r="F123" s="166">
        <v>1350</v>
      </c>
      <c r="G123" s="22">
        <f>600-600</f>
        <v>0</v>
      </c>
      <c r="H123" s="22">
        <v>2312</v>
      </c>
      <c r="I123" s="166">
        <f>SUM(G123:G124)</f>
        <v>0</v>
      </c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3">
        <f t="shared" si="15"/>
        <v>0</v>
      </c>
      <c r="W123" s="24">
        <f t="shared" si="16"/>
        <v>0</v>
      </c>
      <c r="X123" s="98"/>
      <c r="Y123" s="24">
        <f t="shared" si="17"/>
        <v>0</v>
      </c>
      <c r="Z123" s="99"/>
    </row>
    <row r="124" spans="1:26" s="26" customFormat="1" ht="12.75">
      <c r="A124" s="214"/>
      <c r="B124" s="236"/>
      <c r="C124" s="167"/>
      <c r="D124" s="167"/>
      <c r="E124" s="167"/>
      <c r="F124" s="167"/>
      <c r="G124" s="22">
        <f>200-200</f>
        <v>0</v>
      </c>
      <c r="H124" s="22">
        <v>2239</v>
      </c>
      <c r="I124" s="167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3">
        <f t="shared" si="15"/>
        <v>0</v>
      </c>
      <c r="W124" s="24">
        <f t="shared" si="16"/>
        <v>0</v>
      </c>
      <c r="X124" s="98"/>
      <c r="Y124" s="24">
        <f t="shared" si="17"/>
        <v>0</v>
      </c>
      <c r="Z124" s="99"/>
    </row>
    <row r="125" spans="1:26" s="26" customFormat="1" ht="12.75">
      <c r="A125" s="214">
        <v>63</v>
      </c>
      <c r="B125" s="236" t="s">
        <v>102</v>
      </c>
      <c r="C125" s="166">
        <v>0</v>
      </c>
      <c r="D125" s="166">
        <v>0</v>
      </c>
      <c r="E125" s="166">
        <v>0</v>
      </c>
      <c r="F125" s="166">
        <v>2500</v>
      </c>
      <c r="G125" s="22">
        <v>2000</v>
      </c>
      <c r="H125" s="22">
        <v>2312</v>
      </c>
      <c r="I125" s="166">
        <f>SUM(G125:G126)</f>
        <v>2500</v>
      </c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3">
        <f t="shared" si="15"/>
        <v>0</v>
      </c>
      <c r="W125" s="24">
        <f t="shared" si="16"/>
        <v>2000</v>
      </c>
      <c r="X125" s="98"/>
      <c r="Y125" s="24">
        <f t="shared" si="17"/>
        <v>2000</v>
      </c>
      <c r="Z125" s="99"/>
    </row>
    <row r="126" spans="1:26" s="26" customFormat="1" ht="12.75">
      <c r="A126" s="214"/>
      <c r="B126" s="236"/>
      <c r="C126" s="167"/>
      <c r="D126" s="167"/>
      <c r="E126" s="167"/>
      <c r="F126" s="167"/>
      <c r="G126" s="22">
        <v>500</v>
      </c>
      <c r="H126" s="22">
        <v>2239</v>
      </c>
      <c r="I126" s="167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3">
        <f t="shared" si="15"/>
        <v>0</v>
      </c>
      <c r="W126" s="24">
        <f t="shared" si="16"/>
        <v>500</v>
      </c>
      <c r="X126" s="98"/>
      <c r="Y126" s="24">
        <f t="shared" si="17"/>
        <v>500</v>
      </c>
      <c r="Z126" s="99"/>
    </row>
    <row r="127" spans="1:26" s="26" customFormat="1" ht="12.75">
      <c r="A127" s="30">
        <v>64</v>
      </c>
      <c r="B127" s="97" t="s">
        <v>103</v>
      </c>
      <c r="C127" s="22">
        <v>0</v>
      </c>
      <c r="D127" s="22">
        <v>0</v>
      </c>
      <c r="E127" s="22">
        <v>0</v>
      </c>
      <c r="F127" s="22">
        <v>300</v>
      </c>
      <c r="G127" s="22">
        <v>300</v>
      </c>
      <c r="H127" s="22">
        <v>2312</v>
      </c>
      <c r="I127" s="22">
        <f>G127</f>
        <v>300</v>
      </c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3">
        <f t="shared" si="15"/>
        <v>0</v>
      </c>
      <c r="W127" s="24">
        <f t="shared" si="16"/>
        <v>300</v>
      </c>
      <c r="X127" s="98"/>
      <c r="Y127" s="24">
        <f t="shared" si="17"/>
        <v>300</v>
      </c>
      <c r="Z127" s="99">
        <v>-300</v>
      </c>
    </row>
    <row r="128" spans="1:26" s="26" customFormat="1" ht="12.75" customHeight="1">
      <c r="A128" s="30">
        <v>65</v>
      </c>
      <c r="B128" s="97" t="s">
        <v>104</v>
      </c>
      <c r="C128" s="22">
        <v>0</v>
      </c>
      <c r="D128" s="22">
        <v>0</v>
      </c>
      <c r="E128" s="22">
        <v>0</v>
      </c>
      <c r="F128" s="22">
        <v>1000</v>
      </c>
      <c r="G128" s="22">
        <f>700-700</f>
        <v>0</v>
      </c>
      <c r="H128" s="22">
        <v>2231</v>
      </c>
      <c r="I128" s="22">
        <f>G128</f>
        <v>0</v>
      </c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3">
        <f t="shared" si="15"/>
        <v>0</v>
      </c>
      <c r="W128" s="24">
        <f t="shared" si="16"/>
        <v>0</v>
      </c>
      <c r="X128" s="98"/>
      <c r="Y128" s="24">
        <f t="shared" si="17"/>
        <v>0</v>
      </c>
      <c r="Z128" s="99"/>
    </row>
    <row r="129" spans="1:26" s="26" customFormat="1" ht="12.75">
      <c r="A129" s="30">
        <v>66</v>
      </c>
      <c r="B129" s="97" t="s">
        <v>105</v>
      </c>
      <c r="C129" s="22">
        <v>0</v>
      </c>
      <c r="D129" s="22">
        <v>0</v>
      </c>
      <c r="E129" s="22">
        <v>0</v>
      </c>
      <c r="F129" s="22">
        <v>800</v>
      </c>
      <c r="G129" s="22">
        <v>500</v>
      </c>
      <c r="H129" s="22">
        <v>2390</v>
      </c>
      <c r="I129" s="22">
        <f>G129</f>
        <v>500</v>
      </c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3">
        <f t="shared" si="15"/>
        <v>0</v>
      </c>
      <c r="W129" s="24">
        <f t="shared" si="16"/>
        <v>500</v>
      </c>
      <c r="X129" s="98"/>
      <c r="Y129" s="24">
        <f t="shared" si="17"/>
        <v>500</v>
      </c>
      <c r="Z129" s="99"/>
    </row>
    <row r="130" spans="1:26" s="26" customFormat="1" ht="22.5">
      <c r="A130" s="46">
        <v>67</v>
      </c>
      <c r="B130" s="101" t="s">
        <v>106</v>
      </c>
      <c r="C130" s="20">
        <v>0</v>
      </c>
      <c r="D130" s="92">
        <v>0</v>
      </c>
      <c r="E130" s="92">
        <v>0</v>
      </c>
      <c r="F130" s="92">
        <v>400</v>
      </c>
      <c r="G130" s="92">
        <f>400-200</f>
        <v>200</v>
      </c>
      <c r="H130" s="22">
        <v>2390</v>
      </c>
      <c r="I130" s="103">
        <f>G130</f>
        <v>200</v>
      </c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3">
        <f>SUM(J130:U130)</f>
        <v>0</v>
      </c>
      <c r="W130" s="24">
        <f>G130-V130</f>
        <v>200</v>
      </c>
      <c r="X130" s="98"/>
      <c r="Y130" s="24">
        <f>W130-X130</f>
        <v>200</v>
      </c>
      <c r="Z130" s="99">
        <v>-200</v>
      </c>
    </row>
    <row r="131" spans="1:26" s="26" customFormat="1" ht="22.5">
      <c r="A131" s="46">
        <v>68</v>
      </c>
      <c r="B131" s="101" t="s">
        <v>107</v>
      </c>
      <c r="C131" s="20">
        <v>0</v>
      </c>
      <c r="D131" s="92">
        <v>0</v>
      </c>
      <c r="E131" s="92">
        <v>0</v>
      </c>
      <c r="F131" s="92">
        <v>400</v>
      </c>
      <c r="G131" s="92">
        <f>400</f>
        <v>400</v>
      </c>
      <c r="H131" s="22">
        <v>2312</v>
      </c>
      <c r="I131" s="103">
        <f>G131</f>
        <v>400</v>
      </c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3">
        <f t="shared" si="15"/>
        <v>0</v>
      </c>
      <c r="W131" s="24">
        <f t="shared" si="16"/>
        <v>400</v>
      </c>
      <c r="X131" s="98"/>
      <c r="Y131" s="24">
        <f t="shared" si="17"/>
        <v>400</v>
      </c>
      <c r="Z131" s="99"/>
    </row>
    <row r="132" spans="1:26" s="26" customFormat="1" ht="12.75">
      <c r="A132" s="104"/>
      <c r="B132" s="105"/>
      <c r="C132" s="105"/>
      <c r="D132" s="105"/>
      <c r="E132" s="105"/>
      <c r="F132" s="105"/>
      <c r="G132" s="106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8"/>
      <c r="W132" s="109"/>
      <c r="X132" s="109"/>
      <c r="Y132" s="109"/>
      <c r="Z132" s="110"/>
    </row>
    <row r="133" spans="1:26" s="26" customFormat="1" ht="12.75">
      <c r="A133" s="111"/>
      <c r="B133" s="112"/>
      <c r="C133" s="112"/>
      <c r="D133" s="112"/>
      <c r="E133" s="112"/>
      <c r="F133" s="112"/>
      <c r="G133" s="113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5"/>
      <c r="W133" s="115"/>
      <c r="X133" s="115"/>
      <c r="Y133" s="117"/>
      <c r="Z133" s="116"/>
    </row>
    <row r="134" spans="1:26" ht="12.75" hidden="1">
      <c r="A134" s="118"/>
      <c r="B134" s="119" t="s">
        <v>9</v>
      </c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20"/>
      <c r="W134" s="120"/>
      <c r="X134" s="120"/>
      <c r="Y134" s="121"/>
      <c r="Z134" s="122"/>
    </row>
    <row r="135" spans="1:26" ht="12.75" hidden="1">
      <c r="A135" s="118"/>
      <c r="B135" s="123" t="s">
        <v>108</v>
      </c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20"/>
      <c r="W135" s="120"/>
      <c r="X135" s="120"/>
      <c r="Y135" s="121"/>
      <c r="Z135" s="122"/>
    </row>
    <row r="136" spans="2:26" ht="12.75" hidden="1">
      <c r="B136" s="124"/>
      <c r="G136" s="125">
        <f>G15+G19+G27+G32+G38+G43+G48+G50+G51+G54+G61+G64+G65</f>
        <v>2790</v>
      </c>
      <c r="H136" s="126">
        <v>2121</v>
      </c>
      <c r="I136" s="127"/>
      <c r="J136" s="103">
        <f aca="true" t="shared" si="18" ref="J136:Y136">J15+J19+J27+J32+J38+J43+J48+J50+J51+J54+J61+J64+J65</f>
        <v>425</v>
      </c>
      <c r="K136" s="103">
        <f t="shared" si="18"/>
        <v>400</v>
      </c>
      <c r="L136" s="103">
        <f t="shared" si="18"/>
        <v>260</v>
      </c>
      <c r="M136" s="103">
        <f t="shared" si="18"/>
        <v>150</v>
      </c>
      <c r="N136" s="125">
        <f t="shared" si="18"/>
        <v>505</v>
      </c>
      <c r="O136" s="125">
        <f t="shared" si="18"/>
        <v>35</v>
      </c>
      <c r="P136" s="125">
        <f t="shared" si="18"/>
        <v>190.22</v>
      </c>
      <c r="Q136" s="125">
        <f t="shared" si="18"/>
        <v>0</v>
      </c>
      <c r="R136" s="125">
        <f t="shared" si="18"/>
        <v>0</v>
      </c>
      <c r="S136" s="125">
        <f t="shared" si="18"/>
        <v>0</v>
      </c>
      <c r="T136" s="125">
        <f t="shared" si="18"/>
        <v>0</v>
      </c>
      <c r="U136" s="125">
        <f t="shared" si="18"/>
        <v>0</v>
      </c>
      <c r="V136" s="128">
        <f t="shared" si="18"/>
        <v>1965.22</v>
      </c>
      <c r="W136" s="129">
        <f t="shared" si="18"/>
        <v>824.78</v>
      </c>
      <c r="X136" s="129">
        <f t="shared" si="18"/>
        <v>0</v>
      </c>
      <c r="Y136" s="129">
        <f t="shared" si="18"/>
        <v>824.78</v>
      </c>
      <c r="Z136" s="130"/>
    </row>
    <row r="137" spans="2:26" ht="12.75" hidden="1">
      <c r="B137" s="124"/>
      <c r="G137" s="125">
        <f>G14+G18+G26+G31+G39+G42+G47+G49+G52+G53+G56+G60+G63+G66</f>
        <v>3563</v>
      </c>
      <c r="H137" s="131">
        <v>2122</v>
      </c>
      <c r="I137" s="127"/>
      <c r="J137" s="103">
        <f aca="true" t="shared" si="19" ref="J137:Y137">J14+J18+J26+J31+J39+J42+J47+J49+J52+J53+J56+J60+J63+J66</f>
        <v>976.2299999999999</v>
      </c>
      <c r="K137" s="103">
        <f t="shared" si="19"/>
        <v>310.09999999999997</v>
      </c>
      <c r="L137" s="103">
        <f t="shared" si="19"/>
        <v>511.34000000000003</v>
      </c>
      <c r="M137" s="103">
        <f t="shared" si="19"/>
        <v>293.28</v>
      </c>
      <c r="N137" s="125">
        <f t="shared" si="19"/>
        <v>239.93</v>
      </c>
      <c r="O137" s="125">
        <f t="shared" si="19"/>
        <v>67</v>
      </c>
      <c r="P137" s="125">
        <f t="shared" si="19"/>
        <v>644.05</v>
      </c>
      <c r="Q137" s="125">
        <f t="shared" si="19"/>
        <v>0</v>
      </c>
      <c r="R137" s="125">
        <f t="shared" si="19"/>
        <v>0</v>
      </c>
      <c r="S137" s="125">
        <f t="shared" si="19"/>
        <v>0</v>
      </c>
      <c r="T137" s="125">
        <f t="shared" si="19"/>
        <v>0</v>
      </c>
      <c r="U137" s="125">
        <f t="shared" si="19"/>
        <v>0</v>
      </c>
      <c r="V137" s="128">
        <f t="shared" si="19"/>
        <v>3041.9299999999994</v>
      </c>
      <c r="W137" s="129">
        <f t="shared" si="19"/>
        <v>521.0700000000002</v>
      </c>
      <c r="X137" s="129">
        <f t="shared" si="19"/>
        <v>0</v>
      </c>
      <c r="Y137" s="129">
        <f t="shared" si="19"/>
        <v>521.0700000000002</v>
      </c>
      <c r="Z137" s="130"/>
    </row>
    <row r="138" spans="2:26" ht="12.75" hidden="1">
      <c r="B138" s="124"/>
      <c r="G138" s="125">
        <f>G97</f>
        <v>4003</v>
      </c>
      <c r="H138" s="132">
        <v>2219</v>
      </c>
      <c r="I138" s="127"/>
      <c r="J138" s="103">
        <f>J97</f>
        <v>0</v>
      </c>
      <c r="K138" s="103">
        <f>K97</f>
        <v>0</v>
      </c>
      <c r="L138" s="103">
        <f>L97</f>
        <v>0</v>
      </c>
      <c r="M138" s="103">
        <f>M97</f>
        <v>0</v>
      </c>
      <c r="N138" s="125">
        <f aca="true" t="shared" si="20" ref="N138:Y138">N97</f>
        <v>0</v>
      </c>
      <c r="O138" s="125">
        <f t="shared" si="20"/>
        <v>0</v>
      </c>
      <c r="P138" s="125">
        <f t="shared" si="20"/>
        <v>3002.31</v>
      </c>
      <c r="Q138" s="125">
        <f t="shared" si="20"/>
        <v>0</v>
      </c>
      <c r="R138" s="125">
        <f t="shared" si="20"/>
        <v>0</v>
      </c>
      <c r="S138" s="125">
        <f t="shared" si="20"/>
        <v>0</v>
      </c>
      <c r="T138" s="125">
        <f t="shared" si="20"/>
        <v>0</v>
      </c>
      <c r="U138" s="125">
        <f t="shared" si="20"/>
        <v>0</v>
      </c>
      <c r="V138" s="128">
        <f t="shared" si="20"/>
        <v>3002.31</v>
      </c>
      <c r="W138" s="129">
        <f t="shared" si="20"/>
        <v>1000.69</v>
      </c>
      <c r="X138" s="129">
        <f t="shared" si="20"/>
        <v>0</v>
      </c>
      <c r="Y138" s="129">
        <f t="shared" si="20"/>
        <v>1000.69</v>
      </c>
      <c r="Z138" s="130"/>
    </row>
    <row r="139" spans="2:26" ht="12.75" hidden="1">
      <c r="B139" s="124"/>
      <c r="G139" s="127">
        <f>G55+G96+G105+G106+G107+G128+G23</f>
        <v>8918</v>
      </c>
      <c r="H139" s="133">
        <v>2231</v>
      </c>
      <c r="I139" s="127"/>
      <c r="J139" s="22">
        <f aca="true" t="shared" si="21" ref="J139:Y139">J55+J96+J105+J106+J107+J128+J23</f>
        <v>100</v>
      </c>
      <c r="K139" s="22">
        <f t="shared" si="21"/>
        <v>850.8</v>
      </c>
      <c r="L139" s="22">
        <f t="shared" si="21"/>
        <v>91.84</v>
      </c>
      <c r="M139" s="22">
        <f t="shared" si="21"/>
        <v>57</v>
      </c>
      <c r="N139" s="127">
        <f t="shared" si="21"/>
        <v>3318.2499999999995</v>
      </c>
      <c r="O139" s="127">
        <f t="shared" si="21"/>
        <v>0</v>
      </c>
      <c r="P139" s="127">
        <f t="shared" si="21"/>
        <v>59.65</v>
      </c>
      <c r="Q139" s="127">
        <f t="shared" si="21"/>
        <v>0</v>
      </c>
      <c r="R139" s="127">
        <f t="shared" si="21"/>
        <v>0</v>
      </c>
      <c r="S139" s="127">
        <f t="shared" si="21"/>
        <v>0</v>
      </c>
      <c r="T139" s="127">
        <f t="shared" si="21"/>
        <v>0</v>
      </c>
      <c r="U139" s="127">
        <f t="shared" si="21"/>
        <v>0</v>
      </c>
      <c r="V139" s="128">
        <f t="shared" si="21"/>
        <v>4477.539999999999</v>
      </c>
      <c r="W139" s="129">
        <f t="shared" si="21"/>
        <v>4440.460000000001</v>
      </c>
      <c r="X139" s="129">
        <f t="shared" si="21"/>
        <v>0</v>
      </c>
      <c r="Y139" s="129">
        <f t="shared" si="21"/>
        <v>4440.460000000001</v>
      </c>
      <c r="Z139" s="130"/>
    </row>
    <row r="140" spans="2:26" ht="12.75" hidden="1">
      <c r="B140" s="124"/>
      <c r="G140" s="127">
        <f>G91+G93</f>
        <v>5836</v>
      </c>
      <c r="H140" s="134">
        <v>2232</v>
      </c>
      <c r="I140" s="127"/>
      <c r="J140" s="22">
        <f>J91+J93</f>
        <v>0</v>
      </c>
      <c r="K140" s="22">
        <f>K91+K93</f>
        <v>0</v>
      </c>
      <c r="L140" s="22">
        <f>L91+L93</f>
        <v>0</v>
      </c>
      <c r="M140" s="22">
        <f>M91+M93</f>
        <v>0</v>
      </c>
      <c r="N140" s="127">
        <f aca="true" t="shared" si="22" ref="N140:Y140">N91+N93</f>
        <v>4835.16</v>
      </c>
      <c r="O140" s="127">
        <f t="shared" si="22"/>
        <v>0</v>
      </c>
      <c r="P140" s="127">
        <f t="shared" si="22"/>
        <v>0</v>
      </c>
      <c r="Q140" s="127">
        <f t="shared" si="22"/>
        <v>0</v>
      </c>
      <c r="R140" s="127">
        <f t="shared" si="22"/>
        <v>0</v>
      </c>
      <c r="S140" s="127">
        <f t="shared" si="22"/>
        <v>0</v>
      </c>
      <c r="T140" s="127">
        <f t="shared" si="22"/>
        <v>0</v>
      </c>
      <c r="U140" s="127">
        <f t="shared" si="22"/>
        <v>0</v>
      </c>
      <c r="V140" s="128">
        <f t="shared" si="22"/>
        <v>4835.16</v>
      </c>
      <c r="W140" s="129">
        <f t="shared" si="22"/>
        <v>1000.8400000000001</v>
      </c>
      <c r="X140" s="129">
        <f t="shared" si="22"/>
        <v>0</v>
      </c>
      <c r="Y140" s="129">
        <f t="shared" si="22"/>
        <v>1000.8400000000001</v>
      </c>
      <c r="Z140" s="130"/>
    </row>
    <row r="141" spans="2:26" ht="12.75" hidden="1">
      <c r="B141" s="124"/>
      <c r="G141" s="125">
        <f>G78+G79+G88+G89+G94+G98+G104+G109+G112+G113+G122+G124+G126</f>
        <v>9569</v>
      </c>
      <c r="H141" s="135">
        <v>2239</v>
      </c>
      <c r="I141" s="127"/>
      <c r="J141" s="103">
        <f>J78+J79+J88+J89+J94+SUM(J98:J102)+J104+J109+J112+J113+J122+J124+J126</f>
        <v>0</v>
      </c>
      <c r="K141" s="103">
        <f>K78+K79+K88+K89+K94+SUM(K98:K102)+K104+K109+K112+K113+K122+K124+K126</f>
        <v>1233.88</v>
      </c>
      <c r="L141" s="103">
        <f>L78+L79+L88+L89+L94+SUM(L98:L102)+L104+L109+L112+L113+L122+L124+L126</f>
        <v>1636.79</v>
      </c>
      <c r="M141" s="103">
        <f>M78+M79+M88+M89+M94+SUM(M98:M102)+M104+M109+M112+M113+M122+M124+M126</f>
        <v>731.49</v>
      </c>
      <c r="N141" s="103">
        <f aca="true" t="shared" si="23" ref="N141:Y141">N78+N79+N88+N89+N94+SUM(N98:N102)+N104+N109+N112+N113+N122+N124+N126</f>
        <v>1209.6399999999999</v>
      </c>
      <c r="O141" s="103">
        <f t="shared" si="23"/>
        <v>0</v>
      </c>
      <c r="P141" s="103">
        <f t="shared" si="23"/>
        <v>1039.57</v>
      </c>
      <c r="Q141" s="103">
        <f t="shared" si="23"/>
        <v>0</v>
      </c>
      <c r="R141" s="103">
        <f t="shared" si="23"/>
        <v>0</v>
      </c>
      <c r="S141" s="103">
        <f t="shared" si="23"/>
        <v>0</v>
      </c>
      <c r="T141" s="103">
        <f t="shared" si="23"/>
        <v>0</v>
      </c>
      <c r="U141" s="103">
        <f t="shared" si="23"/>
        <v>0</v>
      </c>
      <c r="V141" s="136">
        <f t="shared" si="23"/>
        <v>5851.37</v>
      </c>
      <c r="W141" s="103">
        <f t="shared" si="23"/>
        <v>3717.63</v>
      </c>
      <c r="X141" s="103">
        <f t="shared" si="23"/>
        <v>0</v>
      </c>
      <c r="Y141" s="98">
        <f t="shared" si="23"/>
        <v>3717.63</v>
      </c>
      <c r="Z141" s="99"/>
    </row>
    <row r="142" spans="2:26" ht="12.75" hidden="1">
      <c r="B142" s="124"/>
      <c r="G142" s="125">
        <f>G20+G29+G34</f>
        <v>6604</v>
      </c>
      <c r="H142" s="137">
        <v>2264</v>
      </c>
      <c r="I142" s="127"/>
      <c r="J142" s="103">
        <f>SUM(J20:J21)+J29+J34</f>
        <v>1549.71</v>
      </c>
      <c r="K142" s="103">
        <f>SUM(K20:K21)+K29+K34</f>
        <v>2233.04</v>
      </c>
      <c r="L142" s="103">
        <f aca="true" t="shared" si="24" ref="L142:Y142">SUM(L20:L21)+L29+L34</f>
        <v>2819.39</v>
      </c>
      <c r="M142" s="103">
        <f t="shared" si="24"/>
        <v>0</v>
      </c>
      <c r="N142" s="103">
        <f t="shared" si="24"/>
        <v>0</v>
      </c>
      <c r="O142" s="103">
        <f t="shared" si="24"/>
        <v>0</v>
      </c>
      <c r="P142" s="103">
        <f t="shared" si="24"/>
        <v>0</v>
      </c>
      <c r="Q142" s="103">
        <f t="shared" si="24"/>
        <v>0</v>
      </c>
      <c r="R142" s="103">
        <f t="shared" si="24"/>
        <v>0</v>
      </c>
      <c r="S142" s="103">
        <f t="shared" si="24"/>
        <v>0</v>
      </c>
      <c r="T142" s="103">
        <f t="shared" si="24"/>
        <v>0</v>
      </c>
      <c r="U142" s="103">
        <f t="shared" si="24"/>
        <v>0</v>
      </c>
      <c r="V142" s="136">
        <f t="shared" si="24"/>
        <v>6602.14</v>
      </c>
      <c r="W142" s="103">
        <f t="shared" si="24"/>
        <v>1.8599999999999</v>
      </c>
      <c r="X142" s="103">
        <f t="shared" si="24"/>
        <v>0</v>
      </c>
      <c r="Y142" s="98">
        <f t="shared" si="24"/>
        <v>1.8599999999999</v>
      </c>
      <c r="Z142" s="99"/>
    </row>
    <row r="143" spans="2:26" ht="12.75" hidden="1">
      <c r="B143" s="124"/>
      <c r="G143" s="125">
        <f>G28+G33+G36+G59+G68+G69+G70+G71+G72+G73+G74+G75+G76+G80+G81+G82+G90+G110+G129+G131+G22+G103</f>
        <v>41796</v>
      </c>
      <c r="H143" s="138">
        <v>2390</v>
      </c>
      <c r="I143" s="127"/>
      <c r="J143" s="125">
        <f>J28+J33+J36+J59+J68+J69+J70+J71+J72+J73+J74+J75+J76+J80+J81+J82+J90+J110+J129+J131+J22+J103</f>
        <v>1027.04</v>
      </c>
      <c r="K143" s="125">
        <f aca="true" t="shared" si="25" ref="K143:Y143">K28+K33+K36+K59+K68+K69+K70+K71+K72+K73+K74+K75+K76+K80+K81+K82+K90+K110+K129+K131+K22+K103</f>
        <v>411.41</v>
      </c>
      <c r="L143" s="125">
        <f t="shared" si="25"/>
        <v>21622.52</v>
      </c>
      <c r="M143" s="125">
        <f t="shared" si="25"/>
        <v>817.61</v>
      </c>
      <c r="N143" s="125">
        <f t="shared" si="25"/>
        <v>8663.69</v>
      </c>
      <c r="O143" s="125">
        <f t="shared" si="25"/>
        <v>0</v>
      </c>
      <c r="P143" s="125">
        <f t="shared" si="25"/>
        <v>1846.3899999999999</v>
      </c>
      <c r="Q143" s="125">
        <f t="shared" si="25"/>
        <v>877.25</v>
      </c>
      <c r="R143" s="125">
        <f t="shared" si="25"/>
        <v>0</v>
      </c>
      <c r="S143" s="125">
        <f t="shared" si="25"/>
        <v>0</v>
      </c>
      <c r="T143" s="125">
        <f t="shared" si="25"/>
        <v>0</v>
      </c>
      <c r="U143" s="125">
        <f t="shared" si="25"/>
        <v>0</v>
      </c>
      <c r="V143" s="128">
        <f t="shared" si="25"/>
        <v>35265.91</v>
      </c>
      <c r="W143" s="125">
        <f t="shared" si="25"/>
        <v>6530.089999999998</v>
      </c>
      <c r="X143" s="125">
        <f t="shared" si="25"/>
        <v>2986.53</v>
      </c>
      <c r="Y143" s="129">
        <f t="shared" si="25"/>
        <v>3543.559999999999</v>
      </c>
      <c r="Z143" s="130"/>
    </row>
    <row r="144" spans="2:26" ht="12.75" hidden="1">
      <c r="B144" s="124"/>
      <c r="G144" s="127">
        <f>G108+G121+G123+G125+G127</f>
        <v>4600</v>
      </c>
      <c r="H144" s="127">
        <v>2312</v>
      </c>
      <c r="I144" s="127"/>
      <c r="J144" s="22">
        <f>J108+J121+J123+J125+J127</f>
        <v>0</v>
      </c>
      <c r="K144" s="22">
        <f>K108+K121+K123+K125+K127</f>
        <v>0</v>
      </c>
      <c r="L144" s="22">
        <f>L108+L121+L123+L125+L127</f>
        <v>0</v>
      </c>
      <c r="M144" s="22">
        <f>M108+M121+M123+M125+M127</f>
        <v>0</v>
      </c>
      <c r="N144" s="127">
        <f aca="true" t="shared" si="26" ref="N144:Y144">N108+N121+N123+N125+N127</f>
        <v>0</v>
      </c>
      <c r="O144" s="127">
        <f t="shared" si="26"/>
        <v>0</v>
      </c>
      <c r="P144" s="127">
        <f t="shared" si="26"/>
        <v>0</v>
      </c>
      <c r="Q144" s="127">
        <f t="shared" si="26"/>
        <v>0</v>
      </c>
      <c r="R144" s="127">
        <f t="shared" si="26"/>
        <v>0</v>
      </c>
      <c r="S144" s="127">
        <f t="shared" si="26"/>
        <v>0</v>
      </c>
      <c r="T144" s="127">
        <f t="shared" si="26"/>
        <v>0</v>
      </c>
      <c r="U144" s="127">
        <f t="shared" si="26"/>
        <v>0</v>
      </c>
      <c r="V144" s="128">
        <f t="shared" si="26"/>
        <v>0</v>
      </c>
      <c r="W144" s="129">
        <f t="shared" si="26"/>
        <v>4600</v>
      </c>
      <c r="X144" s="129">
        <f t="shared" si="26"/>
        <v>0</v>
      </c>
      <c r="Y144" s="129">
        <f t="shared" si="26"/>
        <v>4600</v>
      </c>
      <c r="Z144" s="130"/>
    </row>
    <row r="145" spans="2:26" ht="12.75" hidden="1">
      <c r="B145" s="124"/>
      <c r="G145" s="125">
        <f>G13+G16+G24+G58+G120+G114+G37</f>
        <v>6210</v>
      </c>
      <c r="H145" s="139">
        <v>2279</v>
      </c>
      <c r="I145" s="127"/>
      <c r="J145" s="125">
        <f aca="true" t="shared" si="27" ref="J145:Y145">J13+J16+J24+J58+J120+J114+J37</f>
        <v>4093.89</v>
      </c>
      <c r="K145" s="125">
        <f t="shared" si="27"/>
        <v>0</v>
      </c>
      <c r="L145" s="125">
        <f t="shared" si="27"/>
        <v>710</v>
      </c>
      <c r="M145" s="125">
        <f t="shared" si="27"/>
        <v>604.13</v>
      </c>
      <c r="N145" s="125">
        <f t="shared" si="27"/>
        <v>0</v>
      </c>
      <c r="O145" s="125">
        <f t="shared" si="27"/>
        <v>0</v>
      </c>
      <c r="P145" s="125">
        <f t="shared" si="27"/>
        <v>0</v>
      </c>
      <c r="Q145" s="125">
        <f t="shared" si="27"/>
        <v>0</v>
      </c>
      <c r="R145" s="125">
        <f t="shared" si="27"/>
        <v>0</v>
      </c>
      <c r="S145" s="125">
        <f t="shared" si="27"/>
        <v>0</v>
      </c>
      <c r="T145" s="125">
        <f t="shared" si="27"/>
        <v>0</v>
      </c>
      <c r="U145" s="125">
        <f t="shared" si="27"/>
        <v>0</v>
      </c>
      <c r="V145" s="140">
        <f t="shared" si="27"/>
        <v>5408.0199999999995</v>
      </c>
      <c r="W145" s="125">
        <f t="shared" si="27"/>
        <v>801.9800000000001</v>
      </c>
      <c r="X145" s="125">
        <f t="shared" si="27"/>
        <v>0</v>
      </c>
      <c r="Y145" s="125">
        <f t="shared" si="27"/>
        <v>801.9800000000001</v>
      </c>
      <c r="Z145" s="130"/>
    </row>
    <row r="146" spans="2:26" ht="12.75" hidden="1">
      <c r="B146" s="124"/>
      <c r="G146" s="127">
        <f>G115</f>
        <v>50</v>
      </c>
      <c r="H146" s="127">
        <v>2313</v>
      </c>
      <c r="I146" s="127"/>
      <c r="J146" s="22">
        <f>J115</f>
        <v>0</v>
      </c>
      <c r="K146" s="22">
        <f>K115</f>
        <v>0</v>
      </c>
      <c r="L146" s="22">
        <f>L115</f>
        <v>0</v>
      </c>
      <c r="M146" s="22">
        <f>M115</f>
        <v>0</v>
      </c>
      <c r="N146" s="127">
        <f aca="true" t="shared" si="28" ref="N146:Y146">N115</f>
        <v>0</v>
      </c>
      <c r="O146" s="127">
        <f t="shared" si="28"/>
        <v>0</v>
      </c>
      <c r="P146" s="127">
        <f t="shared" si="28"/>
        <v>0</v>
      </c>
      <c r="Q146" s="127">
        <f t="shared" si="28"/>
        <v>0</v>
      </c>
      <c r="R146" s="127">
        <f t="shared" si="28"/>
        <v>0</v>
      </c>
      <c r="S146" s="127">
        <f t="shared" si="28"/>
        <v>0</v>
      </c>
      <c r="T146" s="127">
        <f t="shared" si="28"/>
        <v>0</v>
      </c>
      <c r="U146" s="127">
        <f t="shared" si="28"/>
        <v>0</v>
      </c>
      <c r="V146" s="128">
        <f t="shared" si="28"/>
        <v>0</v>
      </c>
      <c r="W146" s="129">
        <f t="shared" si="28"/>
        <v>50</v>
      </c>
      <c r="X146" s="129">
        <f t="shared" si="28"/>
        <v>0</v>
      </c>
      <c r="Y146" s="129">
        <f t="shared" si="28"/>
        <v>50</v>
      </c>
      <c r="Z146" s="130"/>
    </row>
    <row r="147" spans="2:26" ht="12.75" hidden="1">
      <c r="B147" s="124"/>
      <c r="G147" s="127">
        <f>G117</f>
        <v>200</v>
      </c>
      <c r="H147" s="141">
        <v>2214</v>
      </c>
      <c r="I147" s="127"/>
      <c r="J147" s="22">
        <f aca="true" t="shared" si="29" ref="J147:M148">J117</f>
        <v>0</v>
      </c>
      <c r="K147" s="22">
        <f t="shared" si="29"/>
        <v>0</v>
      </c>
      <c r="L147" s="22">
        <f t="shared" si="29"/>
        <v>0</v>
      </c>
      <c r="M147" s="22">
        <f t="shared" si="29"/>
        <v>0</v>
      </c>
      <c r="N147" s="127">
        <f aca="true" t="shared" si="30" ref="N147:Y147">N117</f>
        <v>0</v>
      </c>
      <c r="O147" s="127">
        <f t="shared" si="30"/>
        <v>0</v>
      </c>
      <c r="P147" s="127">
        <f t="shared" si="30"/>
        <v>0</v>
      </c>
      <c r="Q147" s="127">
        <f t="shared" si="30"/>
        <v>0</v>
      </c>
      <c r="R147" s="127">
        <f t="shared" si="30"/>
        <v>0</v>
      </c>
      <c r="S147" s="127">
        <f t="shared" si="30"/>
        <v>0</v>
      </c>
      <c r="T147" s="127">
        <f t="shared" si="30"/>
        <v>0</v>
      </c>
      <c r="U147" s="127">
        <f t="shared" si="30"/>
        <v>0</v>
      </c>
      <c r="V147" s="128">
        <f t="shared" si="30"/>
        <v>0</v>
      </c>
      <c r="W147" s="129">
        <f t="shared" si="30"/>
        <v>200</v>
      </c>
      <c r="X147" s="129">
        <f t="shared" si="30"/>
        <v>0</v>
      </c>
      <c r="Y147" s="129">
        <f t="shared" si="30"/>
        <v>200</v>
      </c>
      <c r="Z147" s="130"/>
    </row>
    <row r="148" spans="2:26" ht="12.75" hidden="1">
      <c r="B148" s="124"/>
      <c r="G148" s="127">
        <f>G118</f>
        <v>545</v>
      </c>
      <c r="H148" s="141">
        <v>2512</v>
      </c>
      <c r="I148" s="127"/>
      <c r="J148" s="22">
        <f t="shared" si="29"/>
        <v>0</v>
      </c>
      <c r="K148" s="22">
        <f t="shared" si="29"/>
        <v>0</v>
      </c>
      <c r="L148" s="22">
        <f t="shared" si="29"/>
        <v>0</v>
      </c>
      <c r="M148" s="22">
        <f t="shared" si="29"/>
        <v>0</v>
      </c>
      <c r="N148" s="127">
        <f aca="true" t="shared" si="31" ref="N148:Y148">N118</f>
        <v>0</v>
      </c>
      <c r="O148" s="127">
        <f t="shared" si="31"/>
        <v>0</v>
      </c>
      <c r="P148" s="127">
        <f t="shared" si="31"/>
        <v>0</v>
      </c>
      <c r="Q148" s="127">
        <f t="shared" si="31"/>
        <v>0</v>
      </c>
      <c r="R148" s="127">
        <f t="shared" si="31"/>
        <v>0</v>
      </c>
      <c r="S148" s="127">
        <f t="shared" si="31"/>
        <v>0</v>
      </c>
      <c r="T148" s="127">
        <f t="shared" si="31"/>
        <v>0</v>
      </c>
      <c r="U148" s="127">
        <f t="shared" si="31"/>
        <v>0</v>
      </c>
      <c r="V148" s="128">
        <f t="shared" si="31"/>
        <v>0</v>
      </c>
      <c r="W148" s="129">
        <f t="shared" si="31"/>
        <v>545</v>
      </c>
      <c r="X148" s="129">
        <f t="shared" si="31"/>
        <v>0</v>
      </c>
      <c r="Y148" s="129">
        <f t="shared" si="31"/>
        <v>545</v>
      </c>
      <c r="Z148" s="130"/>
    </row>
    <row r="149" spans="2:26" ht="12.75" hidden="1">
      <c r="B149" s="124"/>
      <c r="G149" s="125">
        <f>G25+G30+G35+G41+G57+G62+G84+G85+G86</f>
        <v>9847</v>
      </c>
      <c r="H149" s="142">
        <v>7712</v>
      </c>
      <c r="I149" s="127"/>
      <c r="J149" s="125">
        <f aca="true" t="shared" si="32" ref="J149:Y149">J25+J30+J35+J41+J57+J62+J84+J85+J86+J17</f>
        <v>1035.45</v>
      </c>
      <c r="K149" s="125">
        <f>K25+K30+K35+K41+K57+K62+K84+K85+K86+K17</f>
        <v>1011.52</v>
      </c>
      <c r="L149" s="125">
        <f t="shared" si="32"/>
        <v>4917.889999999999</v>
      </c>
      <c r="M149" s="103">
        <f t="shared" si="32"/>
        <v>1403.9</v>
      </c>
      <c r="N149" s="125">
        <f t="shared" si="32"/>
        <v>-795</v>
      </c>
      <c r="O149" s="125">
        <f t="shared" si="32"/>
        <v>0</v>
      </c>
      <c r="P149" s="125">
        <f t="shared" si="32"/>
        <v>2016.48</v>
      </c>
      <c r="Q149" s="125">
        <f t="shared" si="32"/>
        <v>0</v>
      </c>
      <c r="R149" s="125">
        <f t="shared" si="32"/>
        <v>0</v>
      </c>
      <c r="S149" s="125">
        <f t="shared" si="32"/>
        <v>0</v>
      </c>
      <c r="T149" s="125">
        <f t="shared" si="32"/>
        <v>0</v>
      </c>
      <c r="U149" s="125">
        <f t="shared" si="32"/>
        <v>0</v>
      </c>
      <c r="V149" s="128">
        <f t="shared" si="32"/>
        <v>9590.24</v>
      </c>
      <c r="W149" s="125">
        <f t="shared" si="32"/>
        <v>256.75999999999976</v>
      </c>
      <c r="X149" s="125">
        <f t="shared" si="32"/>
        <v>0</v>
      </c>
      <c r="Y149" s="129">
        <f t="shared" si="32"/>
        <v>256.75999999999976</v>
      </c>
      <c r="Z149" s="130"/>
    </row>
    <row r="150" spans="2:26" ht="12.75" hidden="1">
      <c r="B150" s="3" t="s">
        <v>109</v>
      </c>
      <c r="G150" s="140">
        <f>SUM(G136:G149)</f>
        <v>104531</v>
      </c>
      <c r="H150" s="127"/>
      <c r="I150" s="127"/>
      <c r="J150" s="143">
        <f>SUM(J136:J149)</f>
        <v>9207.32</v>
      </c>
      <c r="K150" s="143">
        <f>SUM(K136:K149)</f>
        <v>6450.75</v>
      </c>
      <c r="L150" s="143">
        <f>SUM(L136:L149)</f>
        <v>32569.77</v>
      </c>
      <c r="M150" s="143">
        <f>SUM(M136:M149)</f>
        <v>4057.4100000000003</v>
      </c>
      <c r="N150" s="144">
        <f aca="true" t="shared" si="33" ref="N150:U150">SUM(N136:N149)</f>
        <v>17976.67</v>
      </c>
      <c r="O150" s="144">
        <f t="shared" si="33"/>
        <v>102</v>
      </c>
      <c r="P150" s="144">
        <f t="shared" si="33"/>
        <v>8798.67</v>
      </c>
      <c r="Q150" s="144">
        <f t="shared" si="33"/>
        <v>877.25</v>
      </c>
      <c r="R150" s="144">
        <f t="shared" si="33"/>
        <v>0</v>
      </c>
      <c r="S150" s="144">
        <f t="shared" si="33"/>
        <v>0</v>
      </c>
      <c r="T150" s="144">
        <f t="shared" si="33"/>
        <v>0</v>
      </c>
      <c r="U150" s="144">
        <f t="shared" si="33"/>
        <v>0</v>
      </c>
      <c r="V150" s="136">
        <f>SUM(V136:V149)</f>
        <v>80039.84000000001</v>
      </c>
      <c r="W150" s="145">
        <f>SUM(W136:W149)</f>
        <v>24491.159999999996</v>
      </c>
      <c r="X150" s="145">
        <f>SUM(X136:X149)</f>
        <v>2986.53</v>
      </c>
      <c r="Y150" s="145">
        <f>SUM(Y136:Y149)</f>
        <v>21504.629999999997</v>
      </c>
      <c r="Z150" s="146"/>
    </row>
    <row r="151" ht="12.75" hidden="1"/>
    <row r="152" ht="12.75" hidden="1"/>
    <row r="153" ht="12.75" hidden="1"/>
  </sheetData>
  <mergeCells count="161">
    <mergeCell ref="A72:A73"/>
    <mergeCell ref="B72:B73"/>
    <mergeCell ref="I51:I52"/>
    <mergeCell ref="I49:I50"/>
    <mergeCell ref="I57:I61"/>
    <mergeCell ref="F62:F64"/>
    <mergeCell ref="D57:D61"/>
    <mergeCell ref="C53:C55"/>
    <mergeCell ref="C57:C61"/>
    <mergeCell ref="D53:D55"/>
    <mergeCell ref="I53:I55"/>
    <mergeCell ref="Z8:Z10"/>
    <mergeCell ref="I47:I48"/>
    <mergeCell ref="X8:X10"/>
    <mergeCell ref="W8:W10"/>
    <mergeCell ref="Y8:Y10"/>
    <mergeCell ref="J8:V8"/>
    <mergeCell ref="I16:I19"/>
    <mergeCell ref="I13:I15"/>
    <mergeCell ref="F65:F66"/>
    <mergeCell ref="E53:E55"/>
    <mergeCell ref="D35:D39"/>
    <mergeCell ref="E35:E39"/>
    <mergeCell ref="F57:F61"/>
    <mergeCell ref="E41:E43"/>
    <mergeCell ref="Y20:Y21"/>
    <mergeCell ref="H20:H21"/>
    <mergeCell ref="G20:G21"/>
    <mergeCell ref="W20:W21"/>
    <mergeCell ref="C8:F8"/>
    <mergeCell ref="C30:C34"/>
    <mergeCell ref="D25:D29"/>
    <mergeCell ref="C13:C15"/>
    <mergeCell ref="D13:D15"/>
    <mergeCell ref="F13:F15"/>
    <mergeCell ref="D16:D19"/>
    <mergeCell ref="E16:E19"/>
    <mergeCell ref="E13:E15"/>
    <mergeCell ref="E25:E29"/>
    <mergeCell ref="I41:I43"/>
    <mergeCell ref="F20:F24"/>
    <mergeCell ref="F53:F55"/>
    <mergeCell ref="I62:I64"/>
    <mergeCell ref="F49:F50"/>
    <mergeCell ref="F51:F52"/>
    <mergeCell ref="I20:I24"/>
    <mergeCell ref="I25:I29"/>
    <mergeCell ref="I30:I34"/>
    <mergeCell ref="I35:I39"/>
    <mergeCell ref="I108:I110"/>
    <mergeCell ref="C89:C90"/>
    <mergeCell ref="D89:D90"/>
    <mergeCell ref="C108:C110"/>
    <mergeCell ref="D108:D110"/>
    <mergeCell ref="E108:E110"/>
    <mergeCell ref="F108:F110"/>
    <mergeCell ref="F89:F90"/>
    <mergeCell ref="I89:I90"/>
    <mergeCell ref="C47:C48"/>
    <mergeCell ref="F47:F48"/>
    <mergeCell ref="C49:C50"/>
    <mergeCell ref="C51:C52"/>
    <mergeCell ref="D121:D122"/>
    <mergeCell ref="E121:E122"/>
    <mergeCell ref="F121:F122"/>
    <mergeCell ref="C121:C122"/>
    <mergeCell ref="D123:D124"/>
    <mergeCell ref="E123:E124"/>
    <mergeCell ref="F123:F124"/>
    <mergeCell ref="I123:I124"/>
    <mergeCell ref="A125:A126"/>
    <mergeCell ref="A123:A124"/>
    <mergeCell ref="A121:A122"/>
    <mergeCell ref="B121:B122"/>
    <mergeCell ref="B123:B124"/>
    <mergeCell ref="B125:B126"/>
    <mergeCell ref="A65:A66"/>
    <mergeCell ref="B108:B110"/>
    <mergeCell ref="A108:A110"/>
    <mergeCell ref="A89:A90"/>
    <mergeCell ref="B89:B90"/>
    <mergeCell ref="B98:B103"/>
    <mergeCell ref="A98:A103"/>
    <mergeCell ref="B65:B66"/>
    <mergeCell ref="A76:A77"/>
    <mergeCell ref="B76:B77"/>
    <mergeCell ref="A57:A61"/>
    <mergeCell ref="A53:A55"/>
    <mergeCell ref="A51:A52"/>
    <mergeCell ref="B62:B64"/>
    <mergeCell ref="A62:A64"/>
    <mergeCell ref="B51:B52"/>
    <mergeCell ref="B53:B55"/>
    <mergeCell ref="B57:B61"/>
    <mergeCell ref="C125:C126"/>
    <mergeCell ref="D125:D126"/>
    <mergeCell ref="D62:D64"/>
    <mergeCell ref="E62:E64"/>
    <mergeCell ref="D65:D66"/>
    <mergeCell ref="E65:E66"/>
    <mergeCell ref="E89:E90"/>
    <mergeCell ref="C62:C64"/>
    <mergeCell ref="C65:C66"/>
    <mergeCell ref="C123:C124"/>
    <mergeCell ref="B47:B48"/>
    <mergeCell ref="B49:B50"/>
    <mergeCell ref="A49:A50"/>
    <mergeCell ref="A47:A48"/>
    <mergeCell ref="A35:A39"/>
    <mergeCell ref="A41:A43"/>
    <mergeCell ref="B35:B39"/>
    <mergeCell ref="B41:B43"/>
    <mergeCell ref="E20:E24"/>
    <mergeCell ref="A20:A24"/>
    <mergeCell ref="A25:A29"/>
    <mergeCell ref="B25:B29"/>
    <mergeCell ref="D20:D24"/>
    <mergeCell ref="B13:B15"/>
    <mergeCell ref="A13:A15"/>
    <mergeCell ref="B16:B19"/>
    <mergeCell ref="A16:A19"/>
    <mergeCell ref="A8:A10"/>
    <mergeCell ref="B8:B10"/>
    <mergeCell ref="E57:E61"/>
    <mergeCell ref="B30:B34"/>
    <mergeCell ref="B20:B24"/>
    <mergeCell ref="A30:A34"/>
    <mergeCell ref="D30:D34"/>
    <mergeCell ref="C20:C24"/>
    <mergeCell ref="C25:C29"/>
    <mergeCell ref="A11:B11"/>
    <mergeCell ref="I125:I126"/>
    <mergeCell ref="D47:D48"/>
    <mergeCell ref="E47:E48"/>
    <mergeCell ref="D49:D50"/>
    <mergeCell ref="E49:E50"/>
    <mergeCell ref="D51:D52"/>
    <mergeCell ref="E51:E52"/>
    <mergeCell ref="E125:E126"/>
    <mergeCell ref="F125:F126"/>
    <mergeCell ref="I121:I122"/>
    <mergeCell ref="C35:C39"/>
    <mergeCell ref="F41:F43"/>
    <mergeCell ref="F16:F19"/>
    <mergeCell ref="F35:F39"/>
    <mergeCell ref="F25:F29"/>
    <mergeCell ref="F30:F34"/>
    <mergeCell ref="C41:C43"/>
    <mergeCell ref="C16:C19"/>
    <mergeCell ref="D41:D43"/>
    <mergeCell ref="E30:E34"/>
    <mergeCell ref="Y98:Y102"/>
    <mergeCell ref="V98:V102"/>
    <mergeCell ref="G98:G102"/>
    <mergeCell ref="H98:H102"/>
    <mergeCell ref="I98:I102"/>
    <mergeCell ref="W98:W102"/>
    <mergeCell ref="G8:H10"/>
    <mergeCell ref="I8:I10"/>
    <mergeCell ref="V9:V10"/>
    <mergeCell ref="J9:U9"/>
  </mergeCells>
  <printOptions/>
  <pageMargins left="1.3779527559055118" right="0.07874015748031496" top="0.7874015748031497" bottom="0.5905511811023623" header="0.11811023622047245" footer="0.11811023622047245"/>
  <pageSetup horizontalDpi="600" verticalDpi="600" orientation="portrait" paperSize="9" scale="8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2009-08-14T13:05:36Z</cp:lastPrinted>
  <dcterms:created xsi:type="dcterms:W3CDTF">2009-08-06T10:28:12Z</dcterms:created>
  <dcterms:modified xsi:type="dcterms:W3CDTF">2009-08-14T13:05:55Z</dcterms:modified>
  <cp:category/>
  <cp:version/>
  <cp:contentType/>
  <cp:contentStatus/>
</cp:coreProperties>
</file>