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5.pielikums" sheetId="1" r:id="rId1"/>
  </sheets>
  <externalReferences>
    <externalReference r:id="rId4"/>
  </externalReferences>
  <definedNames>
    <definedName name="_xlnm.Print_Area" localSheetId="0">'15.pielikums'!$B$1:$AD$288</definedName>
  </definedNames>
  <calcPr fullCalcOnLoad="1"/>
</workbook>
</file>

<file path=xl/comments1.xml><?xml version="1.0" encoding="utf-8"?>
<comments xmlns="http://schemas.openxmlformats.org/spreadsheetml/2006/main">
  <authors>
    <author>JPD</author>
    <author>arita.moroza</author>
    <author>Kristīne.Auseja</author>
    <author> JPD</author>
  </authors>
  <commentList>
    <comment ref="G2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127</t>
        </r>
      </text>
    </comment>
    <comment ref="G26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Nr. 1</t>
        </r>
      </text>
    </comment>
    <comment ref="H23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2</t>
        </r>
      </text>
    </comment>
    <comment ref="H20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5</t>
        </r>
      </text>
    </comment>
    <comment ref="H26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2
</t>
        </r>
      </text>
    </comment>
    <comment ref="H23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3=140
Tāme 9=450</t>
        </r>
      </text>
    </comment>
    <comment ref="Z22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50%
Atlikusī summa ar pien.nod.aktu 2009.g.15. jūnijā</t>
        </r>
      </text>
    </comment>
    <comment ref="H24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8=70Ls</t>
        </r>
      </text>
    </comment>
    <comment ref="H11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10</t>
        </r>
      </text>
    </comment>
    <comment ref="H4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4</t>
        </r>
      </text>
    </comment>
    <comment ref="H114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10</t>
        </r>
      </text>
    </comment>
    <comment ref="H27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6</t>
        </r>
      </text>
    </comment>
    <comment ref="H11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10
</t>
        </r>
      </text>
    </comment>
    <comment ref="H11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10</t>
        </r>
      </text>
    </comment>
    <comment ref="I23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11
tāme 22</t>
        </r>
      </text>
    </comment>
    <comment ref="Z239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20%
Atlikums pa četurksniem</t>
        </r>
      </text>
    </comment>
    <comment ref="Z26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20%
Atlikusi summa sadalīta pa četurksniem</t>
        </r>
      </text>
    </comment>
    <comment ref="Z24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20%
Atlikums pa četursniem</t>
        </r>
      </text>
    </comment>
    <comment ref="I21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15</t>
        </r>
      </text>
    </comment>
    <comment ref="I11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10</t>
        </r>
      </text>
    </comment>
    <comment ref="G24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128=500Ls</t>
        </r>
      </text>
    </comment>
    <comment ref="Z6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50%=11875Ls
Atlikums pēc sacensībām ar pien.nod. aktu
Sacensības 6.-7. jūnijā</t>
        </r>
      </text>
    </comment>
    <comment ref="Z6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50%
Atlikums ar pien. Nod aktu pēc sacesībām
</t>
        </r>
      </text>
    </comment>
    <comment ref="E204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87=no 2262 uz 2261</t>
        </r>
      </text>
    </comment>
    <comment ref="D19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34=+200
izziņa 87=-100</t>
        </r>
      </text>
    </comment>
    <comment ref="I23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11
Tāme 22
</t>
        </r>
      </text>
    </comment>
    <comment ref="I26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12=28
Tāme 19=5</t>
        </r>
      </text>
    </comment>
    <comment ref="Z23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20%avanss
pārējais pa ceturkšņiem</t>
        </r>
      </text>
    </comment>
    <comment ref="C19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18</t>
        </r>
      </text>
    </comment>
    <comment ref="Z22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Avanss 20%
Atlikuša summa sadalīta pa četurksniem </t>
        </r>
      </text>
    </comment>
    <comment ref="I23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23=439.05</t>
        </r>
      </text>
    </comment>
    <comment ref="I22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24</t>
        </r>
      </text>
    </comment>
    <comment ref="J23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22
tāme 26</t>
        </r>
      </text>
    </comment>
    <comment ref="D20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87=+30</t>
        </r>
      </text>
    </comment>
    <comment ref="D21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87=-20</t>
        </r>
      </text>
    </comment>
    <comment ref="C20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87=nosaukums mainās no "medūzas kauss" uz 
"Jūrmalas atklātais čempionāts peldēšanā"</t>
        </r>
      </text>
    </comment>
    <comment ref="I191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11.21+55.79=67</t>
        </r>
      </text>
    </comment>
    <comment ref="E199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izziņa 34 no 2231 uz 2279</t>
        </r>
      </text>
    </comment>
    <comment ref="D12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34=-201
izziņa 87=-50;-100</t>
        </r>
      </text>
    </comment>
    <comment ref="D11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34=+201
izziņa 87=+69</t>
        </r>
      </text>
    </comment>
    <comment ref="D28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44=+1125 (rīkojums 1.1-14/142)
izziņa 87=-112</t>
        </r>
      </text>
    </comment>
    <comment ref="J23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29,33</t>
        </r>
      </text>
    </comment>
    <comment ref="AJ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Max.summa</t>
        </r>
      </text>
    </comment>
    <comment ref="E19" authorId="1">
      <text>
        <r>
          <rPr>
            <b/>
            <sz val="8"/>
            <rFont val="Tahoma"/>
            <family val="0"/>
          </rPr>
          <t>arita.moroza:
izziņa 87=</t>
        </r>
        <r>
          <rPr>
            <sz val="8"/>
            <rFont val="Tahoma"/>
            <family val="0"/>
          </rPr>
          <t>-5000 no 2390, +4969 uz 2361</t>
        </r>
      </text>
    </comment>
    <comment ref="E24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 no 2262 uz  2279</t>
        </r>
      </text>
    </comment>
    <comment ref="J23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33=36
Tāme 36=136+84
tāme 39=126</t>
        </r>
      </text>
    </comment>
    <comment ref="AJ1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dāvanu kartēm netiek piemērots PVN</t>
        </r>
      </text>
    </comment>
    <comment ref="K232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tāme 43</t>
        </r>
      </text>
    </comment>
    <comment ref="K58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tāme 46
</t>
        </r>
      </text>
    </comment>
    <comment ref="K59" authorId="2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tāme 46
</t>
        </r>
      </text>
    </comment>
    <comment ref="C137" authorId="1">
      <text>
        <r>
          <rPr>
            <b/>
            <sz val="8"/>
            <rFont val="Tahoma"/>
            <family val="0"/>
          </rPr>
          <t>mainīts nosaukums</t>
        </r>
        <r>
          <rPr>
            <sz val="8"/>
            <rFont val="Tahoma"/>
            <family val="0"/>
          </rPr>
          <t xml:space="preserve"> : </t>
        </r>
        <r>
          <rPr>
            <i/>
            <sz val="8"/>
            <rFont val="Tahoma"/>
            <family val="2"/>
          </rPr>
          <t xml:space="preserve">"LR atklātais čempionāts pludmales volejbolā </t>
        </r>
        <r>
          <rPr>
            <b/>
            <i/>
            <sz val="8"/>
            <rFont val="Tahoma"/>
            <family val="2"/>
          </rPr>
          <t>jauniešiem</t>
        </r>
        <r>
          <rPr>
            <i/>
            <sz val="8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 no </t>
        </r>
        <r>
          <rPr>
            <i/>
            <sz val="8"/>
            <rFont val="Tahoma"/>
            <family val="2"/>
          </rPr>
          <t>Jaunatnes čempionāts pludmales  volejbolā</t>
        </r>
      </text>
    </comment>
    <comment ref="C13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Jāmaina : "LR atklātais čempionāts pludmales volejbolā </t>
        </r>
        <r>
          <rPr>
            <b/>
            <sz val="8"/>
            <rFont val="Tahoma"/>
            <family val="2"/>
          </rPr>
          <t>sievietēm</t>
        </r>
        <r>
          <rPr>
            <sz val="8"/>
            <rFont val="Tahoma"/>
            <family val="0"/>
          </rPr>
          <t>"</t>
        </r>
      </text>
    </comment>
    <comment ref="C13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Jāmaina : "LR atklātais čempionāts pludmales volejbolā </t>
        </r>
        <r>
          <rPr>
            <b/>
            <sz val="8"/>
            <rFont val="Tahoma"/>
            <family val="2"/>
          </rPr>
          <t>vīriešiem</t>
        </r>
        <r>
          <rPr>
            <sz val="8"/>
            <rFont val="Tahoma"/>
            <family val="0"/>
          </rPr>
          <t>"</t>
        </r>
      </text>
    </comment>
    <comment ref="Z13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Līgumsumma 6700 Ls 
avanss 20 %
puse no atlikušās summas mēnesi pēc sākuma 27.07
gala pēc akta un atskaites
</t>
        </r>
      </text>
    </comment>
    <comment ref="K23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42 55</t>
        </r>
      </text>
    </comment>
    <comment ref="D11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</t>
        </r>
      </text>
    </comment>
    <comment ref="D20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87=-240+241</t>
        </r>
      </text>
    </comment>
    <comment ref="D25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87=-2500</t>
        </r>
      </text>
    </comment>
    <comment ref="D25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87=+2500</t>
        </r>
      </text>
    </comment>
    <comment ref="D18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87=-9</t>
        </r>
      </text>
    </comment>
    <comment ref="D27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87=+11</t>
        </r>
      </text>
    </comment>
    <comment ref="D21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87=-28</t>
        </r>
      </text>
    </comment>
    <comment ref="D27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87=-220; -200</t>
        </r>
      </text>
    </comment>
    <comment ref="D22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87=+220</t>
        </r>
      </text>
    </comment>
    <comment ref="D28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87=+3000</t>
        </r>
      </text>
    </comment>
    <comment ref="D2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87=-300</t>
        </r>
      </text>
    </comment>
    <comment ref="D3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87=-330
izziņa 108=-870</t>
        </r>
      </text>
    </comment>
    <comment ref="D4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
izziņa 108=+85</t>
        </r>
      </text>
    </comment>
    <comment ref="D4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
izziņa 108=-90</t>
        </r>
      </text>
    </comment>
    <comment ref="D4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87=-110
izziņa 108=+410</t>
        </r>
      </text>
    </comment>
    <comment ref="D4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87=-70
izziņa 108=-230</t>
        </r>
      </text>
    </comment>
    <comment ref="D5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</t>
        </r>
      </text>
    </comment>
    <comment ref="D6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87=-40</t>
        </r>
      </text>
    </comment>
    <comment ref="D6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
izziņa 108-100</t>
        </r>
      </text>
    </comment>
    <comment ref="D9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87=-35</t>
        </r>
      </text>
    </comment>
    <comment ref="D9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
izziņa 108=+20</t>
        </r>
      </text>
    </comment>
    <comment ref="D9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87=-40</t>
        </r>
      </text>
    </comment>
    <comment ref="D10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
izziņa 108=+50</t>
        </r>
      </text>
    </comment>
    <comment ref="D10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
izziņa 108=+30</t>
        </r>
      </text>
    </comment>
    <comment ref="D10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0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0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0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0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1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87=-40</t>
        </r>
      </text>
    </comment>
    <comment ref="D11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2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87=-175</t>
        </r>
      </text>
    </comment>
    <comment ref="D12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87=-125</t>
        </r>
      </text>
    </comment>
    <comment ref="D12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</t>
        </r>
      </text>
    </comment>
    <comment ref="D13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87=-250
izziņa 108=+1450</t>
        </r>
      </text>
    </comment>
    <comment ref="D13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87=-250
izziņa 108=-250</t>
        </r>
      </text>
    </comment>
    <comment ref="D13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
izziņa 108=-900+1000 (nosaukuma maiņa)</t>
        </r>
      </text>
    </comment>
    <comment ref="D13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87=-70
izziņa 108=+1000; -630</t>
        </r>
      </text>
    </comment>
    <comment ref="D13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3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4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</t>
        </r>
      </text>
    </comment>
    <comment ref="D14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4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4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</t>
        </r>
      </text>
    </comment>
    <comment ref="D14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</t>
        </r>
      </text>
    </comment>
    <comment ref="D15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</t>
        </r>
      </text>
    </comment>
    <comment ref="D15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5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5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6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6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6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6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</t>
        </r>
      </text>
    </comment>
    <comment ref="D16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
izziņa 108=+10</t>
        </r>
      </text>
    </comment>
    <comment ref="D16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
izziņa 108=+10</t>
        </r>
      </text>
    </comment>
    <comment ref="D16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87=-40</t>
        </r>
      </text>
    </comment>
    <comment ref="D16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</t>
        </r>
      </text>
    </comment>
    <comment ref="D17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7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
izziņa 108=+25</t>
        </r>
      </text>
    </comment>
    <comment ref="D17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
izziņa 108=+25</t>
        </r>
      </text>
    </comment>
    <comment ref="D17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</t>
        </r>
      </text>
    </comment>
    <comment ref="D17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7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</t>
        </r>
      </text>
    </comment>
    <comment ref="D18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8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8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9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9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19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20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</t>
        </r>
      </text>
    </comment>
    <comment ref="D20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21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21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87=-190</t>
        </r>
      </text>
    </comment>
    <comment ref="D21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21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21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87=-90</t>
        </r>
      </text>
    </comment>
    <comment ref="D21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</t>
        </r>
      </text>
    </comment>
    <comment ref="D21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22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87=-950</t>
        </r>
      </text>
    </comment>
    <comment ref="D23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</t>
        </r>
      </text>
    </comment>
    <comment ref="D23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87=-11</t>
        </r>
      </text>
    </comment>
    <comment ref="D24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87=-160</t>
        </r>
      </text>
    </comment>
    <comment ref="D24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87=-260</t>
        </r>
      </text>
    </comment>
    <comment ref="D25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</t>
        </r>
      </text>
    </comment>
    <comment ref="D25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87=-50</t>
        </r>
      </text>
    </comment>
    <comment ref="D25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</t>
        </r>
      </text>
    </comment>
    <comment ref="D25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</t>
        </r>
      </text>
    </comment>
    <comment ref="D25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87=-80</t>
        </r>
      </text>
    </comment>
    <comment ref="D26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87=-40</t>
        </r>
      </text>
    </comment>
    <comment ref="D28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1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87=-100</t>
        </r>
      </text>
    </comment>
    <comment ref="D12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</t>
        </r>
      </text>
    </comment>
    <comment ref="D12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87=-25</t>
        </r>
      </text>
    </comment>
    <comment ref="E2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108=EKK mainās no 2231 uz 2279</t>
        </r>
      </text>
    </comment>
    <comment ref="D1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108=-+4600 no 2231 uz 2363</t>
        </r>
      </text>
    </comment>
    <comment ref="L25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56</t>
        </r>
      </text>
    </comment>
    <comment ref="L254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56</t>
        </r>
      </text>
    </comment>
    <comment ref="L23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68</t>
        </r>
      </text>
    </comment>
    <comment ref="AK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67</t>
        </r>
      </text>
    </comment>
    <comment ref="D3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108=-900</t>
        </r>
      </text>
    </comment>
    <comment ref="D3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108=-50</t>
        </r>
      </text>
    </comment>
    <comment ref="D3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108=+2150</t>
        </r>
      </text>
    </comment>
    <comment ref="D6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108=-20</t>
        </r>
      </text>
    </comment>
    <comment ref="D8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108=-63</t>
        </r>
      </text>
    </comment>
    <comment ref="D8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108=+50</t>
        </r>
      </text>
    </comment>
    <comment ref="D28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108=-11</t>
        </r>
      </text>
    </comment>
    <comment ref="D28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108=-611</t>
        </r>
      </text>
    </comment>
    <comment ref="D20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108=-600;-466</t>
        </r>
      </text>
    </comment>
    <comment ref="D20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108=+466</t>
        </r>
      </text>
    </comment>
    <comment ref="D23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108=+500</t>
        </r>
      </text>
    </comment>
    <comment ref="D23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108=-500</t>
        </r>
      </text>
    </comment>
    <comment ref="D22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108=-638</t>
        </r>
      </text>
    </comment>
    <comment ref="D22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108=+638</t>
        </r>
      </text>
    </comment>
    <comment ref="M23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64</t>
        </r>
      </text>
    </comment>
    <comment ref="L23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nepareizi samaksāts
vajadzēja 01.320.2390.
pārcelt
340.59</t>
        </r>
      </text>
    </comment>
    <comment ref="K17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200</t>
        </r>
      </text>
    </comment>
    <comment ref="M5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Tāme 67</t>
        </r>
      </text>
    </comment>
    <comment ref="D20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87=+262</t>
        </r>
      </text>
    </comment>
    <comment ref="H20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7</t>
        </r>
      </text>
    </comment>
    <comment ref="L18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tāme 62= Ls 531; Ls 354</t>
        </r>
      </text>
    </comment>
    <comment ref="E195" authorId="3">
      <text>
        <r>
          <rPr>
            <b/>
            <sz val="8"/>
            <rFont val="Tahoma"/>
            <family val="0"/>
          </rPr>
          <t xml:space="preserve">Līva Kupča:
</t>
        </r>
        <r>
          <rPr>
            <sz val="8"/>
            <rFont val="Tahoma"/>
            <family val="2"/>
          </rPr>
          <t>Nepareizi ieplānots EKK. Grozījumi:
2341 -40Ls
2279 +40L 1 nedēļu pirms fin. kom. veikt.</t>
        </r>
        <r>
          <rPr>
            <sz val="8"/>
            <rFont val="Tahoma"/>
            <family val="0"/>
          </rPr>
          <t xml:space="preserve">
</t>
        </r>
      </text>
    </comment>
    <comment ref="AB2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-100</t>
        </r>
      </text>
    </comment>
    <comment ref="AB2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-100</t>
        </r>
      </text>
    </comment>
    <comment ref="AB7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925</t>
        </r>
      </text>
    </comment>
    <comment ref="AB7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100</t>
        </r>
      </text>
    </comment>
    <comment ref="AB7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238</t>
        </r>
      </text>
    </comment>
    <comment ref="AB7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103</t>
        </r>
      </text>
    </comment>
    <comment ref="AB7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712</t>
        </r>
      </text>
    </comment>
    <comment ref="AB27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480</t>
        </r>
      </text>
    </comment>
  </commentList>
</comments>
</file>

<file path=xl/sharedStrings.xml><?xml version="1.0" encoding="utf-8"?>
<sst xmlns="http://schemas.openxmlformats.org/spreadsheetml/2006/main" count="269" uniqueCount="261">
  <si>
    <t>Līgumi</t>
  </si>
  <si>
    <t>Jūrmalas pilsētas dome</t>
  </si>
  <si>
    <t>EKK</t>
  </si>
  <si>
    <t>Partnera nosaukums</t>
  </si>
  <si>
    <t>Līguma numurs</t>
  </si>
  <si>
    <t>Termiņš</t>
  </si>
  <si>
    <t>Summa</t>
  </si>
  <si>
    <t>Izpilde</t>
  </si>
  <si>
    <t>Atlikums</t>
  </si>
  <si>
    <t>Paskaidrojums</t>
  </si>
  <si>
    <t>2009.gada budžeta projekta atšifrējums ____________Sporta pasākumi  08.120______________________</t>
  </si>
  <si>
    <t>"Restorāns Orients"</t>
  </si>
  <si>
    <t>1.1-16.4.3/714</t>
  </si>
  <si>
    <t>14.05.2009.</t>
  </si>
  <si>
    <t>"Smardes AL"</t>
  </si>
  <si>
    <t>1.1-16.4.3/1229</t>
  </si>
  <si>
    <t>31.12.2009.</t>
  </si>
  <si>
    <t>Transporta īre</t>
  </si>
  <si>
    <t>Struktūrvienības nosaukums _______________Kultūras un sporta nodaļa________________</t>
  </si>
  <si>
    <t>"Dāvanu karte"</t>
  </si>
  <si>
    <t>1.1-16.4.3/266</t>
  </si>
  <si>
    <t>dāvanu kartes</t>
  </si>
  <si>
    <t>"GEKA"</t>
  </si>
  <si>
    <t>1.1-16.4.1/248</t>
  </si>
  <si>
    <t>07.04.2010.</t>
  </si>
  <si>
    <t>Kausi, medaļas</t>
  </si>
  <si>
    <t>Konta Nr.: LV 84 PARX 0002484572001</t>
  </si>
  <si>
    <t>BP 316</t>
  </si>
  <si>
    <t xml:space="preserve">"Ulma" </t>
  </si>
  <si>
    <t>1.1-16.4.1/828</t>
  </si>
  <si>
    <t>04.07.2009.</t>
  </si>
  <si>
    <t>afišas</t>
  </si>
  <si>
    <t>Nr.</t>
  </si>
  <si>
    <t>Pasākums/ aktivitāte/ projekts/ pakalpojuma nosaukums/ objekts</t>
  </si>
  <si>
    <t>Budžeta sadalījums pa EKK</t>
  </si>
  <si>
    <t>2009.gada budžeta projekts</t>
  </si>
  <si>
    <t xml:space="preserve">Izpilde </t>
  </si>
  <si>
    <t>Kases atlikums</t>
  </si>
  <si>
    <t>Rezervētā summa</t>
  </si>
  <si>
    <t>"79"</t>
  </si>
  <si>
    <t>1.1-16.4.1/245</t>
  </si>
  <si>
    <t>06.04.2010.</t>
  </si>
  <si>
    <t>aparatūras īre</t>
  </si>
  <si>
    <t>Mēnesī</t>
  </si>
  <si>
    <t>No gada sākuma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</si>
  <si>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</si>
  <si>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</si>
  <si>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</si>
  <si>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</si>
  <si>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</si>
  <si>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</si>
  <si>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</si>
  <si>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</si>
  <si>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</si>
  <si>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</si>
  <si>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</si>
  <si>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</si>
  <si>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"Tirdzniecības centrs Pleskodāle"</t>
  </si>
  <si>
    <t>1.1-16.4.3/294</t>
  </si>
  <si>
    <t>23.04.2010.</t>
  </si>
  <si>
    <t xml:space="preserve">KOPĀ </t>
  </si>
  <si>
    <t>I Jūrmalas pilsētas sporta pasākumi</t>
  </si>
  <si>
    <t xml:space="preserve">Pašvaldību darbinieku VASARAS sporta spēles </t>
  </si>
  <si>
    <t>Jūrmalas izlases dalība Latvijas OLIMPIĀDĒ (Bauska)</t>
  </si>
  <si>
    <t>ēdināšana</t>
  </si>
  <si>
    <t>25.-28.06.</t>
  </si>
  <si>
    <t>01.06.</t>
  </si>
  <si>
    <t>Gada balva sportā 2009</t>
  </si>
  <si>
    <t>balvas</t>
  </si>
  <si>
    <t>kanceleja</t>
  </si>
  <si>
    <t>Adidas 3:3, Dzintari</t>
  </si>
  <si>
    <t>20.06.2009.</t>
  </si>
  <si>
    <t xml:space="preserve"> Dzintari pludmales Spēka vīri</t>
  </si>
  <si>
    <t>FUTBOLS</t>
  </si>
  <si>
    <t>Atklātās sacensības "Jūrmalas domes kauss" 5.posmos 4 vecuma grupās pludmales futbolā</t>
  </si>
  <si>
    <t>15.08.2009.</t>
  </si>
  <si>
    <t>Latvijas skolu čempionāts pludmales futbolā</t>
  </si>
  <si>
    <t>Jūrmalas pilsētas Pavasara kauss</t>
  </si>
  <si>
    <t>Jūrmalas pilsētas atklātais čempionāts pieaugušiem</t>
  </si>
  <si>
    <t>Jūrmalas Domes kauss futbolā</t>
  </si>
  <si>
    <t>Jūrmalas pilsētas ziemas čempionāts futbolā pieaugušajiem</t>
  </si>
  <si>
    <t>SKEITBORDS</t>
  </si>
  <si>
    <t xml:space="preserve">"World Baltic Sea cup" starptautiskās  sacensības skeitbordā </t>
  </si>
  <si>
    <t xml:space="preserve">Jūrmalas pilsētas čempionāts skeitbordā </t>
  </si>
  <si>
    <t>Jūrmalas pilsētas domes kauss skeitbordā   3 posmi</t>
  </si>
  <si>
    <t>ŪDENSMOTOSPORTS</t>
  </si>
  <si>
    <t>Skandināvijas čempionāta posms Formula 2</t>
  </si>
  <si>
    <t xml:space="preserve">Latvijas čempionāts ūdensmotosportā </t>
  </si>
  <si>
    <t>AUSTRUMCĪŅAS</t>
  </si>
  <si>
    <t>Baltijas valstu atklātais čempionāts"KATA" un "Kumite" disciplīnās</t>
  </si>
  <si>
    <t>Jūrmalas atklātais čempionāts</t>
  </si>
  <si>
    <t>organizēšana</t>
  </si>
  <si>
    <t>Jūrmalas atklātais komandu čempionāts "KATA" un "KUMITĒ" disciplīnās</t>
  </si>
  <si>
    <t>"Jūrmalas kauss 2009" Starptautiskais karatē čempionāts</t>
  </si>
  <si>
    <t>INVALĪDU SPORTS</t>
  </si>
  <si>
    <t>Invalīdu spēles "Uzdrošinies, nāc līdz!"</t>
  </si>
  <si>
    <t>Jātnieku sporta sac.cilv. ar funkc. traucējumiem "Pakaviņš"</t>
  </si>
  <si>
    <t>Sporta svētki "Pepija " bērniem ivalīdiem</t>
  </si>
  <si>
    <t>Invalīdu sporta spēles</t>
  </si>
  <si>
    <t>Orientēšanās invalīdiem</t>
  </si>
  <si>
    <t>GALDA TENISS</t>
  </si>
  <si>
    <t>Jūrm.atklātais čemp. Galda tenisā</t>
  </si>
  <si>
    <t>Jūrmalas atkl. sac. galda tenisā senioriem</t>
  </si>
  <si>
    <t>Ziemassvētku balva galda tenisā</t>
  </si>
  <si>
    <t>AIRĒŠANA</t>
  </si>
  <si>
    <t>Jūrmalas atklātais čemp. kanoe airēšanā</t>
  </si>
  <si>
    <t>Jūrmalas čemp. akadēmiskā airēšanā</t>
  </si>
  <si>
    <t>Starptautiskā regate "Draudzība"</t>
  </si>
  <si>
    <t>Baltijas valstu čempionāts</t>
  </si>
  <si>
    <t>BURĀŠANA</t>
  </si>
  <si>
    <t>2 stundu regates sezonas sacensību seriāls</t>
  </si>
  <si>
    <t>Jūrmalas pilsētas burāšanas sezonas atklāšanas regate</t>
  </si>
  <si>
    <t>Optimist asociācijas kauss. Baltic Optimist Cup posms</t>
  </si>
  <si>
    <t>Jūrmalas kausa regate</t>
  </si>
  <si>
    <t>Beach Regatta</t>
  </si>
  <si>
    <t xml:space="preserve">Atklātais LR čempionāts </t>
  </si>
  <si>
    <t>Priedaines Jahtkluba sezonas slēgšanas regate</t>
  </si>
  <si>
    <t>Priedaines Jahtkluba sezonas atklāšanas regate</t>
  </si>
  <si>
    <t>BASKETBOLS</t>
  </si>
  <si>
    <t>Jūrmalas basketbola čempionāts 08/09</t>
  </si>
  <si>
    <t>Jūrmalas čempionāts basketbolā vīriešiem 09/10</t>
  </si>
  <si>
    <t>Latvijas čempionāts LBL</t>
  </si>
  <si>
    <t>Latvijas čempionāts 2 līgas spēles</t>
  </si>
  <si>
    <t>Latvijas amatieru basketbola līga</t>
  </si>
  <si>
    <t>"Pirtnieka kauss"</t>
  </si>
  <si>
    <t>VELLO</t>
  </si>
  <si>
    <t>Jūrmalas jauno CSDD sacensības un velobrauciens "Jūrmala"</t>
  </si>
  <si>
    <t>PLUDMALES VOLEJBOLS</t>
  </si>
  <si>
    <t>Latvija Open starpt. sac. 4.p. vīriešiem</t>
  </si>
  <si>
    <t>Latvija Open starpt. sac. 3.posmos sievietēm</t>
  </si>
  <si>
    <t xml:space="preserve">Atkl. sac. "Jūrmalas domes kauss" </t>
  </si>
  <si>
    <t>LR atklātais čempionāts pludmales volejbolā jauniešiem</t>
  </si>
  <si>
    <t>Kauguri Beach 2009</t>
  </si>
  <si>
    <t>"Dzintari Open" turnīrs</t>
  </si>
  <si>
    <t>HANDBOLS</t>
  </si>
  <si>
    <t>Starptautiskais turnīrs  "Nemo-2009"</t>
  </si>
  <si>
    <t>FRISBIJS</t>
  </si>
  <si>
    <t>Starptautiskais turnīrs"Bite"</t>
  </si>
  <si>
    <t>ORIENTĒŠANĀS</t>
  </si>
  <si>
    <t>"Magnēts-Jūrmalas balvas izcīņa"četrās kārtās</t>
  </si>
  <si>
    <t xml:space="preserve">Tautas orientēšanās sacesības "Liedags 2009" </t>
  </si>
  <si>
    <t>ŪDENSSLĒPOŠANA</t>
  </si>
  <si>
    <t xml:space="preserve">Jūrmalas pilsētas atklātais čempionāts "Jūrmalas Domes kauss " </t>
  </si>
  <si>
    <t xml:space="preserve">Sacensības slēpošanā "Jūrmalas kauss" </t>
  </si>
  <si>
    <t>Jūrmalas pilsētas čempionāts</t>
  </si>
  <si>
    <t>BOKSS/KIKBOKS</t>
  </si>
  <si>
    <t>Sacensības kikboksā</t>
  </si>
  <si>
    <t>Jūrmalas kauss 2009 KIK un TAI boksā</t>
  </si>
  <si>
    <t>Jūrmalas kauss Tai boksā 2008</t>
  </si>
  <si>
    <t>Kūrorta sezonas atklāšanas sacensības boksā jauniešiem</t>
  </si>
  <si>
    <t>VIEGLATLĒTIKA</t>
  </si>
  <si>
    <t>Skrējiens "Dzintaru apļi" 7 kārtās</t>
  </si>
  <si>
    <t>Jūrmalas čempionāts vieglatlētikā</t>
  </si>
  <si>
    <t>Vieglatlētikas sacensību seriāls Slokas stadionā 10 posmos</t>
  </si>
  <si>
    <t xml:space="preserve">Pludmales skrējiens "Bruņurupucis 2009" </t>
  </si>
  <si>
    <t>Jeļenas Prokopčukas 10 km skrējiens</t>
  </si>
  <si>
    <t>Jūrmalas čempionāts 50 km soļošanā</t>
  </si>
  <si>
    <t>Sezonas noslēguma sacensības Slokas stadionā</t>
  </si>
  <si>
    <t>DAMBRETE</t>
  </si>
  <si>
    <t>Prēmijas izmaksa starptautiskājam čempionam dambretē Guntim Valnerim</t>
  </si>
  <si>
    <t>JPD atklātais dambretes turnīrs</t>
  </si>
  <si>
    <t>CITI</t>
  </si>
  <si>
    <t>Pludmales cīņa</t>
  </si>
  <si>
    <t>Jūrmalas pilsētas tūristu salidojums</t>
  </si>
  <si>
    <t>Jūrmalas pilsētas atklātais aerobikas festivāls</t>
  </si>
  <si>
    <t>Latvijas čempionāta posms Veikbordā</t>
  </si>
  <si>
    <t>Vindserfings Latvijas čempionāts</t>
  </si>
  <si>
    <t>Deivisa kausa izcīņa tenisā</t>
  </si>
  <si>
    <t>Jūrmalas pilsētas ģimeņu sporta diena</t>
  </si>
  <si>
    <t>Jūrmalas čempionāts hokejā</t>
  </si>
  <si>
    <t>Eiropas ziemas jauniešu komandu čempionātam tenisā</t>
  </si>
  <si>
    <t>PELDĒŠANA</t>
  </si>
  <si>
    <t>Peldēšanas sacensības "Pirmais burbulis"</t>
  </si>
  <si>
    <t>Jūrmalas atklātais čempionāts peldēšanā</t>
  </si>
  <si>
    <t>Jūrmalas Domes kauss peldēšanā</t>
  </si>
  <si>
    <t>Sezonas atklāšanas sacensības "Jūrmala 2009"</t>
  </si>
  <si>
    <t>"Jūrmalas peldēšanas skolas kausa" izcīņas sacensības peldēšanā</t>
  </si>
  <si>
    <t>Jūrmalas pilsētas Ziemassvētku kauss peldēšanā</t>
  </si>
  <si>
    <t>MĀKSLAS VINGROŠANA</t>
  </si>
  <si>
    <t>Starptautisks festivāls"Mazā-lielā grācija"</t>
  </si>
  <si>
    <t>20.-23.08.</t>
  </si>
  <si>
    <t>Ziemassvētku turnīrs</t>
  </si>
  <si>
    <t>Jūrmalas atklātās jaunatnes meistarsacīkstes</t>
  </si>
  <si>
    <t>Jūrmalas čempionāts</t>
  </si>
  <si>
    <t>Starptautiskās sacensības mākslas vingrošanā "No limits open 2009"</t>
  </si>
  <si>
    <t>AUTOSPORTS</t>
  </si>
  <si>
    <t>Latvijas čempionāts rallijā</t>
  </si>
  <si>
    <t>Plymoth - Dakar Challenge auto reids</t>
  </si>
  <si>
    <t xml:space="preserve">II  Jūrmalas pilsētas finansētie sporta klubu komandu piedalīšanās izdevumi starptautiskās sacensībās un Latvijas čempionātu sacensībās 2009.g. </t>
  </si>
  <si>
    <t>Jūrmalas basketbola komandas dalība Latvijas Basketbola čempionātā</t>
  </si>
  <si>
    <t>Jūrmalas handbola komandas dalība Latvijas handbola čempionātā</t>
  </si>
  <si>
    <t>Jūrmalas futbola komandas dalība Latvijas čempionātā LMT virslīgā</t>
  </si>
  <si>
    <t>Latvijas Veterānu sporta spēles</t>
  </si>
  <si>
    <t>Biedrība "Ūdens sporta klubs "Jūrmala" treniņu un sacensību nodrošināšanai</t>
  </si>
  <si>
    <t>Jūrmalas sporta veterānu atbalstam. SSB Jūrmala</t>
  </si>
  <si>
    <t>Jūrmalas sports 2. līmeņa spēles</t>
  </si>
  <si>
    <t>ASF "Priedaines jahtklubs"</t>
  </si>
  <si>
    <t>Florbola klubs "Jūrmala"</t>
  </si>
  <si>
    <t>Futbola klubs"Kauguri-PBLC"</t>
  </si>
  <si>
    <t>Piedalīšanas telpu futbola sacensībās</t>
  </si>
  <si>
    <t>Jauniešu futbola klubs "Kauguri"</t>
  </si>
  <si>
    <t>Futbola 1.līgas komandām</t>
  </si>
  <si>
    <t>Skautu un gaidu burāšanas treniņu un sacensību organizēšanai</t>
  </si>
  <si>
    <t>Ceļa izdevumu sēgšanai braucienam uz eiropas čempionātu Itālijā veterānu komandai basketbolā</t>
  </si>
  <si>
    <t>Jūrmalas airētāju Eiropas un pasaules čempionātos</t>
  </si>
  <si>
    <t>Dambretes klubs "Pumpuri"</t>
  </si>
  <si>
    <t>Jūrmalas peldēšanas skola</t>
  </si>
  <si>
    <t>Specializētā airēšanas sporta skola</t>
  </si>
  <si>
    <t>Jūrmalas smaiļotāju un kanoistu atbalstam</t>
  </si>
  <si>
    <t>Tenisa sacensibu organizēšana</t>
  </si>
  <si>
    <t>Galda tenisa klubs "Sloka"</t>
  </si>
  <si>
    <t>Piedalīšanas sporta darbib.semināros</t>
  </si>
  <si>
    <t>GTK "Sloka" veterānu sac.</t>
  </si>
  <si>
    <t>BMX</t>
  </si>
  <si>
    <t>Kalnu nobrauciens(Downhill) riteņbr.</t>
  </si>
  <si>
    <t>SK "Jūrmala"</t>
  </si>
  <si>
    <t>Jūrmalas hokeja komandu atbalstam</t>
  </si>
  <si>
    <t>Sporta klubs "Neguss"</t>
  </si>
  <si>
    <t>Jūrmalas skolu komandu piedalīšanās starp. Sac</t>
  </si>
  <si>
    <t xml:space="preserve"> Jūrmalas Karsējmeiteņu komandai</t>
  </si>
  <si>
    <t>Autosporta atbalstam</t>
  </si>
  <si>
    <t>FK Kauguri -PBLC dalībai</t>
  </si>
  <si>
    <t>Dalības maksa starp. Čempionātos "Jūrmalas cīņu mākslas centrs"</t>
  </si>
  <si>
    <t>K. Gosas dalībai</t>
  </si>
  <si>
    <t xml:space="preserve">E. Zaikovskas dalībai </t>
  </si>
  <si>
    <t>Sportistu naudas prēmijas</t>
  </si>
  <si>
    <t>Komandējums uz Zagrebu</t>
  </si>
  <si>
    <t>Latvijas automobiļu federācija</t>
  </si>
  <si>
    <t>19.09.2009.</t>
  </si>
  <si>
    <t>Skeits Stoholm</t>
  </si>
  <si>
    <t>Invalīdu sporta atbalstam</t>
  </si>
  <si>
    <t xml:space="preserve">Pasaules kausa sacensības pludmales volejbolā </t>
  </si>
  <si>
    <t>Jūrmalas senioru basketbola komandas dalība senioru pasaules čempionātā</t>
  </si>
  <si>
    <t>Jūrmalas jauno sporta talantu atbalstam</t>
  </si>
  <si>
    <t>10.01.2010.</t>
  </si>
  <si>
    <t>Citi</t>
  </si>
  <si>
    <t>Galda hokeja inventāra iegāde</t>
  </si>
  <si>
    <t>Laivas iegāde</t>
  </si>
  <si>
    <t>līdz 15.05.</t>
  </si>
  <si>
    <t>08.300</t>
  </si>
  <si>
    <t>Reklāmas izdevumi sporta pasākumiem t.sk.</t>
  </si>
  <si>
    <t>European HOG rally</t>
  </si>
  <si>
    <t xml:space="preserve">Rallijs 2009 posma Jūrmalā </t>
  </si>
  <si>
    <t>Citi sporta pasākumi</t>
  </si>
  <si>
    <t>Sadalījums pa EKK kodiem</t>
  </si>
  <si>
    <t>08.120</t>
  </si>
  <si>
    <t>reklāma</t>
  </si>
  <si>
    <t>telpu noma</t>
  </si>
  <si>
    <t>transporta noma</t>
  </si>
  <si>
    <t>inventāra noma</t>
  </si>
  <si>
    <t>pārējā īre/noma</t>
  </si>
  <si>
    <t>pārējie pakalpojumi</t>
  </si>
  <si>
    <t>inventārs</t>
  </si>
  <si>
    <t>medikamenti</t>
  </si>
  <si>
    <t>saimniecības materiāli</t>
  </si>
  <si>
    <t>mīkstais inventārs</t>
  </si>
  <si>
    <t>laivas iegāde</t>
  </si>
  <si>
    <t>prēmijas</t>
  </si>
  <si>
    <t>KOPĀ:</t>
  </si>
  <si>
    <t>Samazinājumi</t>
  </si>
  <si>
    <t>15.pielikums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</si>
</sst>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imes New Roman"/>
      <family val="1"/>
    </font>
    <font>
      <sz val="8"/>
      <color indexed="17"/>
      <name val="Times New Roman"/>
      <family val="1"/>
    </font>
    <font>
      <b/>
      <sz val="8"/>
      <name val="Times New Roman Baltic"/>
      <family val="0"/>
    </font>
    <font>
      <sz val="8"/>
      <name val="Times New Roman Baltic"/>
      <family val="0"/>
    </font>
    <font>
      <b/>
      <sz val="8"/>
      <name val="Times New Roman"/>
      <family val="1"/>
    </font>
    <font>
      <u val="single"/>
      <sz val="8"/>
      <color indexed="12"/>
      <name val="Arial"/>
      <family val="0"/>
    </font>
    <font>
      <i/>
      <sz val="8"/>
      <name val="Times New Roman"/>
      <family val="1"/>
    </font>
    <font>
      <u val="single"/>
      <sz val="8"/>
      <color indexed="57"/>
      <name val="Times New Roman"/>
      <family val="1"/>
    </font>
    <font>
      <u val="single"/>
      <sz val="8"/>
      <color indexed="57"/>
      <name val="Arial"/>
      <family val="0"/>
    </font>
    <font>
      <sz val="8"/>
      <color indexed="10"/>
      <name val="Times New Roman"/>
      <family val="1"/>
    </font>
    <font>
      <b/>
      <sz val="8"/>
      <name val="Arial"/>
      <family val="0"/>
    </font>
    <font>
      <b/>
      <u val="single"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8"/>
      <name val="Tahoma"/>
      <family val="2"/>
    </font>
    <font>
      <b/>
      <i/>
      <sz val="8"/>
      <name val="Tahoma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58" applyFont="1" applyFill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23" fillId="0" borderId="0" xfId="58" applyFont="1" applyAlignment="1">
      <alignment vertical="center"/>
      <protection/>
    </xf>
    <xf numFmtId="38" fontId="23" fillId="0" borderId="0" xfId="58" applyNumberFormat="1" applyFont="1" applyAlignment="1">
      <alignment vertical="center"/>
      <protection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6" fillId="1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0" xfId="58" applyFont="1">
      <alignment/>
      <protection/>
    </xf>
    <xf numFmtId="0" fontId="27" fillId="4" borderId="11" xfId="0" applyFont="1" applyFill="1" applyBorder="1" applyAlignment="1">
      <alignment horizontal="center" vertical="center" wrapText="1"/>
    </xf>
    <xf numFmtId="3" fontId="24" fillId="4" borderId="11" xfId="0" applyNumberFormat="1" applyFont="1" applyFill="1" applyBorder="1" applyAlignment="1">
      <alignment horizontal="center" vertical="center"/>
    </xf>
    <xf numFmtId="3" fontId="27" fillId="4" borderId="11" xfId="61" applyNumberFormat="1" applyFont="1" applyFill="1" applyBorder="1" applyAlignment="1">
      <alignment vertical="center" wrapText="1"/>
    </xf>
    <xf numFmtId="3" fontId="27" fillId="4" borderId="11" xfId="61" applyNumberFormat="1" applyFont="1" applyFill="1" applyBorder="1" applyAlignment="1">
      <alignment horizontal="right" vertical="center" wrapText="1"/>
    </xf>
    <xf numFmtId="3" fontId="27" fillId="4" borderId="11" xfId="61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3" fontId="29" fillId="0" borderId="11" xfId="54" applyNumberFormat="1" applyFont="1" applyFill="1" applyBorder="1" applyAlignment="1">
      <alignment horizontal="center" vertical="center"/>
    </xf>
    <xf numFmtId="14" fontId="27" fillId="0" borderId="11" xfId="61" applyNumberFormat="1" applyFont="1" applyFill="1" applyBorder="1" applyAlignment="1">
      <alignment vertical="center" wrapText="1"/>
    </xf>
    <xf numFmtId="3" fontId="27" fillId="0" borderId="11" xfId="61" applyNumberFormat="1" applyFont="1" applyFill="1" applyBorder="1" applyAlignment="1">
      <alignment horizontal="right" vertical="center" wrapText="1"/>
    </xf>
    <xf numFmtId="3" fontId="27" fillId="0" borderId="11" xfId="61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vertical="center"/>
    </xf>
    <xf numFmtId="38" fontId="30" fillId="0" borderId="0" xfId="0" applyNumberFormat="1" applyFont="1" applyAlignment="1">
      <alignment vertical="center"/>
    </xf>
    <xf numFmtId="3" fontId="31" fillId="0" borderId="11" xfId="54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3" fontId="27" fillId="0" borderId="11" xfId="61" applyNumberFormat="1" applyFont="1" applyFill="1" applyBorder="1" applyAlignment="1">
      <alignment vertical="center" wrapText="1"/>
    </xf>
    <xf numFmtId="38" fontId="24" fillId="0" borderId="0" xfId="0" applyNumberFormat="1" applyFont="1" applyBorder="1" applyAlignment="1">
      <alignment vertic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8" fontId="23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3" fontId="32" fillId="0" borderId="11" xfId="54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4" fillId="24" borderId="11" xfId="0" applyFont="1" applyFill="1" applyBorder="1" applyAlignment="1">
      <alignment horizontal="left" vertical="center" wrapText="1"/>
    </xf>
    <xf numFmtId="3" fontId="24" fillId="24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38" fontId="24" fillId="4" borderId="11" xfId="0" applyNumberFormat="1" applyFont="1" applyFill="1" applyBorder="1" applyAlignment="1">
      <alignment vertical="center"/>
    </xf>
    <xf numFmtId="38" fontId="23" fillId="0" borderId="11" xfId="0" applyNumberFormat="1" applyFont="1" applyBorder="1" applyAlignment="1">
      <alignment vertical="center"/>
    </xf>
    <xf numFmtId="38" fontId="24" fillId="0" borderId="11" xfId="0" applyNumberFormat="1" applyFont="1" applyBorder="1" applyAlignment="1">
      <alignment vertical="center"/>
    </xf>
    <xf numFmtId="0" fontId="24" fillId="24" borderId="11" xfId="0" applyFont="1" applyFill="1" applyBorder="1" applyAlignment="1">
      <alignment vertical="center" wrapText="1"/>
    </xf>
    <xf numFmtId="3" fontId="24" fillId="24" borderId="11" xfId="0" applyNumberFormat="1" applyFont="1" applyFill="1" applyBorder="1" applyAlignment="1">
      <alignment vertical="center" wrapText="1"/>
    </xf>
    <xf numFmtId="3" fontId="24" fillId="0" borderId="11" xfId="0" applyNumberFormat="1" applyFont="1" applyFill="1" applyBorder="1" applyAlignment="1">
      <alignment vertical="center" wrapText="1"/>
    </xf>
    <xf numFmtId="38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 wrapText="1"/>
    </xf>
    <xf numFmtId="1" fontId="23" fillId="0" borderId="11" xfId="0" applyNumberFormat="1" applyFont="1" applyBorder="1" applyAlignment="1">
      <alignment vertical="center"/>
    </xf>
    <xf numFmtId="38" fontId="24" fillId="0" borderId="14" xfId="0" applyNumberFormat="1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right" vertical="center" wrapText="1"/>
    </xf>
    <xf numFmtId="38" fontId="24" fillId="0" borderId="15" xfId="0" applyNumberFormat="1" applyFont="1" applyFill="1" applyBorder="1" applyAlignment="1">
      <alignment horizontal="right" vertical="center"/>
    </xf>
    <xf numFmtId="1" fontId="24" fillId="0" borderId="11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" fontId="24" fillId="0" borderId="16" xfId="0" applyNumberFormat="1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3" fontId="24" fillId="24" borderId="16" xfId="0" applyNumberFormat="1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1" fontId="24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8" fontId="24" fillId="0" borderId="16" xfId="0" applyNumberFormat="1" applyFont="1" applyFill="1" applyBorder="1" applyAlignment="1">
      <alignment vertical="center"/>
    </xf>
    <xf numFmtId="38" fontId="23" fillId="0" borderId="1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vertical="center" wrapText="1"/>
    </xf>
    <xf numFmtId="3" fontId="24" fillId="0" borderId="15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3" fontId="24" fillId="24" borderId="15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3" fontId="28" fillId="0" borderId="15" xfId="0" applyNumberFormat="1" applyFont="1" applyBorder="1" applyAlignment="1">
      <alignment vertical="center"/>
    </xf>
    <xf numFmtId="38" fontId="24" fillId="0" borderId="15" xfId="0" applyNumberFormat="1" applyFont="1" applyFill="1" applyBorder="1" applyAlignment="1">
      <alignment vertical="center"/>
    </xf>
    <xf numFmtId="38" fontId="23" fillId="0" borderId="15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 wrapText="1"/>
    </xf>
    <xf numFmtId="3" fontId="27" fillId="24" borderId="11" xfId="0" applyNumberFormat="1" applyFont="1" applyFill="1" applyBorder="1" applyAlignment="1">
      <alignment vertical="center" wrapText="1"/>
    </xf>
    <xf numFmtId="3" fontId="27" fillId="0" borderId="11" xfId="0" applyNumberFormat="1" applyFont="1" applyFill="1" applyBorder="1" applyAlignment="1">
      <alignment vertical="center" wrapText="1"/>
    </xf>
    <xf numFmtId="1" fontId="24" fillId="0" borderId="11" xfId="0" applyNumberFormat="1" applyFont="1" applyBorder="1" applyAlignment="1">
      <alignment vertical="center" wrapText="1"/>
    </xf>
    <xf numFmtId="0" fontId="27" fillId="24" borderId="16" xfId="0" applyFont="1" applyFill="1" applyBorder="1" applyAlignment="1">
      <alignment horizontal="center" vertical="center" wrapText="1"/>
    </xf>
    <xf numFmtId="3" fontId="27" fillId="24" borderId="16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wrapText="1"/>
    </xf>
    <xf numFmtId="38" fontId="24" fillId="0" borderId="16" xfId="0" applyNumberFormat="1" applyFont="1" applyBorder="1" applyAlignment="1">
      <alignment vertical="center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vertical="center" wrapText="1"/>
    </xf>
    <xf numFmtId="3" fontId="27" fillId="24" borderId="15" xfId="0" applyNumberFormat="1" applyFont="1" applyFill="1" applyBorder="1" applyAlignment="1">
      <alignment vertical="center" wrapText="1"/>
    </xf>
    <xf numFmtId="3" fontId="27" fillId="0" borderId="15" xfId="0" applyNumberFormat="1" applyFont="1" applyFill="1" applyBorder="1" applyAlignment="1">
      <alignment vertical="center" wrapText="1"/>
    </xf>
    <xf numFmtId="38" fontId="24" fillId="0" borderId="15" xfId="0" applyNumberFormat="1" applyFont="1" applyBorder="1" applyAlignment="1">
      <alignment vertical="center"/>
    </xf>
    <xf numFmtId="0" fontId="27" fillId="24" borderId="11" xfId="0" applyFont="1" applyFill="1" applyBorder="1" applyAlignment="1">
      <alignment horizontal="left" vertical="center" wrapText="1"/>
    </xf>
    <xf numFmtId="3" fontId="27" fillId="24" borderId="11" xfId="0" applyNumberFormat="1" applyFont="1" applyFill="1" applyBorder="1" applyAlignment="1">
      <alignment vertical="center" wrapText="1"/>
    </xf>
    <xf numFmtId="3" fontId="27" fillId="0" borderId="11" xfId="0" applyNumberFormat="1" applyFont="1" applyFill="1" applyBorder="1" applyAlignment="1">
      <alignment vertical="center" wrapText="1"/>
    </xf>
    <xf numFmtId="40" fontId="24" fillId="0" borderId="11" xfId="0" applyNumberFormat="1" applyFont="1" applyFill="1" applyBorder="1" applyAlignment="1">
      <alignment vertical="center"/>
    </xf>
    <xf numFmtId="3" fontId="27" fillId="24" borderId="16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wrapText="1"/>
    </xf>
    <xf numFmtId="40" fontId="24" fillId="0" borderId="16" xfId="0" applyNumberFormat="1" applyFont="1" applyFill="1" applyBorder="1" applyAlignment="1">
      <alignment vertical="center"/>
    </xf>
    <xf numFmtId="3" fontId="27" fillId="24" borderId="15" xfId="0" applyNumberFormat="1" applyFont="1" applyFill="1" applyBorder="1" applyAlignment="1">
      <alignment vertical="center" wrapText="1"/>
    </xf>
    <xf numFmtId="3" fontId="27" fillId="0" borderId="15" xfId="0" applyNumberFormat="1" applyFont="1" applyFill="1" applyBorder="1" applyAlignment="1">
      <alignment vertical="center" wrapText="1"/>
    </xf>
    <xf numFmtId="1" fontId="24" fillId="0" borderId="16" xfId="0" applyNumberFormat="1" applyFont="1" applyBorder="1" applyAlignment="1">
      <alignment vertical="center"/>
    </xf>
    <xf numFmtId="1" fontId="24" fillId="0" borderId="15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7" fillId="24" borderId="11" xfId="0" applyFont="1" applyFill="1" applyBorder="1" applyAlignment="1">
      <alignment vertical="center" wrapText="1"/>
    </xf>
    <xf numFmtId="0" fontId="27" fillId="24" borderId="16" xfId="0" applyFont="1" applyFill="1" applyBorder="1" applyAlignment="1">
      <alignment vertical="center" wrapText="1"/>
    </xf>
    <xf numFmtId="1" fontId="23" fillId="0" borderId="16" xfId="0" applyNumberFormat="1" applyFont="1" applyBorder="1" applyAlignment="1">
      <alignment vertical="center"/>
    </xf>
    <xf numFmtId="0" fontId="27" fillId="24" borderId="15" xfId="0" applyFont="1" applyFill="1" applyBorder="1" applyAlignment="1">
      <alignment vertical="center" wrapText="1"/>
    </xf>
    <xf numFmtId="40" fontId="24" fillId="0" borderId="11" xfId="0" applyNumberFormat="1" applyFont="1" applyBorder="1" applyAlignment="1">
      <alignment vertical="center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3" fontId="27" fillId="24" borderId="14" xfId="0" applyNumberFormat="1" applyFont="1" applyFill="1" applyBorder="1" applyAlignment="1">
      <alignment vertical="center" wrapText="1"/>
    </xf>
    <xf numFmtId="3" fontId="27" fillId="0" borderId="14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/>
    </xf>
    <xf numFmtId="3" fontId="28" fillId="0" borderId="14" xfId="0" applyNumberFormat="1" applyFont="1" applyBorder="1" applyAlignment="1">
      <alignment vertical="center"/>
    </xf>
    <xf numFmtId="38" fontId="24" fillId="0" borderId="14" xfId="0" applyNumberFormat="1" applyFont="1" applyFill="1" applyBorder="1" applyAlignment="1">
      <alignment vertical="center"/>
    </xf>
    <xf numFmtId="38" fontId="24" fillId="0" borderId="14" xfId="0" applyNumberFormat="1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3" fontId="27" fillId="24" borderId="19" xfId="0" applyNumberFormat="1" applyFont="1" applyFill="1" applyBorder="1" applyAlignment="1">
      <alignment vertical="center" wrapText="1"/>
    </xf>
    <xf numFmtId="3" fontId="27" fillId="0" borderId="19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3" fontId="28" fillId="0" borderId="19" xfId="0" applyNumberFormat="1" applyFont="1" applyBorder="1" applyAlignment="1">
      <alignment vertical="center"/>
    </xf>
    <xf numFmtId="38" fontId="24" fillId="0" borderId="19" xfId="0" applyNumberFormat="1" applyFont="1" applyFill="1" applyBorder="1" applyAlignment="1">
      <alignment vertical="center"/>
    </xf>
    <xf numFmtId="38" fontId="24" fillId="0" borderId="19" xfId="0" applyNumberFormat="1" applyFont="1" applyBorder="1" applyAlignment="1">
      <alignment vertical="center"/>
    </xf>
    <xf numFmtId="38" fontId="23" fillId="0" borderId="19" xfId="0" applyNumberFormat="1" applyFont="1" applyBorder="1" applyAlignment="1">
      <alignment vertical="center"/>
    </xf>
    <xf numFmtId="38" fontId="24" fillId="0" borderId="19" xfId="0" applyNumberFormat="1" applyFont="1" applyFill="1" applyBorder="1" applyAlignment="1">
      <alignment horizontal="right" vertical="center"/>
    </xf>
    <xf numFmtId="3" fontId="27" fillId="24" borderId="20" xfId="0" applyNumberFormat="1" applyFont="1" applyFill="1" applyBorder="1" applyAlignment="1">
      <alignment vertical="center" wrapText="1"/>
    </xf>
    <xf numFmtId="3" fontId="27" fillId="0" borderId="20" xfId="0" applyNumberFormat="1" applyFont="1" applyFill="1" applyBorder="1" applyAlignment="1">
      <alignment vertical="center" wrapText="1"/>
    </xf>
    <xf numFmtId="38" fontId="24" fillId="0" borderId="20" xfId="0" applyNumberFormat="1" applyFont="1" applyBorder="1" applyAlignment="1">
      <alignment vertical="center"/>
    </xf>
    <xf numFmtId="0" fontId="24" fillId="0" borderId="20" xfId="0" applyFont="1" applyFill="1" applyBorder="1" applyAlignment="1">
      <alignment vertical="center" wrapText="1"/>
    </xf>
    <xf numFmtId="38" fontId="24" fillId="0" borderId="20" xfId="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3" fontId="24" fillId="0" borderId="22" xfId="0" applyNumberFormat="1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38" fontId="24" fillId="0" borderId="22" xfId="0" applyNumberFormat="1" applyFont="1" applyFill="1" applyBorder="1" applyAlignment="1">
      <alignment vertical="center"/>
    </xf>
    <xf numFmtId="38" fontId="24" fillId="0" borderId="16" xfId="0" applyNumberFormat="1" applyFont="1" applyFill="1" applyBorder="1" applyAlignment="1">
      <alignment horizontal="right" vertical="center"/>
    </xf>
    <xf numFmtId="38" fontId="24" fillId="0" borderId="11" xfId="0" applyNumberFormat="1" applyFont="1" applyFill="1" applyBorder="1" applyAlignment="1">
      <alignment horizontal="right" vertical="center"/>
    </xf>
    <xf numFmtId="3" fontId="24" fillId="0" borderId="15" xfId="0" applyNumberFormat="1" applyFont="1" applyFill="1" applyBorder="1" applyAlignment="1">
      <alignment vertical="center"/>
    </xf>
    <xf numFmtId="1" fontId="23" fillId="0" borderId="15" xfId="0" applyNumberFormat="1" applyFont="1" applyFill="1" applyBorder="1" applyAlignment="1">
      <alignment vertical="center"/>
    </xf>
    <xf numFmtId="1" fontId="24" fillId="0" borderId="15" xfId="0" applyNumberFormat="1" applyFont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38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0" fontId="24" fillId="0" borderId="16" xfId="0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" fontId="24" fillId="0" borderId="16" xfId="0" applyNumberFormat="1" applyFont="1" applyFill="1" applyBorder="1" applyAlignment="1">
      <alignment horizontal="right" vertical="center" wrapText="1"/>
    </xf>
    <xf numFmtId="40" fontId="24" fillId="0" borderId="16" xfId="0" applyNumberFormat="1" applyFont="1" applyBorder="1" applyAlignment="1">
      <alignment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vertical="center" wrapText="1"/>
    </xf>
    <xf numFmtId="1" fontId="24" fillId="0" borderId="19" xfId="0" applyNumberFormat="1" applyFont="1" applyFill="1" applyBorder="1" applyAlignment="1">
      <alignment vertical="center" wrapText="1"/>
    </xf>
    <xf numFmtId="1" fontId="23" fillId="0" borderId="19" xfId="0" applyNumberFormat="1" applyFont="1" applyBorder="1" applyAlignment="1">
      <alignment vertical="center"/>
    </xf>
    <xf numFmtId="40" fontId="24" fillId="0" borderId="15" xfId="0" applyNumberFormat="1" applyFont="1" applyBorder="1" applyAlignment="1">
      <alignment vertical="center"/>
    </xf>
    <xf numFmtId="0" fontId="24" fillId="24" borderId="11" xfId="0" applyFont="1" applyFill="1" applyBorder="1" applyAlignment="1">
      <alignment horizontal="center" vertical="center"/>
    </xf>
    <xf numFmtId="3" fontId="27" fillId="24" borderId="11" xfId="0" applyNumberFormat="1" applyFont="1" applyFill="1" applyBorder="1" applyAlignment="1">
      <alignment horizontal="right" vertical="center" wrapText="1"/>
    </xf>
    <xf numFmtId="3" fontId="27" fillId="0" borderId="11" xfId="0" applyNumberFormat="1" applyFont="1" applyFill="1" applyBorder="1" applyAlignment="1">
      <alignment horizontal="right" vertical="center" wrapText="1"/>
    </xf>
    <xf numFmtId="40" fontId="23" fillId="0" borderId="0" xfId="0" applyNumberFormat="1" applyFont="1" applyAlignment="1">
      <alignment vertical="center"/>
    </xf>
    <xf numFmtId="3" fontId="24" fillId="24" borderId="14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38" fontId="24" fillId="4" borderId="14" xfId="0" applyNumberFormat="1" applyFont="1" applyFill="1" applyBorder="1" applyAlignment="1">
      <alignment vertical="center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3" fontId="26" fillId="4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vertical="center" wrapText="1"/>
    </xf>
    <xf numFmtId="38" fontId="26" fillId="4" borderId="11" xfId="0" applyNumberFormat="1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3" fontId="24" fillId="0" borderId="16" xfId="0" applyNumberFormat="1" applyFont="1" applyFill="1" applyBorder="1" applyAlignment="1">
      <alignment vertical="center"/>
    </xf>
    <xf numFmtId="0" fontId="24" fillId="0" borderId="16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/>
    </xf>
    <xf numFmtId="0" fontId="24" fillId="0" borderId="15" xfId="0" applyFont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/>
    </xf>
    <xf numFmtId="0" fontId="27" fillId="24" borderId="16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/>
    </xf>
    <xf numFmtId="3" fontId="24" fillId="24" borderId="11" xfId="0" applyNumberFormat="1" applyFont="1" applyFill="1" applyBorder="1" applyAlignment="1">
      <alignment vertical="center"/>
    </xf>
    <xf numFmtId="0" fontId="23" fillId="4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3" fontId="27" fillId="24" borderId="15" xfId="0" applyNumberFormat="1" applyFont="1" applyFill="1" applyBorder="1" applyAlignment="1">
      <alignment horizontal="right" vertical="center" wrapText="1"/>
    </xf>
    <xf numFmtId="3" fontId="27" fillId="0" borderId="15" xfId="0" applyNumberFormat="1" applyFont="1" applyFill="1" applyBorder="1" applyAlignment="1">
      <alignment horizontal="right" vertical="center" wrapText="1"/>
    </xf>
    <xf numFmtId="3" fontId="27" fillId="24" borderId="16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24" fillId="24" borderId="16" xfId="0" applyNumberFormat="1" applyFont="1" applyFill="1" applyBorder="1" applyAlignment="1">
      <alignment vertical="center"/>
    </xf>
    <xf numFmtId="3" fontId="24" fillId="24" borderId="15" xfId="0" applyNumberFormat="1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vertical="center"/>
    </xf>
    <xf numFmtId="38" fontId="23" fillId="0" borderId="17" xfId="0" applyNumberFormat="1" applyFont="1" applyBorder="1" applyAlignment="1">
      <alignment vertical="center"/>
    </xf>
    <xf numFmtId="0" fontId="27" fillId="24" borderId="20" xfId="0" applyFont="1" applyFill="1" applyBorder="1" applyAlignment="1">
      <alignment horizontal="left" vertical="center" wrapText="1"/>
    </xf>
    <xf numFmtId="3" fontId="33" fillId="0" borderId="15" xfId="0" applyNumberFormat="1" applyFont="1" applyFill="1" applyBorder="1" applyAlignment="1">
      <alignment vertical="center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 wrapText="1"/>
    </xf>
    <xf numFmtId="3" fontId="27" fillId="24" borderId="15" xfId="61" applyNumberFormat="1" applyFont="1" applyFill="1" applyBorder="1" applyAlignment="1">
      <alignment vertical="center" wrapText="1"/>
    </xf>
    <xf numFmtId="3" fontId="27" fillId="0" borderId="15" xfId="61" applyNumberFormat="1" applyFont="1" applyFill="1" applyBorder="1" applyAlignment="1">
      <alignment vertical="center" wrapText="1"/>
    </xf>
    <xf numFmtId="40" fontId="24" fillId="0" borderId="15" xfId="0" applyNumberFormat="1" applyFont="1" applyFill="1" applyBorder="1" applyAlignment="1">
      <alignment vertical="center"/>
    </xf>
    <xf numFmtId="3" fontId="27" fillId="24" borderId="11" xfId="61" applyNumberFormat="1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3" fontId="24" fillId="0" borderId="14" xfId="0" applyNumberFormat="1" applyFont="1" applyFill="1" applyBorder="1" applyAlignment="1">
      <alignment vertical="center"/>
    </xf>
    <xf numFmtId="3" fontId="27" fillId="24" borderId="14" xfId="0" applyNumberFormat="1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horizontal="right" vertical="center" wrapText="1"/>
    </xf>
    <xf numFmtId="1" fontId="23" fillId="17" borderId="14" xfId="0" applyNumberFormat="1" applyFont="1" applyFill="1" applyBorder="1" applyAlignment="1">
      <alignment vertic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7" fillId="24" borderId="19" xfId="0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3" fontId="27" fillId="24" borderId="19" xfId="0" applyNumberFormat="1" applyFont="1" applyFill="1" applyBorder="1" applyAlignment="1">
      <alignment horizontal="right" vertical="center" wrapText="1"/>
    </xf>
    <xf numFmtId="3" fontId="27" fillId="0" borderId="19" xfId="0" applyNumberFormat="1" applyFont="1" applyFill="1" applyBorder="1" applyAlignment="1">
      <alignment horizontal="right" vertical="center" wrapText="1"/>
    </xf>
    <xf numFmtId="40" fontId="24" fillId="0" borderId="19" xfId="0" applyNumberFormat="1" applyFont="1" applyBorder="1" applyAlignment="1">
      <alignment vertical="center"/>
    </xf>
    <xf numFmtId="38" fontId="23" fillId="0" borderId="21" xfId="0" applyNumberFormat="1" applyFont="1" applyBorder="1" applyAlignment="1">
      <alignment vertical="center"/>
    </xf>
    <xf numFmtId="3" fontId="27" fillId="0" borderId="27" xfId="0" applyNumberFormat="1" applyFont="1" applyFill="1" applyBorder="1" applyAlignment="1">
      <alignment horizontal="right" vertical="center" wrapText="1"/>
    </xf>
    <xf numFmtId="3" fontId="27" fillId="24" borderId="27" xfId="0" applyNumberFormat="1" applyFont="1" applyFill="1" applyBorder="1" applyAlignment="1">
      <alignment vertical="center" wrapText="1"/>
    </xf>
    <xf numFmtId="3" fontId="27" fillId="0" borderId="27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23" fillId="0" borderId="27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8" fontId="24" fillId="0" borderId="24" xfId="0" applyNumberFormat="1" applyFont="1" applyBorder="1" applyAlignment="1">
      <alignment vertical="center"/>
    </xf>
    <xf numFmtId="38" fontId="23" fillId="0" borderId="0" xfId="0" applyNumberFormat="1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7" fillId="24" borderId="2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38" fontId="23" fillId="0" borderId="14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" fontId="24" fillId="0" borderId="20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3" fontId="28" fillId="0" borderId="20" xfId="0" applyNumberFormat="1" applyFont="1" applyBorder="1" applyAlignment="1">
      <alignment vertical="center"/>
    </xf>
    <xf numFmtId="38" fontId="24" fillId="0" borderId="20" xfId="0" applyNumberFormat="1" applyFont="1" applyFill="1" applyBorder="1" applyAlignment="1">
      <alignment vertical="center"/>
    </xf>
    <xf numFmtId="0" fontId="27" fillId="24" borderId="3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3" fontId="28" fillId="4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3" fontId="27" fillId="0" borderId="31" xfId="61" applyNumberFormat="1" applyFont="1" applyFill="1" applyBorder="1" applyAlignment="1">
      <alignment vertical="center" wrapText="1"/>
    </xf>
    <xf numFmtId="3" fontId="27" fillId="0" borderId="0" xfId="61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35" fillId="0" borderId="0" xfId="58" applyFont="1" applyBorder="1" applyAlignment="1">
      <alignment vertical="center"/>
      <protection/>
    </xf>
    <xf numFmtId="3" fontId="24" fillId="0" borderId="0" xfId="58" applyNumberFormat="1" applyFont="1" applyFill="1" applyBorder="1" applyAlignment="1">
      <alignment horizontal="right" vertical="center" wrapText="1"/>
      <protection/>
    </xf>
    <xf numFmtId="0" fontId="24" fillId="0" borderId="0" xfId="0" applyFont="1" applyFill="1" applyBorder="1" applyAlignment="1">
      <alignment vertical="center"/>
    </xf>
    <xf numFmtId="49" fontId="35" fillId="0" borderId="0" xfId="58" applyNumberFormat="1" applyFont="1" applyBorder="1" applyAlignment="1">
      <alignment vertical="center"/>
      <protection/>
    </xf>
    <xf numFmtId="3" fontId="24" fillId="0" borderId="11" xfId="58" applyNumberFormat="1" applyFont="1" applyFill="1" applyBorder="1" applyAlignment="1">
      <alignment horizontal="right" vertical="center" wrapText="1"/>
      <protection/>
    </xf>
    <xf numFmtId="3" fontId="27" fillId="0" borderId="0" xfId="0" applyNumberFormat="1" applyFont="1" applyFill="1" applyBorder="1" applyAlignment="1">
      <alignment vertical="center" wrapText="1"/>
    </xf>
    <xf numFmtId="3" fontId="24" fillId="17" borderId="11" xfId="58" applyNumberFormat="1" applyFont="1" applyFill="1" applyBorder="1" applyAlignment="1">
      <alignment horizontal="right" vertical="center" wrapText="1"/>
      <protection/>
    </xf>
    <xf numFmtId="3" fontId="24" fillId="0" borderId="11" xfId="0" applyNumberFormat="1" applyFont="1" applyFill="1" applyBorder="1" applyAlignment="1">
      <alignment horizontal="right" vertical="center"/>
    </xf>
    <xf numFmtId="3" fontId="24" fillId="4" borderId="11" xfId="58" applyNumberFormat="1" applyFont="1" applyFill="1" applyBorder="1" applyAlignment="1">
      <alignment horizontal="right" vertical="center" wrapText="1"/>
      <protection/>
    </xf>
    <xf numFmtId="3" fontId="24" fillId="17" borderId="11" xfId="0" applyNumberFormat="1" applyFont="1" applyFill="1" applyBorder="1" applyAlignment="1">
      <alignment horizontal="right" vertical="center"/>
    </xf>
    <xf numFmtId="3" fontId="24" fillId="4" borderId="11" xfId="0" applyNumberFormat="1" applyFont="1" applyFill="1" applyBorder="1" applyAlignment="1">
      <alignment horizontal="right" vertical="center"/>
    </xf>
    <xf numFmtId="3" fontId="24" fillId="10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3" fontId="28" fillId="10" borderId="11" xfId="0" applyNumberFormat="1" applyFont="1" applyFill="1" applyBorder="1" applyAlignment="1">
      <alignment horizontal="right" vertical="center"/>
    </xf>
    <xf numFmtId="3" fontId="28" fillId="0" borderId="11" xfId="58" applyNumberFormat="1" applyFont="1" applyFill="1" applyBorder="1" applyAlignment="1">
      <alignment horizontal="right" vertical="center" wrapText="1"/>
      <protection/>
    </xf>
    <xf numFmtId="3" fontId="28" fillId="4" borderId="11" xfId="0" applyNumberFormat="1" applyFont="1" applyFill="1" applyBorder="1" applyAlignment="1">
      <alignment horizontal="right" vertical="center"/>
    </xf>
    <xf numFmtId="38" fontId="28" fillId="0" borderId="11" xfId="0" applyNumberFormat="1" applyFont="1" applyFill="1" applyBorder="1" applyAlignment="1">
      <alignment horizontal="right" vertical="center"/>
    </xf>
    <xf numFmtId="38" fontId="34" fillId="0" borderId="0" xfId="0" applyNumberFormat="1" applyFont="1" applyFill="1" applyAlignment="1">
      <alignment vertical="center"/>
    </xf>
    <xf numFmtId="3" fontId="27" fillId="0" borderId="0" xfId="61" applyNumberFormat="1" applyFont="1" applyFill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4" fillId="25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8" fontId="28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38" fontId="26" fillId="0" borderId="11" xfId="0" applyNumberFormat="1" applyFont="1" applyFill="1" applyBorder="1" applyAlignment="1">
      <alignment horizontal="center" vertical="center" wrapText="1"/>
    </xf>
    <xf numFmtId="191" fontId="26" fillId="0" borderId="11" xfId="44" applyNumberFormat="1" applyFont="1" applyFill="1" applyBorder="1" applyAlignment="1">
      <alignment vertical="center" wrapText="1"/>
    </xf>
    <xf numFmtId="38" fontId="26" fillId="0" borderId="11" xfId="44" applyNumberFormat="1" applyFont="1" applyFill="1" applyBorder="1" applyAlignment="1">
      <alignment vertical="center" wrapText="1"/>
    </xf>
    <xf numFmtId="38" fontId="26" fillId="0" borderId="11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horizontal="right" vertical="center" wrapText="1"/>
    </xf>
    <xf numFmtId="38" fontId="26" fillId="0" borderId="15" xfId="0" applyNumberFormat="1" applyFont="1" applyFill="1" applyBorder="1" applyAlignment="1">
      <alignment horizontal="right" vertical="center" wrapText="1"/>
    </xf>
    <xf numFmtId="38" fontId="26" fillId="0" borderId="11" xfId="0" applyNumberFormat="1" applyFont="1" applyFill="1" applyBorder="1" applyAlignment="1">
      <alignment vertical="center" wrapText="1"/>
    </xf>
    <xf numFmtId="1" fontId="23" fillId="0" borderId="0" xfId="0" applyNumberFormat="1" applyFont="1" applyFill="1" applyAlignment="1">
      <alignment vertical="center"/>
    </xf>
    <xf numFmtId="3" fontId="28" fillId="0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38" fontId="28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38" fontId="40" fillId="0" borderId="0" xfId="0" applyNumberFormat="1" applyFont="1" applyAlignment="1">
      <alignment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 wrapText="1"/>
    </xf>
    <xf numFmtId="0" fontId="27" fillId="24" borderId="16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24" borderId="15" xfId="0" applyFont="1" applyFill="1" applyBorder="1" applyAlignment="1">
      <alignment vertical="center" wrapText="1"/>
    </xf>
    <xf numFmtId="0" fontId="27" fillId="24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38" fontId="24" fillId="0" borderId="20" xfId="0" applyNumberFormat="1" applyFont="1" applyFill="1" applyBorder="1" applyAlignment="1">
      <alignment horizontal="right" vertical="center"/>
    </xf>
    <xf numFmtId="38" fontId="24" fillId="0" borderId="24" xfId="0" applyNumberFormat="1" applyFont="1" applyFill="1" applyBorder="1" applyAlignment="1">
      <alignment horizontal="right" vertical="center"/>
    </xf>
    <xf numFmtId="38" fontId="24" fillId="0" borderId="15" xfId="0" applyNumberFormat="1" applyFont="1" applyFill="1" applyBorder="1" applyAlignment="1">
      <alignment horizontal="right" vertical="center"/>
    </xf>
    <xf numFmtId="3" fontId="24" fillId="0" borderId="14" xfId="0" applyNumberFormat="1" applyFont="1" applyFill="1" applyBorder="1" applyAlignment="1">
      <alignment horizontal="right" vertical="center" wrapText="1"/>
    </xf>
    <xf numFmtId="3" fontId="24" fillId="0" borderId="15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38" fontId="24" fillId="24" borderId="14" xfId="0" applyNumberFormat="1" applyFont="1" applyFill="1" applyBorder="1" applyAlignment="1">
      <alignment horizontal="center" vertical="center" wrapText="1"/>
    </xf>
    <xf numFmtId="38" fontId="24" fillId="24" borderId="20" xfId="0" applyNumberFormat="1" applyFont="1" applyFill="1" applyBorder="1" applyAlignment="1">
      <alignment horizontal="center" vertical="center" wrapText="1"/>
    </xf>
    <xf numFmtId="38" fontId="24" fillId="24" borderId="15" xfId="0" applyNumberFormat="1" applyFont="1" applyFill="1" applyBorder="1" applyAlignment="1">
      <alignment horizontal="center" vertical="center" wrapText="1"/>
    </xf>
    <xf numFmtId="38" fontId="24" fillId="0" borderId="11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4" fillId="24" borderId="16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7" fillId="24" borderId="16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left" vertical="center" wrapText="1"/>
    </xf>
    <xf numFmtId="3" fontId="27" fillId="24" borderId="15" xfId="0" applyNumberFormat="1" applyFont="1" applyFill="1" applyBorder="1" applyAlignment="1">
      <alignment vertical="center" wrapText="1"/>
    </xf>
    <xf numFmtId="3" fontId="27" fillId="24" borderId="11" xfId="0" applyNumberFormat="1" applyFont="1" applyFill="1" applyBorder="1" applyAlignment="1">
      <alignment vertical="center" wrapText="1"/>
    </xf>
    <xf numFmtId="3" fontId="27" fillId="24" borderId="16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wrapText="1"/>
    </xf>
    <xf numFmtId="3" fontId="27" fillId="24" borderId="24" xfId="0" applyNumberFormat="1" applyFont="1" applyFill="1" applyBorder="1" applyAlignment="1">
      <alignment horizontal="right" vertical="center" wrapText="1"/>
    </xf>
    <xf numFmtId="3" fontId="27" fillId="24" borderId="20" xfId="0" applyNumberFormat="1" applyFont="1" applyFill="1" applyBorder="1" applyAlignment="1">
      <alignment horizontal="right" vertical="center" wrapText="1"/>
    </xf>
    <xf numFmtId="3" fontId="24" fillId="0" borderId="24" xfId="0" applyNumberFormat="1" applyFont="1" applyFill="1" applyBorder="1" applyAlignment="1">
      <alignment horizontal="right" vertical="center"/>
    </xf>
    <xf numFmtId="3" fontId="24" fillId="0" borderId="15" xfId="0" applyNumberFormat="1" applyFont="1" applyFill="1" applyBorder="1" applyAlignment="1">
      <alignment horizontal="right" vertical="center"/>
    </xf>
    <xf numFmtId="3" fontId="27" fillId="24" borderId="11" xfId="0" applyNumberFormat="1" applyFont="1" applyFill="1" applyBorder="1" applyAlignment="1">
      <alignment horizontal="right" vertical="center" wrapText="1"/>
    </xf>
    <xf numFmtId="3" fontId="27" fillId="24" borderId="16" xfId="0" applyNumberFormat="1" applyFont="1" applyFill="1" applyBorder="1" applyAlignment="1">
      <alignment horizontal="right" vertical="center" wrapText="1"/>
    </xf>
    <xf numFmtId="3" fontId="27" fillId="24" borderId="15" xfId="0" applyNumberFormat="1" applyFont="1" applyFill="1" applyBorder="1" applyAlignment="1">
      <alignment horizontal="right" vertical="center" wrapText="1"/>
    </xf>
    <xf numFmtId="38" fontId="24" fillId="2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0" fontId="27" fillId="24" borderId="16" xfId="0" applyFont="1" applyFill="1" applyBorder="1" applyAlignment="1">
      <alignment vertical="center" wrapText="1"/>
    </xf>
    <xf numFmtId="38" fontId="24" fillId="0" borderId="11" xfId="0" applyNumberFormat="1" applyFont="1" applyFill="1" applyBorder="1" applyAlignment="1">
      <alignment horizontal="right" vertical="center"/>
    </xf>
    <xf numFmtId="38" fontId="24" fillId="0" borderId="14" xfId="0" applyNumberFormat="1" applyFont="1" applyFill="1" applyBorder="1" applyAlignment="1">
      <alignment horizontal="right" vertical="center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vertical="center" wrapText="1"/>
    </xf>
    <xf numFmtId="3" fontId="27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right" vertical="center"/>
    </xf>
    <xf numFmtId="3" fontId="24" fillId="0" borderId="20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center" wrapText="1"/>
    </xf>
    <xf numFmtId="3" fontId="27" fillId="24" borderId="22" xfId="0" applyNumberFormat="1" applyFont="1" applyFill="1" applyBorder="1" applyAlignment="1">
      <alignment horizontal="right" vertical="center" wrapText="1"/>
    </xf>
    <xf numFmtId="3" fontId="27" fillId="24" borderId="14" xfId="0" applyNumberFormat="1" applyFont="1" applyFill="1" applyBorder="1" applyAlignment="1">
      <alignment horizontal="right" vertical="center" wrapText="1"/>
    </xf>
    <xf numFmtId="3" fontId="27" fillId="0" borderId="11" xfId="61" applyNumberFormat="1" applyFont="1" applyFill="1" applyBorder="1" applyAlignment="1">
      <alignment horizontal="left" vertical="center" wrapText="1"/>
    </xf>
    <xf numFmtId="3" fontId="27" fillId="24" borderId="11" xfId="0" applyNumberFormat="1" applyFont="1" applyFill="1" applyBorder="1" applyAlignment="1">
      <alignment vertical="center" wrapText="1"/>
    </xf>
    <xf numFmtId="3" fontId="27" fillId="24" borderId="16" xfId="0" applyNumberFormat="1" applyFont="1" applyFill="1" applyBorder="1" applyAlignment="1">
      <alignment vertical="center" wrapText="1"/>
    </xf>
    <xf numFmtId="3" fontId="24" fillId="24" borderId="15" xfId="0" applyNumberFormat="1" applyFont="1" applyFill="1" applyBorder="1" applyAlignment="1">
      <alignment vertical="center" wrapText="1"/>
    </xf>
    <xf numFmtId="3" fontId="24" fillId="24" borderId="11" xfId="0" applyNumberFormat="1" applyFont="1" applyFill="1" applyBorder="1" applyAlignment="1">
      <alignment vertical="center" wrapText="1"/>
    </xf>
    <xf numFmtId="3" fontId="24" fillId="24" borderId="16" xfId="0" applyNumberFormat="1" applyFont="1" applyFill="1" applyBorder="1" applyAlignment="1">
      <alignment vertical="center" wrapText="1"/>
    </xf>
    <xf numFmtId="3" fontId="27" fillId="24" borderId="15" xfId="0" applyNumberFormat="1" applyFont="1" applyFill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right" vertical="center"/>
    </xf>
    <xf numFmtId="3" fontId="28" fillId="0" borderId="15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astja_pielikumi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ielik_nastj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nesa_atskaites\Menesa_atskaites_2009\pamatbudzets\pb_juni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Ā"/>
      <sheetName val="01.110"/>
      <sheetName val="01.320"/>
      <sheetName val="01.330"/>
      <sheetName val="03.110"/>
      <sheetName val="03.200"/>
      <sheetName val="04.220"/>
      <sheetName val="04.510"/>
      <sheetName val="04.520"/>
      <sheetName val="04.730"/>
      <sheetName val="04.920"/>
      <sheetName val="05.100"/>
      <sheetName val="05.200"/>
      <sheetName val="05.300"/>
      <sheetName val="05.400"/>
      <sheetName val="05.600"/>
      <sheetName val="06.100"/>
      <sheetName val="06.200"/>
      <sheetName val="06.300"/>
      <sheetName val="06.600"/>
      <sheetName val="08.110"/>
      <sheetName val="08.120"/>
      <sheetName val="08.210"/>
      <sheetName val="08.220"/>
      <sheetName val="08.230"/>
      <sheetName val="08.240"/>
      <sheetName val="08.290"/>
      <sheetName val="08.300"/>
      <sheetName val="08.620"/>
      <sheetName val="09.100"/>
      <sheetName val="09.210"/>
      <sheetName val="09.510"/>
      <sheetName val="10.120"/>
      <sheetName val="10.200"/>
      <sheetName val="10.600"/>
      <sheetName val="10.700"/>
    </sheetNames>
    <sheetDataSet>
      <sheetData sheetId="21">
        <row r="21">
          <cell r="E21">
            <v>273537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4/DocLogix/Common/Form.aspx?ID=221086&amp;VersionID=80659&amp;Referrer=0d61050c-8428-40d1-959b-9e686957795b" TargetMode="External" /><Relationship Id="rId2" Type="http://schemas.openxmlformats.org/officeDocument/2006/relationships/hyperlink" Target="http://serv4/DocLogix/Common/Form.aspx?ID=170202&amp;VersionID=62498&amp;Referrer=57d0d1e8-0da6-4cd0-8f02-c43607d201f1" TargetMode="External" /><Relationship Id="rId3" Type="http://schemas.openxmlformats.org/officeDocument/2006/relationships/hyperlink" Target="_ligumi\245.pdf" TargetMode="External" /><Relationship Id="rId4" Type="http://schemas.openxmlformats.org/officeDocument/2006/relationships/hyperlink" Target="_ligumi\248.pdf" TargetMode="External" /><Relationship Id="rId5" Type="http://schemas.openxmlformats.org/officeDocument/2006/relationships/hyperlink" Target="_ligumi\266.pdf" TargetMode="External" /><Relationship Id="rId6" Type="http://schemas.openxmlformats.org/officeDocument/2006/relationships/hyperlink" Target="_ligumi\294.pdf" TargetMode="External" /><Relationship Id="rId7" Type="http://schemas.openxmlformats.org/officeDocument/2006/relationships/hyperlink" Target="http://serv4/DocLogix/Common/Form.aspx?ID=164774&amp;VersionID=60300&amp;Referrer=859d2347-ccb4-4311-9eda-070e8cc41055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29"/>
  <sheetViews>
    <sheetView tabSelected="1" workbookViewId="0" topLeftCell="B1">
      <selection activeCell="C277" sqref="C277"/>
    </sheetView>
  </sheetViews>
  <sheetFormatPr defaultColWidth="9.140625" defaultRowHeight="12.75" zeroHeight="1"/>
  <cols>
    <col min="1" max="1" width="0" style="39" hidden="1" customWidth="1"/>
    <col min="2" max="2" width="5.00390625" style="35" customWidth="1"/>
    <col min="3" max="3" width="29.421875" style="35" customWidth="1"/>
    <col min="4" max="4" width="6.57421875" style="35" bestFit="1" customWidth="1"/>
    <col min="5" max="5" width="4.8515625" style="34" bestFit="1" customWidth="1"/>
    <col min="6" max="6" width="7.7109375" style="35" bestFit="1" customWidth="1"/>
    <col min="7" max="7" width="3.57421875" style="35" hidden="1" customWidth="1"/>
    <col min="8" max="8" width="4.8515625" style="34" hidden="1" customWidth="1"/>
    <col min="9" max="10" width="5.7109375" style="34" hidden="1" customWidth="1"/>
    <col min="11" max="11" width="6.140625" style="4" hidden="1" customWidth="1"/>
    <col min="12" max="12" width="5.7109375" style="35" hidden="1" customWidth="1"/>
    <col min="13" max="13" width="6.140625" style="35" hidden="1" customWidth="1"/>
    <col min="14" max="14" width="4.7109375" style="35" hidden="1" customWidth="1"/>
    <col min="15" max="18" width="3.28125" style="35" hidden="1" customWidth="1"/>
    <col min="19" max="19" width="7.28125" style="35" customWidth="1"/>
    <col min="20" max="24" width="9.140625" style="35" hidden="1" customWidth="1"/>
    <col min="25" max="25" width="6.57421875" style="38" customWidth="1"/>
    <col min="26" max="26" width="6.140625" style="38" customWidth="1"/>
    <col min="27" max="27" width="9.140625" style="38" hidden="1" customWidth="1"/>
    <col min="28" max="28" width="7.140625" style="38" customWidth="1"/>
    <col min="29" max="29" width="9.140625" style="35" hidden="1" customWidth="1"/>
    <col min="30" max="30" width="12.57421875" style="38" customWidth="1"/>
    <col min="31" max="32" width="9.140625" style="39" customWidth="1"/>
    <col min="33" max="33" width="18.7109375" style="39" customWidth="1"/>
    <col min="34" max="34" width="11.8515625" style="39" bestFit="1" customWidth="1"/>
    <col min="35" max="16384" width="9.140625" style="39" customWidth="1"/>
  </cols>
  <sheetData>
    <row r="1" spans="2:251" s="11" customFormat="1" ht="15.75">
      <c r="B1" s="1"/>
      <c r="C1" s="1"/>
      <c r="D1" s="1"/>
      <c r="E1" s="2"/>
      <c r="F1" s="1"/>
      <c r="G1" s="1"/>
      <c r="H1" s="2"/>
      <c r="I1" s="2"/>
      <c r="J1" s="3"/>
      <c r="K1" s="4"/>
      <c r="L1" s="1"/>
      <c r="M1" s="5"/>
      <c r="N1" s="1"/>
      <c r="O1" s="1"/>
      <c r="P1" s="1"/>
      <c r="Q1" s="5"/>
      <c r="R1" s="1"/>
      <c r="S1" s="1"/>
      <c r="T1" s="5"/>
      <c r="U1" s="5"/>
      <c r="V1" s="5"/>
      <c r="W1" s="5"/>
      <c r="X1" s="5"/>
      <c r="Y1" s="6"/>
      <c r="Z1" s="7"/>
      <c r="AA1" s="6"/>
      <c r="AB1" s="7"/>
      <c r="AC1" s="1"/>
      <c r="AD1" s="322" t="s">
        <v>260</v>
      </c>
      <c r="AE1" s="8"/>
      <c r="AF1" s="9" t="s">
        <v>0</v>
      </c>
      <c r="AG1" s="9"/>
      <c r="AH1" s="9"/>
      <c r="AI1" s="9"/>
      <c r="AJ1" s="9"/>
      <c r="AK1" s="9"/>
      <c r="AL1" s="9"/>
      <c r="AM1" s="9"/>
      <c r="AN1" s="9"/>
      <c r="AO1" s="9"/>
      <c r="AP1" s="8"/>
      <c r="AQ1" s="8"/>
      <c r="AR1" s="8"/>
      <c r="AS1" s="10"/>
      <c r="AT1" s="8"/>
      <c r="AU1" s="8"/>
      <c r="AV1" s="8"/>
      <c r="AW1" s="8"/>
      <c r="AX1" s="8"/>
      <c r="AY1" s="8"/>
      <c r="AZ1" s="8"/>
      <c r="BA1" s="10"/>
      <c r="BB1" s="8"/>
      <c r="BC1" s="8"/>
      <c r="BD1" s="8"/>
      <c r="BE1" s="8"/>
      <c r="BF1" s="8"/>
      <c r="BG1" s="8"/>
      <c r="BH1" s="8"/>
      <c r="BI1" s="10"/>
      <c r="BJ1" s="8"/>
      <c r="BK1" s="8"/>
      <c r="BL1" s="8"/>
      <c r="BM1" s="8"/>
      <c r="BN1" s="8"/>
      <c r="BO1" s="8"/>
      <c r="BP1" s="8"/>
      <c r="BQ1" s="10"/>
      <c r="BR1" s="8"/>
      <c r="BS1" s="8"/>
      <c r="BT1" s="8"/>
      <c r="BU1" s="8"/>
      <c r="BV1" s="8"/>
      <c r="BW1" s="8"/>
      <c r="BX1" s="8"/>
      <c r="BY1" s="10"/>
      <c r="BZ1" s="8"/>
      <c r="CA1" s="8"/>
      <c r="CB1" s="8"/>
      <c r="CC1" s="8"/>
      <c r="CD1" s="8"/>
      <c r="CE1" s="8"/>
      <c r="CF1" s="8"/>
      <c r="CG1" s="10"/>
      <c r="CH1" s="8"/>
      <c r="CI1" s="8"/>
      <c r="CJ1" s="8"/>
      <c r="CK1" s="8"/>
      <c r="CL1" s="8"/>
      <c r="CM1" s="8"/>
      <c r="CN1" s="8"/>
      <c r="CO1" s="10"/>
      <c r="CP1" s="8"/>
      <c r="CQ1" s="8"/>
      <c r="CR1" s="8"/>
      <c r="CS1" s="8"/>
      <c r="CT1" s="8"/>
      <c r="CU1" s="8"/>
      <c r="CV1" s="8"/>
      <c r="CW1" s="10"/>
      <c r="CX1" s="8"/>
      <c r="CY1" s="8"/>
      <c r="CZ1" s="8"/>
      <c r="DA1" s="8"/>
      <c r="DB1" s="8"/>
      <c r="DC1" s="8"/>
      <c r="DD1" s="8"/>
      <c r="DE1" s="10"/>
      <c r="DF1" s="8"/>
      <c r="DG1" s="8"/>
      <c r="DH1" s="8"/>
      <c r="DI1" s="8"/>
      <c r="DJ1" s="8"/>
      <c r="DK1" s="8"/>
      <c r="DL1" s="8"/>
      <c r="DM1" s="10"/>
      <c r="DN1" s="8"/>
      <c r="DO1" s="8"/>
      <c r="DP1" s="8"/>
      <c r="DQ1" s="8"/>
      <c r="DR1" s="8"/>
      <c r="DS1" s="8"/>
      <c r="DT1" s="8"/>
      <c r="DU1" s="10"/>
      <c r="DV1" s="8"/>
      <c r="DW1" s="8"/>
      <c r="DX1" s="8"/>
      <c r="DY1" s="8"/>
      <c r="DZ1" s="8"/>
      <c r="EA1" s="8"/>
      <c r="EB1" s="8"/>
      <c r="EC1" s="10"/>
      <c r="ED1" s="8"/>
      <c r="EE1" s="8"/>
      <c r="EF1" s="8"/>
      <c r="EG1" s="8"/>
      <c r="EH1" s="8"/>
      <c r="EI1" s="8"/>
      <c r="EJ1" s="8"/>
      <c r="EK1" s="10"/>
      <c r="EL1" s="8"/>
      <c r="EM1" s="8"/>
      <c r="EN1" s="8"/>
      <c r="EO1" s="8"/>
      <c r="EP1" s="8"/>
      <c r="EQ1" s="8"/>
      <c r="ER1" s="8"/>
      <c r="ES1" s="10"/>
      <c r="ET1" s="8"/>
      <c r="EU1" s="8"/>
      <c r="EV1" s="8"/>
      <c r="EW1" s="8"/>
      <c r="EX1" s="8"/>
      <c r="EY1" s="8"/>
      <c r="EZ1" s="8"/>
      <c r="FA1" s="10"/>
      <c r="FB1" s="8"/>
      <c r="FC1" s="8"/>
      <c r="FD1" s="8"/>
      <c r="FE1" s="8"/>
      <c r="FF1" s="8"/>
      <c r="FG1" s="8"/>
      <c r="FH1" s="8"/>
      <c r="FI1" s="10"/>
      <c r="FJ1" s="8"/>
      <c r="FK1" s="8"/>
      <c r="FL1" s="8"/>
      <c r="FM1" s="8"/>
      <c r="FN1" s="8"/>
      <c r="FO1" s="8"/>
      <c r="FP1" s="8"/>
      <c r="FQ1" s="10"/>
      <c r="FR1" s="8"/>
      <c r="FS1" s="8"/>
      <c r="FT1" s="8"/>
      <c r="FU1" s="8"/>
      <c r="FV1" s="8"/>
      <c r="FW1" s="8"/>
      <c r="FX1" s="8"/>
      <c r="FY1" s="10"/>
      <c r="FZ1" s="8"/>
      <c r="GA1" s="8"/>
      <c r="GB1" s="8"/>
      <c r="GC1" s="8"/>
      <c r="GD1" s="8"/>
      <c r="GE1" s="8"/>
      <c r="GF1" s="8"/>
      <c r="GG1" s="10"/>
      <c r="GH1" s="8"/>
      <c r="GI1" s="8"/>
      <c r="GJ1" s="8"/>
      <c r="GK1" s="8"/>
      <c r="GL1" s="8"/>
      <c r="GM1" s="8"/>
      <c r="GN1" s="8"/>
      <c r="GO1" s="10"/>
      <c r="GP1" s="8"/>
      <c r="GQ1" s="8"/>
      <c r="GR1" s="8"/>
      <c r="GS1" s="8"/>
      <c r="GT1" s="8"/>
      <c r="GU1" s="8"/>
      <c r="GV1" s="8"/>
      <c r="GW1" s="10"/>
      <c r="GX1" s="8"/>
      <c r="GY1" s="8"/>
      <c r="GZ1" s="8"/>
      <c r="HA1" s="8"/>
      <c r="HB1" s="8"/>
      <c r="HC1" s="8"/>
      <c r="HD1" s="8"/>
      <c r="HE1" s="10"/>
      <c r="HF1" s="8"/>
      <c r="HG1" s="8"/>
      <c r="HH1" s="8"/>
      <c r="HI1" s="8"/>
      <c r="HJ1" s="8"/>
      <c r="HK1" s="8"/>
      <c r="HL1" s="8"/>
      <c r="HM1" s="10"/>
      <c r="HN1" s="8"/>
      <c r="HO1" s="8"/>
      <c r="HP1" s="8"/>
      <c r="HQ1" s="8"/>
      <c r="HR1" s="8"/>
      <c r="HS1" s="8"/>
      <c r="HT1" s="8"/>
      <c r="HU1" s="10"/>
      <c r="HV1" s="8"/>
      <c r="HW1" s="8"/>
      <c r="HX1" s="8"/>
      <c r="HY1" s="8"/>
      <c r="HZ1" s="8"/>
      <c r="IA1" s="8"/>
      <c r="IB1" s="8"/>
      <c r="IC1" s="10"/>
      <c r="ID1" s="8"/>
      <c r="IE1" s="8"/>
      <c r="IF1" s="8"/>
      <c r="IG1" s="8"/>
      <c r="IH1" s="8"/>
      <c r="II1" s="8"/>
      <c r="IJ1" s="8"/>
      <c r="IK1" s="10"/>
      <c r="IL1" s="8"/>
      <c r="IM1" s="8"/>
      <c r="IN1" s="8"/>
      <c r="IO1" s="8"/>
      <c r="IP1" s="8"/>
      <c r="IQ1" s="8"/>
    </row>
    <row r="2" spans="2:251" s="11" customFormat="1" ht="24">
      <c r="B2" s="1" t="s">
        <v>1</v>
      </c>
      <c r="C2" s="1"/>
      <c r="D2" s="1"/>
      <c r="E2" s="2"/>
      <c r="F2" s="1"/>
      <c r="G2" s="1"/>
      <c r="H2" s="2"/>
      <c r="I2" s="2"/>
      <c r="J2" s="3"/>
      <c r="K2" s="4"/>
      <c r="L2" s="1"/>
      <c r="M2" s="5"/>
      <c r="N2" s="1"/>
      <c r="O2" s="1"/>
      <c r="P2" s="1"/>
      <c r="Q2" s="5"/>
      <c r="R2" s="1"/>
      <c r="S2" s="1"/>
      <c r="T2" s="5"/>
      <c r="U2" s="5"/>
      <c r="V2" s="5"/>
      <c r="W2" s="5"/>
      <c r="X2" s="5"/>
      <c r="Y2" s="6"/>
      <c r="Z2" s="7"/>
      <c r="AA2" s="6"/>
      <c r="AB2" s="7"/>
      <c r="AC2" s="1"/>
      <c r="AD2" s="7"/>
      <c r="AE2" s="10"/>
      <c r="AF2" s="12" t="s">
        <v>2</v>
      </c>
      <c r="AG2" s="12" t="s">
        <v>3</v>
      </c>
      <c r="AH2" s="13" t="s">
        <v>4</v>
      </c>
      <c r="AI2" s="14" t="s">
        <v>5</v>
      </c>
      <c r="AJ2" s="15" t="s">
        <v>6</v>
      </c>
      <c r="AK2" s="15" t="s">
        <v>7</v>
      </c>
      <c r="AL2" s="15" t="s">
        <v>8</v>
      </c>
      <c r="AM2" s="16" t="s">
        <v>9</v>
      </c>
      <c r="AN2" s="16"/>
      <c r="AO2" s="16"/>
      <c r="AP2" s="10"/>
      <c r="AQ2" s="10"/>
      <c r="AR2" s="10"/>
      <c r="AS2" s="10"/>
      <c r="AT2" s="8"/>
      <c r="AU2" s="10"/>
      <c r="AV2" s="10"/>
      <c r="AW2" s="10"/>
      <c r="AX2" s="10"/>
      <c r="AY2" s="10"/>
      <c r="AZ2" s="10"/>
      <c r="BA2" s="10"/>
      <c r="BB2" s="8"/>
      <c r="BC2" s="10"/>
      <c r="BD2" s="10"/>
      <c r="BE2" s="10"/>
      <c r="BF2" s="10"/>
      <c r="BG2" s="10"/>
      <c r="BH2" s="10"/>
      <c r="BI2" s="10"/>
      <c r="BJ2" s="8"/>
      <c r="BK2" s="10"/>
      <c r="BL2" s="10"/>
      <c r="BM2" s="10"/>
      <c r="BN2" s="10"/>
      <c r="BO2" s="10"/>
      <c r="BP2" s="10"/>
      <c r="BQ2" s="10"/>
      <c r="BR2" s="8"/>
      <c r="BS2" s="10"/>
      <c r="BT2" s="10"/>
      <c r="BU2" s="10"/>
      <c r="BV2" s="10"/>
      <c r="BW2" s="10"/>
      <c r="BX2" s="10"/>
      <c r="BY2" s="10"/>
      <c r="BZ2" s="8"/>
      <c r="CA2" s="10"/>
      <c r="CB2" s="10"/>
      <c r="CC2" s="10"/>
      <c r="CD2" s="10"/>
      <c r="CE2" s="10"/>
      <c r="CF2" s="10"/>
      <c r="CG2" s="10"/>
      <c r="CH2" s="8"/>
      <c r="CI2" s="10"/>
      <c r="CJ2" s="10"/>
      <c r="CK2" s="10"/>
      <c r="CL2" s="10"/>
      <c r="CM2" s="10"/>
      <c r="CN2" s="10"/>
      <c r="CO2" s="10"/>
      <c r="CP2" s="8"/>
      <c r="CQ2" s="10"/>
      <c r="CR2" s="10"/>
      <c r="CS2" s="10"/>
      <c r="CT2" s="10"/>
      <c r="CU2" s="10"/>
      <c r="CV2" s="10"/>
      <c r="CW2" s="10"/>
      <c r="CX2" s="8"/>
      <c r="CY2" s="10"/>
      <c r="CZ2" s="10"/>
      <c r="DA2" s="10"/>
      <c r="DB2" s="10"/>
      <c r="DC2" s="10"/>
      <c r="DD2" s="10"/>
      <c r="DE2" s="10"/>
      <c r="DF2" s="8"/>
      <c r="DG2" s="10"/>
      <c r="DH2" s="10"/>
      <c r="DI2" s="10"/>
      <c r="DJ2" s="10"/>
      <c r="DK2" s="10"/>
      <c r="DL2" s="10"/>
      <c r="DM2" s="10"/>
      <c r="DN2" s="8"/>
      <c r="DO2" s="10"/>
      <c r="DP2" s="10"/>
      <c r="DQ2" s="10"/>
      <c r="DR2" s="10"/>
      <c r="DS2" s="10"/>
      <c r="DT2" s="10"/>
      <c r="DU2" s="10"/>
      <c r="DV2" s="8"/>
      <c r="DW2" s="10"/>
      <c r="DX2" s="10"/>
      <c r="DY2" s="10"/>
      <c r="DZ2" s="10"/>
      <c r="EA2" s="10"/>
      <c r="EB2" s="10"/>
      <c r="EC2" s="10"/>
      <c r="ED2" s="8"/>
      <c r="EE2" s="10"/>
      <c r="EF2" s="10"/>
      <c r="EG2" s="10"/>
      <c r="EH2" s="10"/>
      <c r="EI2" s="10"/>
      <c r="EJ2" s="10"/>
      <c r="EK2" s="10"/>
      <c r="EL2" s="8"/>
      <c r="EM2" s="10"/>
      <c r="EN2" s="10"/>
      <c r="EO2" s="10"/>
      <c r="EP2" s="10"/>
      <c r="EQ2" s="10"/>
      <c r="ER2" s="10"/>
      <c r="ES2" s="10"/>
      <c r="ET2" s="8"/>
      <c r="EU2" s="10"/>
      <c r="EV2" s="10"/>
      <c r="EW2" s="10"/>
      <c r="EX2" s="10"/>
      <c r="EY2" s="10"/>
      <c r="EZ2" s="10"/>
      <c r="FA2" s="10"/>
      <c r="FB2" s="8"/>
      <c r="FC2" s="10"/>
      <c r="FD2" s="10"/>
      <c r="FE2" s="10"/>
      <c r="FF2" s="10"/>
      <c r="FG2" s="10"/>
      <c r="FH2" s="10"/>
      <c r="FI2" s="10"/>
      <c r="FJ2" s="8"/>
      <c r="FK2" s="10"/>
      <c r="FL2" s="10"/>
      <c r="FM2" s="10"/>
      <c r="FN2" s="10"/>
      <c r="FO2" s="10"/>
      <c r="FP2" s="10"/>
      <c r="FQ2" s="10"/>
      <c r="FR2" s="8"/>
      <c r="FS2" s="10"/>
      <c r="FT2" s="10"/>
      <c r="FU2" s="10"/>
      <c r="FV2" s="10"/>
      <c r="FW2" s="10"/>
      <c r="FX2" s="10"/>
      <c r="FY2" s="10"/>
      <c r="FZ2" s="8"/>
      <c r="GA2" s="10"/>
      <c r="GB2" s="10"/>
      <c r="GC2" s="10"/>
      <c r="GD2" s="10"/>
      <c r="GE2" s="10"/>
      <c r="GF2" s="10"/>
      <c r="GG2" s="10"/>
      <c r="GH2" s="8"/>
      <c r="GI2" s="10"/>
      <c r="GJ2" s="10"/>
      <c r="GK2" s="10"/>
      <c r="GL2" s="10"/>
      <c r="GM2" s="10"/>
      <c r="GN2" s="10"/>
      <c r="GO2" s="10"/>
      <c r="GP2" s="8"/>
      <c r="GQ2" s="10"/>
      <c r="GR2" s="10"/>
      <c r="GS2" s="10"/>
      <c r="GT2" s="10"/>
      <c r="GU2" s="10"/>
      <c r="GV2" s="10"/>
      <c r="GW2" s="10"/>
      <c r="GX2" s="8"/>
      <c r="GY2" s="10"/>
      <c r="GZ2" s="10"/>
      <c r="HA2" s="10"/>
      <c r="HB2" s="10"/>
      <c r="HC2" s="10"/>
      <c r="HD2" s="10"/>
      <c r="HE2" s="10"/>
      <c r="HF2" s="8"/>
      <c r="HG2" s="10"/>
      <c r="HH2" s="10"/>
      <c r="HI2" s="10"/>
      <c r="HJ2" s="10"/>
      <c r="HK2" s="10"/>
      <c r="HL2" s="10"/>
      <c r="HM2" s="10"/>
      <c r="HN2" s="8"/>
      <c r="HO2" s="10"/>
      <c r="HP2" s="10"/>
      <c r="HQ2" s="10"/>
      <c r="HR2" s="10"/>
      <c r="HS2" s="10"/>
      <c r="HT2" s="10"/>
      <c r="HU2" s="10"/>
      <c r="HV2" s="8"/>
      <c r="HW2" s="10"/>
      <c r="HX2" s="10"/>
      <c r="HY2" s="10"/>
      <c r="HZ2" s="10"/>
      <c r="IA2" s="10"/>
      <c r="IB2" s="10"/>
      <c r="IC2" s="10"/>
      <c r="ID2" s="8"/>
      <c r="IE2" s="10"/>
      <c r="IF2" s="10"/>
      <c r="IG2" s="10"/>
      <c r="IH2" s="10"/>
      <c r="II2" s="10"/>
      <c r="IJ2" s="10"/>
      <c r="IK2" s="10"/>
      <c r="IL2" s="8"/>
      <c r="IM2" s="10"/>
      <c r="IN2" s="10"/>
      <c r="IO2" s="10"/>
      <c r="IP2" s="10"/>
      <c r="IQ2" s="10"/>
    </row>
    <row r="3" spans="2:251" s="11" customFormat="1" ht="24">
      <c r="B3" s="17" t="s">
        <v>10</v>
      </c>
      <c r="C3" s="1"/>
      <c r="D3" s="17"/>
      <c r="E3" s="2"/>
      <c r="F3" s="1"/>
      <c r="G3" s="1"/>
      <c r="H3" s="2"/>
      <c r="I3" s="2"/>
      <c r="J3" s="3"/>
      <c r="K3" s="4"/>
      <c r="L3" s="1"/>
      <c r="M3" s="5"/>
      <c r="N3" s="1"/>
      <c r="O3" s="17"/>
      <c r="P3" s="1"/>
      <c r="Q3" s="5"/>
      <c r="R3" s="1"/>
      <c r="S3" s="1"/>
      <c r="T3" s="5"/>
      <c r="U3" s="5"/>
      <c r="V3" s="5"/>
      <c r="W3" s="5"/>
      <c r="X3" s="5"/>
      <c r="Y3" s="6"/>
      <c r="Z3" s="7"/>
      <c r="AA3" s="6"/>
      <c r="AB3" s="7"/>
      <c r="AC3" s="17"/>
      <c r="AD3" s="7"/>
      <c r="AE3" s="8"/>
      <c r="AF3" s="18"/>
      <c r="AG3" s="18" t="s">
        <v>11</v>
      </c>
      <c r="AH3" s="19" t="s">
        <v>12</v>
      </c>
      <c r="AI3" s="20" t="s">
        <v>13</v>
      </c>
      <c r="AJ3" s="21"/>
      <c r="AK3" s="21">
        <f>50+150</f>
        <v>200</v>
      </c>
      <c r="AL3" s="21">
        <f>AJ3-AK3</f>
        <v>-200</v>
      </c>
      <c r="AM3" s="22"/>
      <c r="AN3" s="22"/>
      <c r="AO3" s="22"/>
      <c r="AP3" s="8"/>
      <c r="AQ3" s="8"/>
      <c r="AR3" s="8"/>
      <c r="AS3" s="8"/>
      <c r="AT3" s="23"/>
      <c r="AU3" s="8"/>
      <c r="AV3" s="8"/>
      <c r="AW3" s="8"/>
      <c r="AX3" s="8"/>
      <c r="AY3" s="8"/>
      <c r="AZ3" s="8"/>
      <c r="BA3" s="8"/>
      <c r="BB3" s="23"/>
      <c r="BC3" s="8"/>
      <c r="BD3" s="8"/>
      <c r="BE3" s="8"/>
      <c r="BF3" s="8"/>
      <c r="BG3" s="8"/>
      <c r="BH3" s="8"/>
      <c r="BI3" s="8"/>
      <c r="BJ3" s="23"/>
      <c r="BK3" s="8"/>
      <c r="BL3" s="8"/>
      <c r="BM3" s="8"/>
      <c r="BN3" s="8"/>
      <c r="BO3" s="8"/>
      <c r="BP3" s="8"/>
      <c r="BQ3" s="8"/>
      <c r="BR3" s="23"/>
      <c r="BS3" s="8"/>
      <c r="BT3" s="8"/>
      <c r="BU3" s="8"/>
      <c r="BV3" s="8"/>
      <c r="BW3" s="8"/>
      <c r="BX3" s="8"/>
      <c r="BY3" s="8"/>
      <c r="BZ3" s="23"/>
      <c r="CA3" s="8"/>
      <c r="CB3" s="8"/>
      <c r="CC3" s="8"/>
      <c r="CD3" s="8"/>
      <c r="CE3" s="8"/>
      <c r="CF3" s="8"/>
      <c r="CG3" s="8"/>
      <c r="CH3" s="23"/>
      <c r="CI3" s="8"/>
      <c r="CJ3" s="8"/>
      <c r="CK3" s="8"/>
      <c r="CL3" s="8"/>
      <c r="CM3" s="8"/>
      <c r="CN3" s="8"/>
      <c r="CO3" s="8"/>
      <c r="CP3" s="23"/>
      <c r="CQ3" s="8"/>
      <c r="CR3" s="8"/>
      <c r="CS3" s="8"/>
      <c r="CT3" s="8"/>
      <c r="CU3" s="8"/>
      <c r="CV3" s="8"/>
      <c r="CW3" s="8"/>
      <c r="CX3" s="23"/>
      <c r="CY3" s="8"/>
      <c r="CZ3" s="8"/>
      <c r="DA3" s="8"/>
      <c r="DB3" s="8"/>
      <c r="DC3" s="8"/>
      <c r="DD3" s="8"/>
      <c r="DE3" s="8"/>
      <c r="DF3" s="23"/>
      <c r="DG3" s="8"/>
      <c r="DH3" s="8"/>
      <c r="DI3" s="8"/>
      <c r="DJ3" s="8"/>
      <c r="DK3" s="8"/>
      <c r="DL3" s="8"/>
      <c r="DM3" s="8"/>
      <c r="DN3" s="23"/>
      <c r="DO3" s="8"/>
      <c r="DP3" s="8"/>
      <c r="DQ3" s="8"/>
      <c r="DR3" s="8"/>
      <c r="DS3" s="8"/>
      <c r="DT3" s="8"/>
      <c r="DU3" s="8"/>
      <c r="DV3" s="23"/>
      <c r="DW3" s="8"/>
      <c r="DX3" s="8"/>
      <c r="DY3" s="8"/>
      <c r="DZ3" s="8"/>
      <c r="EA3" s="8"/>
      <c r="EB3" s="8"/>
      <c r="EC3" s="8"/>
      <c r="ED3" s="23"/>
      <c r="EE3" s="8"/>
      <c r="EF3" s="8"/>
      <c r="EG3" s="8"/>
      <c r="EH3" s="8"/>
      <c r="EI3" s="8"/>
      <c r="EJ3" s="8"/>
      <c r="EK3" s="8"/>
      <c r="EL3" s="23"/>
      <c r="EM3" s="8"/>
      <c r="EN3" s="8"/>
      <c r="EO3" s="8"/>
      <c r="EP3" s="8"/>
      <c r="EQ3" s="8"/>
      <c r="ER3" s="8"/>
      <c r="ES3" s="8"/>
      <c r="ET3" s="23"/>
      <c r="EU3" s="8"/>
      <c r="EV3" s="8"/>
      <c r="EW3" s="8"/>
      <c r="EX3" s="8"/>
      <c r="EY3" s="8"/>
      <c r="EZ3" s="8"/>
      <c r="FA3" s="8"/>
      <c r="FB3" s="23"/>
      <c r="FC3" s="8"/>
      <c r="FD3" s="8"/>
      <c r="FE3" s="8"/>
      <c r="FF3" s="8"/>
      <c r="FG3" s="8"/>
      <c r="FH3" s="8"/>
      <c r="FI3" s="8"/>
      <c r="FJ3" s="23"/>
      <c r="FK3" s="8"/>
      <c r="FL3" s="8"/>
      <c r="FM3" s="8"/>
      <c r="FN3" s="8"/>
      <c r="FO3" s="8"/>
      <c r="FP3" s="8"/>
      <c r="FQ3" s="8"/>
      <c r="FR3" s="23"/>
      <c r="FS3" s="8"/>
      <c r="FT3" s="8"/>
      <c r="FU3" s="8"/>
      <c r="FV3" s="8"/>
      <c r="FW3" s="8"/>
      <c r="FX3" s="8"/>
      <c r="FY3" s="8"/>
      <c r="FZ3" s="23"/>
      <c r="GA3" s="8"/>
      <c r="GB3" s="8"/>
      <c r="GC3" s="8"/>
      <c r="GD3" s="8"/>
      <c r="GE3" s="8"/>
      <c r="GF3" s="8"/>
      <c r="GG3" s="8"/>
      <c r="GH3" s="23"/>
      <c r="GI3" s="8"/>
      <c r="GJ3" s="8"/>
      <c r="GK3" s="8"/>
      <c r="GL3" s="8"/>
      <c r="GM3" s="8"/>
      <c r="GN3" s="8"/>
      <c r="GO3" s="8"/>
      <c r="GP3" s="23"/>
      <c r="GQ3" s="8"/>
      <c r="GR3" s="8"/>
      <c r="GS3" s="8"/>
      <c r="GT3" s="8"/>
      <c r="GU3" s="8"/>
      <c r="GV3" s="8"/>
      <c r="GW3" s="8"/>
      <c r="GX3" s="23"/>
      <c r="GY3" s="8"/>
      <c r="GZ3" s="8"/>
      <c r="HA3" s="8"/>
      <c r="HB3" s="8"/>
      <c r="HC3" s="8"/>
      <c r="HD3" s="8"/>
      <c r="HE3" s="8"/>
      <c r="HF3" s="23"/>
      <c r="HG3" s="8"/>
      <c r="HH3" s="8"/>
      <c r="HI3" s="8"/>
      <c r="HJ3" s="8"/>
      <c r="HK3" s="8"/>
      <c r="HL3" s="8"/>
      <c r="HM3" s="8"/>
      <c r="HN3" s="23"/>
      <c r="HO3" s="8"/>
      <c r="HP3" s="8"/>
      <c r="HQ3" s="8"/>
      <c r="HR3" s="8"/>
      <c r="HS3" s="8"/>
      <c r="HT3" s="8"/>
      <c r="HU3" s="8"/>
      <c r="HV3" s="23"/>
      <c r="HW3" s="8"/>
      <c r="HX3" s="8"/>
      <c r="HY3" s="8"/>
      <c r="HZ3" s="8"/>
      <c r="IA3" s="8"/>
      <c r="IB3" s="8"/>
      <c r="IC3" s="8"/>
      <c r="ID3" s="23"/>
      <c r="IE3" s="8"/>
      <c r="IF3" s="8"/>
      <c r="IG3" s="8"/>
      <c r="IH3" s="8"/>
      <c r="II3" s="8"/>
      <c r="IJ3" s="8"/>
      <c r="IK3" s="8"/>
      <c r="IL3" s="23"/>
      <c r="IM3" s="8"/>
      <c r="IN3" s="8"/>
      <c r="IO3" s="8"/>
      <c r="IP3" s="8"/>
      <c r="IQ3" s="8"/>
    </row>
    <row r="4" spans="2:251" s="11" customFormat="1" ht="11.25" customHeight="1">
      <c r="B4" s="1"/>
      <c r="C4" s="1"/>
      <c r="D4" s="1"/>
      <c r="E4" s="2"/>
      <c r="F4" s="1"/>
      <c r="G4" s="1"/>
      <c r="H4" s="2"/>
      <c r="I4" s="2"/>
      <c r="J4" s="3"/>
      <c r="K4" s="4"/>
      <c r="L4" s="24"/>
      <c r="M4" s="5"/>
      <c r="N4" s="1"/>
      <c r="O4" s="1"/>
      <c r="P4" s="1"/>
      <c r="Q4" s="5"/>
      <c r="R4" s="1"/>
      <c r="S4" s="1"/>
      <c r="T4" s="5"/>
      <c r="U4" s="5"/>
      <c r="V4" s="5"/>
      <c r="W4" s="5"/>
      <c r="X4" s="5"/>
      <c r="Y4" s="6"/>
      <c r="Z4" s="25"/>
      <c r="AA4" s="6"/>
      <c r="AB4" s="7"/>
      <c r="AC4" s="1"/>
      <c r="AD4" s="25"/>
      <c r="AE4" s="8"/>
      <c r="AF4" s="18">
        <v>2262</v>
      </c>
      <c r="AG4" s="18" t="s">
        <v>14</v>
      </c>
      <c r="AH4" s="26" t="s">
        <v>15</v>
      </c>
      <c r="AI4" s="20" t="s">
        <v>16</v>
      </c>
      <c r="AJ4" s="21">
        <f>20000*1.21</f>
        <v>24200</v>
      </c>
      <c r="AK4" s="21">
        <f>119.79+242+295+260+206.5+260+442.5+480+295+144.9+221.25+295</f>
        <v>3261.94</v>
      </c>
      <c r="AL4" s="21">
        <f aca="true" t="shared" si="0" ref="AL4:AL13">AJ4-AK4</f>
        <v>20938.06</v>
      </c>
      <c r="AM4" s="22" t="s">
        <v>17</v>
      </c>
      <c r="AN4" s="22"/>
      <c r="AO4" s="22"/>
      <c r="AP4" s="8"/>
      <c r="AQ4" s="27"/>
      <c r="AR4" s="8"/>
      <c r="AS4" s="8"/>
      <c r="AT4" s="8"/>
      <c r="AU4" s="8"/>
      <c r="AV4" s="8"/>
      <c r="AW4" s="8"/>
      <c r="AX4" s="8"/>
      <c r="AY4" s="27"/>
      <c r="AZ4" s="8"/>
      <c r="BA4" s="8"/>
      <c r="BB4" s="8"/>
      <c r="BC4" s="8"/>
      <c r="BD4" s="8"/>
      <c r="BE4" s="8"/>
      <c r="BF4" s="8"/>
      <c r="BG4" s="27"/>
      <c r="BH4" s="8"/>
      <c r="BI4" s="8"/>
      <c r="BJ4" s="8"/>
      <c r="BK4" s="8"/>
      <c r="BL4" s="8"/>
      <c r="BM4" s="8"/>
      <c r="BN4" s="8"/>
      <c r="BO4" s="27"/>
      <c r="BP4" s="8"/>
      <c r="BQ4" s="8"/>
      <c r="BR4" s="8"/>
      <c r="BS4" s="8"/>
      <c r="BT4" s="8"/>
      <c r="BU4" s="8"/>
      <c r="BV4" s="8"/>
      <c r="BW4" s="27"/>
      <c r="BX4" s="8"/>
      <c r="BY4" s="8"/>
      <c r="BZ4" s="8"/>
      <c r="CA4" s="8"/>
      <c r="CB4" s="8"/>
      <c r="CC4" s="8"/>
      <c r="CD4" s="8"/>
      <c r="CE4" s="27"/>
      <c r="CF4" s="8"/>
      <c r="CG4" s="8"/>
      <c r="CH4" s="8"/>
      <c r="CI4" s="8"/>
      <c r="CJ4" s="8"/>
      <c r="CK4" s="8"/>
      <c r="CL4" s="8"/>
      <c r="CM4" s="27"/>
      <c r="CN4" s="8"/>
      <c r="CO4" s="8"/>
      <c r="CP4" s="8"/>
      <c r="CQ4" s="8"/>
      <c r="CR4" s="8"/>
      <c r="CS4" s="8"/>
      <c r="CT4" s="8"/>
      <c r="CU4" s="27"/>
      <c r="CV4" s="8"/>
      <c r="CW4" s="8"/>
      <c r="CX4" s="8"/>
      <c r="CY4" s="8"/>
      <c r="CZ4" s="8"/>
      <c r="DA4" s="8"/>
      <c r="DB4" s="8"/>
      <c r="DC4" s="27"/>
      <c r="DD4" s="8"/>
      <c r="DE4" s="8"/>
      <c r="DF4" s="8"/>
      <c r="DG4" s="8"/>
      <c r="DH4" s="8"/>
      <c r="DI4" s="8"/>
      <c r="DJ4" s="8"/>
      <c r="DK4" s="27"/>
      <c r="DL4" s="8"/>
      <c r="DM4" s="8"/>
      <c r="DN4" s="8"/>
      <c r="DO4" s="8"/>
      <c r="DP4" s="8"/>
      <c r="DQ4" s="8"/>
      <c r="DR4" s="8"/>
      <c r="DS4" s="27"/>
      <c r="DT4" s="8"/>
      <c r="DU4" s="8"/>
      <c r="DV4" s="8"/>
      <c r="DW4" s="8"/>
      <c r="DX4" s="8"/>
      <c r="DY4" s="8"/>
      <c r="DZ4" s="8"/>
      <c r="EA4" s="27"/>
      <c r="EB4" s="8"/>
      <c r="EC4" s="8"/>
      <c r="ED4" s="8"/>
      <c r="EE4" s="8"/>
      <c r="EF4" s="8"/>
      <c r="EG4" s="8"/>
      <c r="EH4" s="8"/>
      <c r="EI4" s="27"/>
      <c r="EJ4" s="8"/>
      <c r="EK4" s="8"/>
      <c r="EL4" s="8"/>
      <c r="EM4" s="8"/>
      <c r="EN4" s="8"/>
      <c r="EO4" s="8"/>
      <c r="EP4" s="8"/>
      <c r="EQ4" s="27"/>
      <c r="ER4" s="8"/>
      <c r="ES4" s="8"/>
      <c r="ET4" s="8"/>
      <c r="EU4" s="8"/>
      <c r="EV4" s="8"/>
      <c r="EW4" s="8"/>
      <c r="EX4" s="8"/>
      <c r="EY4" s="27"/>
      <c r="EZ4" s="8"/>
      <c r="FA4" s="8"/>
      <c r="FB4" s="8"/>
      <c r="FC4" s="8"/>
      <c r="FD4" s="8"/>
      <c r="FE4" s="8"/>
      <c r="FF4" s="8"/>
      <c r="FG4" s="27"/>
      <c r="FH4" s="8"/>
      <c r="FI4" s="8"/>
      <c r="FJ4" s="8"/>
      <c r="FK4" s="8"/>
      <c r="FL4" s="8"/>
      <c r="FM4" s="8"/>
      <c r="FN4" s="8"/>
      <c r="FO4" s="27"/>
      <c r="FP4" s="8"/>
      <c r="FQ4" s="8"/>
      <c r="FR4" s="8"/>
      <c r="FS4" s="8"/>
      <c r="FT4" s="8"/>
      <c r="FU4" s="8"/>
      <c r="FV4" s="8"/>
      <c r="FW4" s="27"/>
      <c r="FX4" s="8"/>
      <c r="FY4" s="8"/>
      <c r="FZ4" s="8"/>
      <c r="GA4" s="8"/>
      <c r="GB4" s="8"/>
      <c r="GC4" s="8"/>
      <c r="GD4" s="8"/>
      <c r="GE4" s="27"/>
      <c r="GF4" s="8"/>
      <c r="GG4" s="8"/>
      <c r="GH4" s="8"/>
      <c r="GI4" s="8"/>
      <c r="GJ4" s="8"/>
      <c r="GK4" s="8"/>
      <c r="GL4" s="8"/>
      <c r="GM4" s="27"/>
      <c r="GN4" s="8"/>
      <c r="GO4" s="8"/>
      <c r="GP4" s="8"/>
      <c r="GQ4" s="8"/>
      <c r="GR4" s="8"/>
      <c r="GS4" s="8"/>
      <c r="GT4" s="8"/>
      <c r="GU4" s="27"/>
      <c r="GV4" s="8"/>
      <c r="GW4" s="8"/>
      <c r="GX4" s="8"/>
      <c r="GY4" s="8"/>
      <c r="GZ4" s="8"/>
      <c r="HA4" s="8"/>
      <c r="HB4" s="8"/>
      <c r="HC4" s="27"/>
      <c r="HD4" s="8"/>
      <c r="HE4" s="8"/>
      <c r="HF4" s="8"/>
      <c r="HG4" s="8"/>
      <c r="HH4" s="8"/>
      <c r="HI4" s="8"/>
      <c r="HJ4" s="8"/>
      <c r="HK4" s="27"/>
      <c r="HL4" s="8"/>
      <c r="HM4" s="8"/>
      <c r="HN4" s="8"/>
      <c r="HO4" s="8"/>
      <c r="HP4" s="8"/>
      <c r="HQ4" s="8"/>
      <c r="HR4" s="8"/>
      <c r="HS4" s="27"/>
      <c r="HT4" s="8"/>
      <c r="HU4" s="8"/>
      <c r="HV4" s="8"/>
      <c r="HW4" s="8"/>
      <c r="HX4" s="8"/>
      <c r="HY4" s="8"/>
      <c r="HZ4" s="8"/>
      <c r="IA4" s="27"/>
      <c r="IB4" s="8"/>
      <c r="IC4" s="8"/>
      <c r="ID4" s="8"/>
      <c r="IE4" s="8"/>
      <c r="IF4" s="8"/>
      <c r="IG4" s="8"/>
      <c r="IH4" s="8"/>
      <c r="II4" s="27"/>
      <c r="IJ4" s="8"/>
      <c r="IK4" s="8"/>
      <c r="IL4" s="8"/>
      <c r="IM4" s="8"/>
      <c r="IN4" s="8"/>
      <c r="IO4" s="8"/>
      <c r="IP4" s="8"/>
      <c r="IQ4" s="27"/>
    </row>
    <row r="5" spans="2:251" s="11" customFormat="1" ht="24">
      <c r="B5" s="1" t="s">
        <v>18</v>
      </c>
      <c r="C5" s="1"/>
      <c r="D5" s="1"/>
      <c r="E5" s="2"/>
      <c r="F5" s="1"/>
      <c r="G5" s="1"/>
      <c r="H5" s="2"/>
      <c r="I5" s="2"/>
      <c r="J5" s="3"/>
      <c r="K5" s="4"/>
      <c r="L5" s="1"/>
      <c r="M5" s="5"/>
      <c r="N5" s="1"/>
      <c r="O5" s="1"/>
      <c r="P5" s="1"/>
      <c r="Q5" s="5"/>
      <c r="R5" s="1"/>
      <c r="S5" s="1"/>
      <c r="T5" s="5"/>
      <c r="U5" s="5"/>
      <c r="V5" s="5"/>
      <c r="W5" s="5"/>
      <c r="X5" s="5"/>
      <c r="Y5" s="6"/>
      <c r="Z5" s="7"/>
      <c r="AA5" s="6"/>
      <c r="AB5" s="7"/>
      <c r="AC5" s="1"/>
      <c r="AD5" s="7"/>
      <c r="AE5" s="8"/>
      <c r="AF5" s="18">
        <v>2390</v>
      </c>
      <c r="AG5" s="18" t="s">
        <v>19</v>
      </c>
      <c r="AH5" s="19" t="s">
        <v>20</v>
      </c>
      <c r="AI5" s="28" t="s">
        <v>16</v>
      </c>
      <c r="AJ5" s="21">
        <v>3000</v>
      </c>
      <c r="AK5" s="21">
        <f>210</f>
        <v>210</v>
      </c>
      <c r="AL5" s="21">
        <f t="shared" si="0"/>
        <v>2790</v>
      </c>
      <c r="AM5" s="407" t="s">
        <v>21</v>
      </c>
      <c r="AN5" s="407"/>
      <c r="AO5" s="407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2:251" s="11" customFormat="1" ht="24">
      <c r="B6" s="1"/>
      <c r="C6" s="1"/>
      <c r="D6" s="1"/>
      <c r="E6" s="2"/>
      <c r="F6" s="1"/>
      <c r="G6" s="1"/>
      <c r="H6" s="2"/>
      <c r="I6" s="2"/>
      <c r="J6" s="3"/>
      <c r="K6" s="4"/>
      <c r="L6" s="4"/>
      <c r="M6" s="5"/>
      <c r="N6" s="4"/>
      <c r="O6" s="1"/>
      <c r="P6" s="1"/>
      <c r="Q6" s="5"/>
      <c r="R6" s="1"/>
      <c r="S6" s="4"/>
      <c r="T6" s="5"/>
      <c r="U6" s="5"/>
      <c r="V6" s="5"/>
      <c r="W6" s="5"/>
      <c r="X6" s="5"/>
      <c r="Y6" s="6"/>
      <c r="Z6" s="29"/>
      <c r="AA6" s="6"/>
      <c r="AB6" s="7"/>
      <c r="AC6" s="1"/>
      <c r="AD6" s="29"/>
      <c r="AE6" s="8"/>
      <c r="AF6" s="18">
        <v>2390</v>
      </c>
      <c r="AG6" s="18" t="s">
        <v>22</v>
      </c>
      <c r="AH6" s="19" t="s">
        <v>23</v>
      </c>
      <c r="AI6" s="28" t="s">
        <v>24</v>
      </c>
      <c r="AJ6" s="21">
        <f>3823.6</f>
        <v>3823.6</v>
      </c>
      <c r="AK6" s="21">
        <f>7.2+349.99+146.69+48.36+102.49+207.35+668.88+89.42+26.5+46.02+107.51+57.6</f>
        <v>1858.01</v>
      </c>
      <c r="AL6" s="21">
        <f>AJ6-AK6</f>
        <v>1965.59</v>
      </c>
      <c r="AM6" s="407" t="s">
        <v>25</v>
      </c>
      <c r="AN6" s="407"/>
      <c r="AO6" s="407"/>
      <c r="AP6" s="30"/>
      <c r="AQ6" s="30"/>
      <c r="AR6" s="8"/>
      <c r="AS6" s="8"/>
      <c r="AT6" s="8"/>
      <c r="AU6" s="8"/>
      <c r="AV6" s="8"/>
      <c r="AW6" s="8"/>
      <c r="AX6" s="30"/>
      <c r="AY6" s="30"/>
      <c r="AZ6" s="8"/>
      <c r="BA6" s="8"/>
      <c r="BB6" s="8"/>
      <c r="BC6" s="8"/>
      <c r="BD6" s="8"/>
      <c r="BE6" s="8"/>
      <c r="BF6" s="30"/>
      <c r="BG6" s="30"/>
      <c r="BH6" s="8"/>
      <c r="BI6" s="8"/>
      <c r="BJ6" s="8"/>
      <c r="BK6" s="8"/>
      <c r="BL6" s="8"/>
      <c r="BM6" s="8"/>
      <c r="BN6" s="30"/>
      <c r="BO6" s="30"/>
      <c r="BP6" s="8"/>
      <c r="BQ6" s="8"/>
      <c r="BR6" s="8"/>
      <c r="BS6" s="8"/>
      <c r="BT6" s="8"/>
      <c r="BU6" s="8"/>
      <c r="BV6" s="30"/>
      <c r="BW6" s="30"/>
      <c r="BX6" s="8"/>
      <c r="BY6" s="8"/>
      <c r="BZ6" s="8"/>
      <c r="CA6" s="8"/>
      <c r="CB6" s="8"/>
      <c r="CC6" s="8"/>
      <c r="CD6" s="30"/>
      <c r="CE6" s="30"/>
      <c r="CF6" s="8"/>
      <c r="CG6" s="8"/>
      <c r="CH6" s="8"/>
      <c r="CI6" s="8"/>
      <c r="CJ6" s="8"/>
      <c r="CK6" s="8"/>
      <c r="CL6" s="30"/>
      <c r="CM6" s="30"/>
      <c r="CN6" s="8"/>
      <c r="CO6" s="8"/>
      <c r="CP6" s="8"/>
      <c r="CQ6" s="8"/>
      <c r="CR6" s="8"/>
      <c r="CS6" s="8"/>
      <c r="CT6" s="30"/>
      <c r="CU6" s="30"/>
      <c r="CV6" s="8"/>
      <c r="CW6" s="8"/>
      <c r="CX6" s="8"/>
      <c r="CY6" s="8"/>
      <c r="CZ6" s="8"/>
      <c r="DA6" s="8"/>
      <c r="DB6" s="30"/>
      <c r="DC6" s="30"/>
      <c r="DD6" s="8"/>
      <c r="DE6" s="8"/>
      <c r="DF6" s="8"/>
      <c r="DG6" s="8"/>
      <c r="DH6" s="8"/>
      <c r="DI6" s="8"/>
      <c r="DJ6" s="30"/>
      <c r="DK6" s="30"/>
      <c r="DL6" s="8"/>
      <c r="DM6" s="8"/>
      <c r="DN6" s="8"/>
      <c r="DO6" s="8"/>
      <c r="DP6" s="8"/>
      <c r="DQ6" s="8"/>
      <c r="DR6" s="30"/>
      <c r="DS6" s="30"/>
      <c r="DT6" s="8"/>
      <c r="DU6" s="8"/>
      <c r="DV6" s="8"/>
      <c r="DW6" s="8"/>
      <c r="DX6" s="8"/>
      <c r="DY6" s="8"/>
      <c r="DZ6" s="30"/>
      <c r="EA6" s="30"/>
      <c r="EB6" s="8"/>
      <c r="EC6" s="8"/>
      <c r="ED6" s="8"/>
      <c r="EE6" s="8"/>
      <c r="EF6" s="8"/>
      <c r="EG6" s="8"/>
      <c r="EH6" s="30"/>
      <c r="EI6" s="30"/>
      <c r="EJ6" s="8"/>
      <c r="EK6" s="8"/>
      <c r="EL6" s="8"/>
      <c r="EM6" s="8"/>
      <c r="EN6" s="8"/>
      <c r="EO6" s="8"/>
      <c r="EP6" s="30"/>
      <c r="EQ6" s="30"/>
      <c r="ER6" s="8"/>
      <c r="ES6" s="8"/>
      <c r="ET6" s="8"/>
      <c r="EU6" s="8"/>
      <c r="EV6" s="8"/>
      <c r="EW6" s="8"/>
      <c r="EX6" s="30"/>
      <c r="EY6" s="30"/>
      <c r="EZ6" s="8"/>
      <c r="FA6" s="8"/>
      <c r="FB6" s="8"/>
      <c r="FC6" s="8"/>
      <c r="FD6" s="8"/>
      <c r="FE6" s="8"/>
      <c r="FF6" s="30"/>
      <c r="FG6" s="30"/>
      <c r="FH6" s="8"/>
      <c r="FI6" s="8"/>
      <c r="FJ6" s="8"/>
      <c r="FK6" s="8"/>
      <c r="FL6" s="8"/>
      <c r="FM6" s="8"/>
      <c r="FN6" s="30"/>
      <c r="FO6" s="30"/>
      <c r="FP6" s="8"/>
      <c r="FQ6" s="8"/>
      <c r="FR6" s="8"/>
      <c r="FS6" s="8"/>
      <c r="FT6" s="8"/>
      <c r="FU6" s="8"/>
      <c r="FV6" s="30"/>
      <c r="FW6" s="30"/>
      <c r="FX6" s="8"/>
      <c r="FY6" s="8"/>
      <c r="FZ6" s="8"/>
      <c r="GA6" s="8"/>
      <c r="GB6" s="8"/>
      <c r="GC6" s="8"/>
      <c r="GD6" s="30"/>
      <c r="GE6" s="30"/>
      <c r="GF6" s="8"/>
      <c r="GG6" s="8"/>
      <c r="GH6" s="8"/>
      <c r="GI6" s="8"/>
      <c r="GJ6" s="8"/>
      <c r="GK6" s="8"/>
      <c r="GL6" s="30"/>
      <c r="GM6" s="30"/>
      <c r="GN6" s="8"/>
      <c r="GO6" s="8"/>
      <c r="GP6" s="8"/>
      <c r="GQ6" s="8"/>
      <c r="GR6" s="8"/>
      <c r="GS6" s="8"/>
      <c r="GT6" s="30"/>
      <c r="GU6" s="30"/>
      <c r="GV6" s="8"/>
      <c r="GW6" s="8"/>
      <c r="GX6" s="8"/>
      <c r="GY6" s="8"/>
      <c r="GZ6" s="8"/>
      <c r="HA6" s="8"/>
      <c r="HB6" s="30"/>
      <c r="HC6" s="30"/>
      <c r="HD6" s="8"/>
      <c r="HE6" s="8"/>
      <c r="HF6" s="8"/>
      <c r="HG6" s="8"/>
      <c r="HH6" s="8"/>
      <c r="HI6" s="8"/>
      <c r="HJ6" s="30"/>
      <c r="HK6" s="30"/>
      <c r="HL6" s="8"/>
      <c r="HM6" s="8"/>
      <c r="HN6" s="8"/>
      <c r="HO6" s="8"/>
      <c r="HP6" s="8"/>
      <c r="HQ6" s="8"/>
      <c r="HR6" s="30"/>
      <c r="HS6" s="30"/>
      <c r="HT6" s="8"/>
      <c r="HU6" s="8"/>
      <c r="HV6" s="8"/>
      <c r="HW6" s="8"/>
      <c r="HX6" s="8"/>
      <c r="HY6" s="8"/>
      <c r="HZ6" s="30"/>
      <c r="IA6" s="30"/>
      <c r="IB6" s="8"/>
      <c r="IC6" s="8"/>
      <c r="ID6" s="8"/>
      <c r="IE6" s="8"/>
      <c r="IF6" s="8"/>
      <c r="IG6" s="8"/>
      <c r="IH6" s="30"/>
      <c r="II6" s="30"/>
      <c r="IJ6" s="8"/>
      <c r="IK6" s="8"/>
      <c r="IL6" s="8"/>
      <c r="IM6" s="8"/>
      <c r="IN6" s="8"/>
      <c r="IO6" s="8"/>
      <c r="IP6" s="30"/>
      <c r="IQ6" s="30"/>
    </row>
    <row r="7" spans="2:41" ht="24">
      <c r="B7" s="31" t="s">
        <v>26</v>
      </c>
      <c r="C7" s="31"/>
      <c r="D7" s="2"/>
      <c r="E7" s="2"/>
      <c r="F7" s="32"/>
      <c r="G7" s="32"/>
      <c r="H7" s="33"/>
      <c r="I7" s="33"/>
      <c r="L7" s="4"/>
      <c r="N7" s="36"/>
      <c r="S7" s="37"/>
      <c r="AE7" s="39" t="s">
        <v>27</v>
      </c>
      <c r="AF7" s="18"/>
      <c r="AG7" s="18" t="s">
        <v>28</v>
      </c>
      <c r="AH7" s="40" t="s">
        <v>29</v>
      </c>
      <c r="AI7" s="28" t="s">
        <v>30</v>
      </c>
      <c r="AJ7" s="21">
        <f>2360-1042.99</f>
        <v>1317.01</v>
      </c>
      <c r="AK7" s="21">
        <f>107.69+194.81+140</f>
        <v>442.5</v>
      </c>
      <c r="AL7" s="21">
        <f t="shared" si="0"/>
        <v>874.51</v>
      </c>
      <c r="AM7" s="407" t="s">
        <v>31</v>
      </c>
      <c r="AN7" s="407"/>
      <c r="AO7" s="407"/>
    </row>
    <row r="8" spans="2:41" ht="12.75" customHeight="1">
      <c r="B8" s="342" t="s">
        <v>32</v>
      </c>
      <c r="C8" s="342" t="s">
        <v>33</v>
      </c>
      <c r="D8" s="342" t="s">
        <v>34</v>
      </c>
      <c r="E8" s="342"/>
      <c r="F8" s="342" t="s">
        <v>35</v>
      </c>
      <c r="G8" s="416" t="s">
        <v>36</v>
      </c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369"/>
      <c r="Y8" s="347" t="s">
        <v>37</v>
      </c>
      <c r="Z8" s="344" t="s">
        <v>38</v>
      </c>
      <c r="AB8" s="368" t="s">
        <v>8</v>
      </c>
      <c r="AD8" s="344" t="s">
        <v>259</v>
      </c>
      <c r="AF8" s="18">
        <v>2264</v>
      </c>
      <c r="AG8" s="18" t="s">
        <v>39</v>
      </c>
      <c r="AH8" s="19" t="s">
        <v>40</v>
      </c>
      <c r="AI8" s="28" t="s">
        <v>41</v>
      </c>
      <c r="AJ8" s="21">
        <f>4477</f>
        <v>4477</v>
      </c>
      <c r="AK8" s="21">
        <f>50+175+125+50+50+300</f>
        <v>750</v>
      </c>
      <c r="AL8" s="21">
        <f t="shared" si="0"/>
        <v>3727</v>
      </c>
      <c r="AM8" s="407" t="s">
        <v>42</v>
      </c>
      <c r="AN8" s="407"/>
      <c r="AO8" s="407"/>
    </row>
    <row r="9" spans="2:41" ht="12.75" customHeight="1">
      <c r="B9" s="342"/>
      <c r="C9" s="342"/>
      <c r="D9" s="342"/>
      <c r="E9" s="342"/>
      <c r="F9" s="342"/>
      <c r="G9" s="416" t="s">
        <v>43</v>
      </c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8"/>
      <c r="S9" s="342" t="s">
        <v>44</v>
      </c>
      <c r="T9" s="369"/>
      <c r="Y9" s="347"/>
      <c r="Z9" s="345"/>
      <c r="AB9" s="368"/>
      <c r="AD9" s="345"/>
      <c r="AF9" s="18"/>
      <c r="AG9" s="18"/>
      <c r="AH9" s="19"/>
      <c r="AI9" s="28"/>
      <c r="AJ9" s="21"/>
      <c r="AK9" s="21"/>
      <c r="AL9" s="21"/>
      <c r="AM9" s="22"/>
      <c r="AN9" s="22"/>
      <c r="AO9" s="22"/>
    </row>
    <row r="10" spans="2:41" ht="12.75" customHeight="1">
      <c r="B10" s="342"/>
      <c r="C10" s="342"/>
      <c r="D10" s="342"/>
      <c r="E10" s="342"/>
      <c r="F10" s="342"/>
      <c r="G10" s="41" t="s">
        <v>45</v>
      </c>
      <c r="H10" s="43" t="s">
        <v>46</v>
      </c>
      <c r="I10" s="43" t="s">
        <v>47</v>
      </c>
      <c r="J10" s="43" t="s">
        <v>48</v>
      </c>
      <c r="K10" s="41" t="s">
        <v>49</v>
      </c>
      <c r="L10" s="41" t="s">
        <v>50</v>
      </c>
      <c r="M10" s="41" t="s">
        <v>51</v>
      </c>
      <c r="N10" s="41" t="s">
        <v>52</v>
      </c>
      <c r="O10" s="41" t="s">
        <v>53</v>
      </c>
      <c r="P10" s="41" t="s">
        <v>54</v>
      </c>
      <c r="Q10" s="41" t="s">
        <v>55</v>
      </c>
      <c r="R10" s="42" t="s">
        <v>56</v>
      </c>
      <c r="S10" s="342"/>
      <c r="T10" s="369"/>
      <c r="Y10" s="347"/>
      <c r="Z10" s="346"/>
      <c r="AB10" s="368"/>
      <c r="AC10" s="41"/>
      <c r="AD10" s="346"/>
      <c r="AF10" s="18">
        <v>2390</v>
      </c>
      <c r="AG10" s="18" t="s">
        <v>57</v>
      </c>
      <c r="AH10" s="19" t="s">
        <v>58</v>
      </c>
      <c r="AI10" s="28" t="s">
        <v>59</v>
      </c>
      <c r="AJ10" s="21">
        <f>3000</f>
        <v>3000</v>
      </c>
      <c r="AK10" s="21">
        <f>100+900+60+200+100+200</f>
        <v>1560</v>
      </c>
      <c r="AL10" s="21">
        <f>AJ10-AK10</f>
        <v>1440</v>
      </c>
      <c r="AM10" s="407" t="s">
        <v>21</v>
      </c>
      <c r="AN10" s="407"/>
      <c r="AO10" s="407"/>
    </row>
    <row r="11" spans="2:41" ht="22.5" customHeight="1">
      <c r="B11" s="351" t="s">
        <v>60</v>
      </c>
      <c r="C11" s="352"/>
      <c r="D11" s="301">
        <f>D12+D224+D286</f>
        <v>273497</v>
      </c>
      <c r="E11" s="302" t="s">
        <v>2</v>
      </c>
      <c r="F11" s="301">
        <f aca="true" t="shared" si="1" ref="F11:L11">F12+F224+F286</f>
        <v>273497</v>
      </c>
      <c r="G11" s="301">
        <f t="shared" si="1"/>
        <v>770</v>
      </c>
      <c r="H11" s="301">
        <f t="shared" si="1"/>
        <v>3830.7000000000007</v>
      </c>
      <c r="I11" s="301">
        <f t="shared" si="1"/>
        <v>31675.190000000002</v>
      </c>
      <c r="J11" s="301">
        <f t="shared" si="1"/>
        <v>55618.18</v>
      </c>
      <c r="K11" s="301">
        <f t="shared" si="1"/>
        <v>9498.74</v>
      </c>
      <c r="L11" s="301">
        <f t="shared" si="1"/>
        <v>14787.520000000002</v>
      </c>
      <c r="M11" s="301">
        <f>M12+M224+M285</f>
        <v>42426.7</v>
      </c>
      <c r="N11" s="301">
        <f aca="true" t="shared" si="2" ref="N11:AD11">N12+N224+N286</f>
        <v>300</v>
      </c>
      <c r="O11" s="301">
        <f t="shared" si="2"/>
        <v>0</v>
      </c>
      <c r="P11" s="301">
        <f t="shared" si="2"/>
        <v>0</v>
      </c>
      <c r="Q11" s="301">
        <f t="shared" si="2"/>
        <v>0</v>
      </c>
      <c r="R11" s="301">
        <f t="shared" si="2"/>
        <v>0</v>
      </c>
      <c r="S11" s="301">
        <f t="shared" si="2"/>
        <v>159026.82000000004</v>
      </c>
      <c r="T11" s="301">
        <f t="shared" si="2"/>
        <v>0</v>
      </c>
      <c r="U11" s="301">
        <f t="shared" si="2"/>
        <v>0</v>
      </c>
      <c r="V11" s="301">
        <f t="shared" si="2"/>
        <v>0</v>
      </c>
      <c r="W11" s="301">
        <f t="shared" si="2"/>
        <v>0</v>
      </c>
      <c r="X11" s="301">
        <f t="shared" si="2"/>
        <v>0</v>
      </c>
      <c r="Y11" s="303">
        <f t="shared" si="2"/>
        <v>114470.18</v>
      </c>
      <c r="Z11" s="303">
        <f t="shared" si="2"/>
        <v>54321.88</v>
      </c>
      <c r="AA11" s="303">
        <f t="shared" si="2"/>
        <v>0</v>
      </c>
      <c r="AB11" s="303">
        <f t="shared" si="2"/>
        <v>60148.3</v>
      </c>
      <c r="AC11" s="303">
        <f t="shared" si="2"/>
        <v>0</v>
      </c>
      <c r="AD11" s="303">
        <f t="shared" si="2"/>
        <v>-46764</v>
      </c>
      <c r="AF11" s="18"/>
      <c r="AG11" s="18"/>
      <c r="AH11" s="26"/>
      <c r="AI11" s="28"/>
      <c r="AJ11" s="21"/>
      <c r="AK11" s="21"/>
      <c r="AL11" s="21">
        <f t="shared" si="0"/>
        <v>0</v>
      </c>
      <c r="AM11" s="407"/>
      <c r="AN11" s="407"/>
      <c r="AO11" s="407"/>
    </row>
    <row r="12" spans="2:41" ht="24">
      <c r="B12" s="304">
        <v>1</v>
      </c>
      <c r="C12" s="199" t="s">
        <v>61</v>
      </c>
      <c r="D12" s="302">
        <f>SUM(D13:D28)+D29+D48+D61+D64+D75+D90+D97+D104+D113+D131+D133+D144+D149+D154+D158+D167+D184+D187+D205+D212+D221</f>
        <v>108179</v>
      </c>
      <c r="E12" s="302"/>
      <c r="F12" s="302">
        <f aca="true" t="shared" si="3" ref="F12:AD12">SUM(F13:F28)+F29+F48+F61+F64+F75+F90+F97+F104+F113+F131+F133+F144+F149+F154+F158+F167+F184+F187+F205+F212+F221</f>
        <v>108179</v>
      </c>
      <c r="G12" s="302">
        <f t="shared" si="3"/>
        <v>200</v>
      </c>
      <c r="H12" s="302">
        <f t="shared" si="3"/>
        <v>2740.4400000000005</v>
      </c>
      <c r="I12" s="302">
        <f t="shared" si="3"/>
        <v>3012.2899999999995</v>
      </c>
      <c r="J12" s="302">
        <f t="shared" si="3"/>
        <v>16415.67</v>
      </c>
      <c r="K12" s="302">
        <f t="shared" si="3"/>
        <v>2462.69</v>
      </c>
      <c r="L12" s="302">
        <f t="shared" si="3"/>
        <v>11207.500000000002</v>
      </c>
      <c r="M12" s="302">
        <f t="shared" si="3"/>
        <v>18426.47</v>
      </c>
      <c r="N12" s="302">
        <f t="shared" si="3"/>
        <v>300</v>
      </c>
      <c r="O12" s="302">
        <f t="shared" si="3"/>
        <v>0</v>
      </c>
      <c r="P12" s="302">
        <f t="shared" si="3"/>
        <v>0</v>
      </c>
      <c r="Q12" s="302">
        <f t="shared" si="3"/>
        <v>0</v>
      </c>
      <c r="R12" s="302">
        <f t="shared" si="3"/>
        <v>0</v>
      </c>
      <c r="S12" s="302">
        <f t="shared" si="3"/>
        <v>54884.850000000006</v>
      </c>
      <c r="T12" s="302">
        <f t="shared" si="3"/>
        <v>0</v>
      </c>
      <c r="U12" s="302">
        <f t="shared" si="3"/>
        <v>0</v>
      </c>
      <c r="V12" s="302">
        <f t="shared" si="3"/>
        <v>0</v>
      </c>
      <c r="W12" s="302">
        <f t="shared" si="3"/>
        <v>0</v>
      </c>
      <c r="X12" s="302">
        <f t="shared" si="3"/>
        <v>0</v>
      </c>
      <c r="Y12" s="305">
        <f t="shared" si="3"/>
        <v>53294.149999999994</v>
      </c>
      <c r="Z12" s="305">
        <f t="shared" si="3"/>
        <v>16308.54</v>
      </c>
      <c r="AA12" s="305">
        <f t="shared" si="3"/>
        <v>0</v>
      </c>
      <c r="AB12" s="305">
        <f t="shared" si="3"/>
        <v>36985.61000000001</v>
      </c>
      <c r="AC12" s="305">
        <f t="shared" si="3"/>
        <v>0</v>
      </c>
      <c r="AD12" s="305">
        <f t="shared" si="3"/>
        <v>-26103</v>
      </c>
      <c r="AF12" s="18"/>
      <c r="AG12" s="18"/>
      <c r="AH12" s="26"/>
      <c r="AI12" s="28"/>
      <c r="AJ12" s="21"/>
      <c r="AK12" s="21"/>
      <c r="AL12" s="21">
        <f t="shared" si="0"/>
        <v>0</v>
      </c>
      <c r="AM12" s="407"/>
      <c r="AN12" s="407"/>
      <c r="AO12" s="407"/>
    </row>
    <row r="13" spans="2:41" ht="22.5" customHeight="1" hidden="1">
      <c r="B13" s="41"/>
      <c r="C13" s="47" t="s">
        <v>62</v>
      </c>
      <c r="D13" s="48">
        <v>0</v>
      </c>
      <c r="E13" s="49"/>
      <c r="F13" s="48">
        <v>0</v>
      </c>
      <c r="G13" s="48"/>
      <c r="H13" s="50"/>
      <c r="I13" s="50"/>
      <c r="J13" s="51"/>
      <c r="K13" s="52"/>
      <c r="L13" s="53"/>
      <c r="M13" s="54"/>
      <c r="N13" s="54"/>
      <c r="O13" s="54"/>
      <c r="P13" s="54"/>
      <c r="Q13" s="54"/>
      <c r="R13" s="54"/>
      <c r="S13" s="55">
        <f aca="true" t="shared" si="4" ref="S13:S28">SUM(G13:R13)</f>
        <v>0</v>
      </c>
      <c r="Y13" s="56">
        <f aca="true" t="shared" si="5" ref="Y13:Y28">D13-S13</f>
        <v>0</v>
      </c>
      <c r="Z13" s="57"/>
      <c r="AB13" s="58">
        <f aca="true" t="shared" si="6" ref="AB13:AB28">D13-S13-Z13</f>
        <v>0</v>
      </c>
      <c r="AD13" s="57"/>
      <c r="AF13" s="18"/>
      <c r="AG13" s="18"/>
      <c r="AH13" s="26"/>
      <c r="AI13" s="28"/>
      <c r="AJ13" s="21"/>
      <c r="AK13" s="21"/>
      <c r="AL13" s="21">
        <f t="shared" si="0"/>
        <v>0</v>
      </c>
      <c r="AM13" s="407"/>
      <c r="AN13" s="407"/>
      <c r="AO13" s="407"/>
    </row>
    <row r="14" spans="2:30" ht="11.25" customHeight="1" hidden="1">
      <c r="B14" s="342">
        <v>2</v>
      </c>
      <c r="C14" s="349" t="s">
        <v>63</v>
      </c>
      <c r="D14" s="60">
        <v>0</v>
      </c>
      <c r="E14" s="53"/>
      <c r="F14" s="411">
        <f>SUM(D14:D19)</f>
        <v>15469</v>
      </c>
      <c r="G14" s="60"/>
      <c r="H14" s="61"/>
      <c r="I14" s="61"/>
      <c r="J14" s="51"/>
      <c r="K14" s="52"/>
      <c r="L14" s="53"/>
      <c r="M14" s="54"/>
      <c r="N14" s="54"/>
      <c r="O14" s="54"/>
      <c r="P14" s="54"/>
      <c r="Q14" s="54"/>
      <c r="R14" s="54"/>
      <c r="S14" s="55">
        <f t="shared" si="4"/>
        <v>0</v>
      </c>
      <c r="Y14" s="56">
        <f t="shared" si="5"/>
        <v>0</v>
      </c>
      <c r="Z14" s="57"/>
      <c r="AB14" s="58">
        <f t="shared" si="6"/>
        <v>0</v>
      </c>
      <c r="AD14" s="57"/>
    </row>
    <row r="15" spans="2:30" ht="11.25">
      <c r="B15" s="342"/>
      <c r="C15" s="349"/>
      <c r="D15" s="60">
        <v>4600</v>
      </c>
      <c r="E15" s="53">
        <v>2363</v>
      </c>
      <c r="F15" s="411"/>
      <c r="G15" s="60"/>
      <c r="H15" s="61"/>
      <c r="I15" s="61"/>
      <c r="J15" s="51"/>
      <c r="K15" s="52"/>
      <c r="L15" s="53">
        <f>380+1500+260+229.5+241.5+730</f>
        <v>3341</v>
      </c>
      <c r="M15" s="54"/>
      <c r="N15" s="54"/>
      <c r="O15" s="54"/>
      <c r="P15" s="54"/>
      <c r="Q15" s="54"/>
      <c r="R15" s="54"/>
      <c r="S15" s="55">
        <f t="shared" si="4"/>
        <v>3341</v>
      </c>
      <c r="Y15" s="62">
        <f t="shared" si="5"/>
        <v>1259</v>
      </c>
      <c r="Z15" s="57"/>
      <c r="AB15" s="62">
        <f t="shared" si="6"/>
        <v>1259</v>
      </c>
      <c r="AD15" s="57">
        <v>-1259</v>
      </c>
    </row>
    <row r="16" spans="2:31" ht="11.25">
      <c r="B16" s="342"/>
      <c r="C16" s="349"/>
      <c r="D16" s="337">
        <v>4000</v>
      </c>
      <c r="E16" s="339">
        <v>2261</v>
      </c>
      <c r="F16" s="411"/>
      <c r="G16" s="60"/>
      <c r="H16" s="61"/>
      <c r="I16" s="61"/>
      <c r="J16" s="51"/>
      <c r="K16" s="52"/>
      <c r="L16" s="63">
        <f>798.6</f>
        <v>798.6</v>
      </c>
      <c r="M16" s="64">
        <f>798.6</f>
        <v>798.6</v>
      </c>
      <c r="N16" s="54"/>
      <c r="O16" s="54"/>
      <c r="P16" s="54"/>
      <c r="Q16" s="54"/>
      <c r="R16" s="54"/>
      <c r="S16" s="419">
        <f>SUM(G16:M17)</f>
        <v>1787.2</v>
      </c>
      <c r="Y16" s="373">
        <f>D16-S16</f>
        <v>2212.8</v>
      </c>
      <c r="Z16" s="66">
        <f>1597.2-SUM(H16:M16)</f>
        <v>0</v>
      </c>
      <c r="AB16" s="373">
        <f>D16-S16-Z16</f>
        <v>2212.8</v>
      </c>
      <c r="AD16" s="414">
        <v>-2213</v>
      </c>
      <c r="AE16" s="39" t="s">
        <v>65</v>
      </c>
    </row>
    <row r="17" spans="2:30" ht="11.25">
      <c r="B17" s="342"/>
      <c r="C17" s="349"/>
      <c r="D17" s="338"/>
      <c r="E17" s="340"/>
      <c r="F17" s="411"/>
      <c r="G17" s="60"/>
      <c r="H17" s="61"/>
      <c r="I17" s="61"/>
      <c r="J17" s="51"/>
      <c r="K17" s="52"/>
      <c r="L17" s="63">
        <f>190</f>
        <v>190</v>
      </c>
      <c r="M17" s="54"/>
      <c r="N17" s="54"/>
      <c r="O17" s="54"/>
      <c r="P17" s="54"/>
      <c r="Q17" s="54"/>
      <c r="R17" s="54"/>
      <c r="S17" s="420"/>
      <c r="Y17" s="336"/>
      <c r="Z17" s="57"/>
      <c r="AB17" s="336"/>
      <c r="AD17" s="415"/>
    </row>
    <row r="18" spans="2:30" ht="11.25">
      <c r="B18" s="342"/>
      <c r="C18" s="349"/>
      <c r="D18" s="61">
        <v>1900</v>
      </c>
      <c r="E18" s="53">
        <v>2262</v>
      </c>
      <c r="F18" s="411"/>
      <c r="G18" s="60"/>
      <c r="H18" s="61"/>
      <c r="I18" s="61"/>
      <c r="J18" s="51"/>
      <c r="K18" s="69">
        <f>221.25</f>
        <v>221.25</v>
      </c>
      <c r="L18" s="70">
        <f>531+354</f>
        <v>885</v>
      </c>
      <c r="M18" s="54"/>
      <c r="N18" s="54"/>
      <c r="O18" s="54"/>
      <c r="P18" s="54"/>
      <c r="Q18" s="54"/>
      <c r="R18" s="54"/>
      <c r="S18" s="55">
        <f t="shared" si="4"/>
        <v>1106.25</v>
      </c>
      <c r="Y18" s="62">
        <f t="shared" si="5"/>
        <v>793.75</v>
      </c>
      <c r="Z18" s="57"/>
      <c r="AB18" s="62">
        <f t="shared" si="6"/>
        <v>793.75</v>
      </c>
      <c r="AD18" s="57">
        <v>-794</v>
      </c>
    </row>
    <row r="19" spans="2:31" ht="12" thickBot="1">
      <c r="B19" s="343"/>
      <c r="C19" s="350"/>
      <c r="D19" s="71">
        <f>5000-5000+4969</f>
        <v>4969</v>
      </c>
      <c r="E19" s="72">
        <v>2361</v>
      </c>
      <c r="F19" s="412"/>
      <c r="G19" s="73"/>
      <c r="H19" s="71"/>
      <c r="I19" s="71"/>
      <c r="J19" s="74"/>
      <c r="K19" s="75"/>
      <c r="L19" s="76">
        <f>2484.29</f>
        <v>2484.29</v>
      </c>
      <c r="M19" s="77"/>
      <c r="N19" s="77"/>
      <c r="O19" s="77"/>
      <c r="P19" s="77"/>
      <c r="Q19" s="77"/>
      <c r="R19" s="77"/>
      <c r="S19" s="78">
        <f t="shared" si="4"/>
        <v>2484.29</v>
      </c>
      <c r="Y19" s="79">
        <f t="shared" si="5"/>
        <v>2484.71</v>
      </c>
      <c r="Z19" s="80">
        <f>4968.57-S19</f>
        <v>2484.2799999999997</v>
      </c>
      <c r="AB19" s="79">
        <f t="shared" si="6"/>
        <v>0.43000000000029104</v>
      </c>
      <c r="AC19" s="81"/>
      <c r="AD19" s="80"/>
      <c r="AE19" s="39" t="s">
        <v>66</v>
      </c>
    </row>
    <row r="20" spans="2:30" ht="11.25">
      <c r="B20" s="341">
        <v>3</v>
      </c>
      <c r="C20" s="348" t="s">
        <v>67</v>
      </c>
      <c r="D20" s="84">
        <v>2500</v>
      </c>
      <c r="E20" s="85">
        <v>2390</v>
      </c>
      <c r="F20" s="410">
        <f>SUM(D20:D26)</f>
        <v>7200</v>
      </c>
      <c r="G20" s="86">
        <f>100+100</f>
        <v>200</v>
      </c>
      <c r="H20" s="84"/>
      <c r="I20" s="84"/>
      <c r="J20" s="87"/>
      <c r="K20" s="88"/>
      <c r="L20" s="89"/>
      <c r="M20" s="70"/>
      <c r="N20" s="70"/>
      <c r="O20" s="70"/>
      <c r="P20" s="70"/>
      <c r="Q20" s="70"/>
      <c r="R20" s="70"/>
      <c r="S20" s="90">
        <f t="shared" si="4"/>
        <v>200</v>
      </c>
      <c r="Y20" s="91">
        <f t="shared" si="5"/>
        <v>2300</v>
      </c>
      <c r="Z20" s="92"/>
      <c r="AB20" s="91">
        <f t="shared" si="6"/>
        <v>2300</v>
      </c>
      <c r="AD20" s="92">
        <v>-300</v>
      </c>
    </row>
    <row r="21" spans="2:30" ht="15" customHeight="1">
      <c r="B21" s="342"/>
      <c r="C21" s="349"/>
      <c r="D21" s="61">
        <f>800-300</f>
        <v>500</v>
      </c>
      <c r="E21" s="53">
        <v>2264</v>
      </c>
      <c r="F21" s="411"/>
      <c r="G21" s="60"/>
      <c r="H21" s="61"/>
      <c r="I21" s="61"/>
      <c r="J21" s="51"/>
      <c r="K21" s="52"/>
      <c r="L21" s="93"/>
      <c r="M21" s="54"/>
      <c r="N21" s="54"/>
      <c r="O21" s="54"/>
      <c r="P21" s="54"/>
      <c r="Q21" s="54"/>
      <c r="R21" s="54"/>
      <c r="S21" s="55">
        <f t="shared" si="4"/>
        <v>0</v>
      </c>
      <c r="Y21" s="62">
        <f t="shared" si="5"/>
        <v>500</v>
      </c>
      <c r="Z21" s="57"/>
      <c r="AB21" s="62">
        <f t="shared" si="6"/>
        <v>500</v>
      </c>
      <c r="AD21" s="57">
        <v>-100</v>
      </c>
    </row>
    <row r="22" spans="2:30" ht="11.25">
      <c r="B22" s="342"/>
      <c r="C22" s="349"/>
      <c r="D22" s="61">
        <v>200</v>
      </c>
      <c r="E22" s="53">
        <v>2239</v>
      </c>
      <c r="F22" s="411"/>
      <c r="G22" s="60"/>
      <c r="H22" s="61"/>
      <c r="I22" s="61"/>
      <c r="J22" s="51"/>
      <c r="K22" s="52"/>
      <c r="L22" s="93"/>
      <c r="M22" s="54"/>
      <c r="N22" s="54"/>
      <c r="O22" s="54"/>
      <c r="P22" s="54"/>
      <c r="Q22" s="54"/>
      <c r="R22" s="54"/>
      <c r="S22" s="55">
        <f t="shared" si="4"/>
        <v>0</v>
      </c>
      <c r="Y22" s="62">
        <f t="shared" si="5"/>
        <v>200</v>
      </c>
      <c r="Z22" s="57"/>
      <c r="AB22" s="62">
        <f t="shared" si="6"/>
        <v>200</v>
      </c>
      <c r="AD22" s="57">
        <v>-100</v>
      </c>
    </row>
    <row r="23" spans="2:41" ht="12.75" customHeight="1" hidden="1">
      <c r="B23" s="342"/>
      <c r="C23" s="349"/>
      <c r="D23" s="61">
        <v>0</v>
      </c>
      <c r="E23" s="53"/>
      <c r="F23" s="411"/>
      <c r="G23" s="60"/>
      <c r="H23" s="61"/>
      <c r="I23" s="61"/>
      <c r="J23" s="51"/>
      <c r="K23" s="52"/>
      <c r="L23" s="93"/>
      <c r="M23" s="54"/>
      <c r="N23" s="54"/>
      <c r="O23" s="54"/>
      <c r="P23" s="54"/>
      <c r="Q23" s="54"/>
      <c r="R23" s="54"/>
      <c r="S23" s="55">
        <f t="shared" si="4"/>
        <v>0</v>
      </c>
      <c r="Y23" s="62">
        <f t="shared" si="5"/>
        <v>0</v>
      </c>
      <c r="Z23" s="57"/>
      <c r="AB23" s="62">
        <f t="shared" si="6"/>
        <v>0</v>
      </c>
      <c r="AD23" s="57"/>
      <c r="AF23" s="18"/>
      <c r="AG23" s="18"/>
      <c r="AH23" s="26"/>
      <c r="AI23" s="28"/>
      <c r="AJ23" s="21"/>
      <c r="AK23" s="21"/>
      <c r="AL23" s="21">
        <f>AJ23-AK23</f>
        <v>0</v>
      </c>
      <c r="AM23" s="407"/>
      <c r="AN23" s="407"/>
      <c r="AO23" s="407"/>
    </row>
    <row r="24" spans="2:30" ht="12.75" customHeight="1" hidden="1">
      <c r="B24" s="342"/>
      <c r="C24" s="349"/>
      <c r="D24" s="61">
        <v>0</v>
      </c>
      <c r="E24" s="53"/>
      <c r="F24" s="411"/>
      <c r="G24" s="60"/>
      <c r="H24" s="61"/>
      <c r="I24" s="61"/>
      <c r="J24" s="51"/>
      <c r="K24" s="52"/>
      <c r="L24" s="93"/>
      <c r="M24" s="54"/>
      <c r="N24" s="54"/>
      <c r="O24" s="54"/>
      <c r="P24" s="54"/>
      <c r="Q24" s="54"/>
      <c r="R24" s="54"/>
      <c r="S24" s="55">
        <f t="shared" si="4"/>
        <v>0</v>
      </c>
      <c r="Y24" s="62">
        <f t="shared" si="5"/>
        <v>0</v>
      </c>
      <c r="Z24" s="57"/>
      <c r="AB24" s="62">
        <f t="shared" si="6"/>
        <v>0</v>
      </c>
      <c r="AD24" s="57"/>
    </row>
    <row r="25" spans="2:30" ht="11.25">
      <c r="B25" s="342"/>
      <c r="C25" s="349"/>
      <c r="D25" s="61">
        <v>3500</v>
      </c>
      <c r="E25" s="53">
        <v>2231</v>
      </c>
      <c r="F25" s="411"/>
      <c r="G25" s="60"/>
      <c r="H25" s="61"/>
      <c r="I25" s="61"/>
      <c r="J25" s="51"/>
      <c r="K25" s="52"/>
      <c r="L25" s="93"/>
      <c r="M25" s="54"/>
      <c r="N25" s="54"/>
      <c r="O25" s="54"/>
      <c r="P25" s="54"/>
      <c r="Q25" s="54"/>
      <c r="R25" s="54"/>
      <c r="S25" s="55">
        <f t="shared" si="4"/>
        <v>0</v>
      </c>
      <c r="Y25" s="62">
        <f t="shared" si="5"/>
        <v>3500</v>
      </c>
      <c r="Z25" s="57"/>
      <c r="AB25" s="62">
        <f t="shared" si="6"/>
        <v>3500</v>
      </c>
      <c r="AD25" s="57">
        <v>-3500</v>
      </c>
    </row>
    <row r="26" spans="2:30" ht="12" thickBot="1">
      <c r="B26" s="343"/>
      <c r="C26" s="350"/>
      <c r="D26" s="71">
        <v>500</v>
      </c>
      <c r="E26" s="72">
        <v>2261</v>
      </c>
      <c r="F26" s="412"/>
      <c r="G26" s="73"/>
      <c r="H26" s="71"/>
      <c r="I26" s="71"/>
      <c r="J26" s="74"/>
      <c r="K26" s="75"/>
      <c r="L26" s="94"/>
      <c r="M26" s="77"/>
      <c r="N26" s="77"/>
      <c r="O26" s="77"/>
      <c r="P26" s="77"/>
      <c r="Q26" s="77"/>
      <c r="R26" s="77"/>
      <c r="S26" s="78">
        <f t="shared" si="4"/>
        <v>0</v>
      </c>
      <c r="Y26" s="79">
        <f t="shared" si="5"/>
        <v>500</v>
      </c>
      <c r="Z26" s="80"/>
      <c r="AB26" s="79">
        <f t="shared" si="6"/>
        <v>500</v>
      </c>
      <c r="AC26" s="81"/>
      <c r="AD26" s="80">
        <v>-500</v>
      </c>
    </row>
    <row r="27" spans="2:31" ht="11.25">
      <c r="B27" s="82">
        <v>4</v>
      </c>
      <c r="C27" s="83" t="s">
        <v>70</v>
      </c>
      <c r="D27" s="84">
        <v>2500</v>
      </c>
      <c r="E27" s="85">
        <v>2279</v>
      </c>
      <c r="F27" s="86">
        <f>D27</f>
        <v>2500</v>
      </c>
      <c r="G27" s="86"/>
      <c r="H27" s="84"/>
      <c r="I27" s="84"/>
      <c r="J27" s="87"/>
      <c r="K27" s="88"/>
      <c r="L27" s="89"/>
      <c r="M27" s="70">
        <v>1250</v>
      </c>
      <c r="N27" s="70"/>
      <c r="O27" s="70"/>
      <c r="P27" s="70"/>
      <c r="Q27" s="70"/>
      <c r="R27" s="70"/>
      <c r="S27" s="90">
        <f t="shared" si="4"/>
        <v>1250</v>
      </c>
      <c r="Y27" s="91">
        <f t="shared" si="5"/>
        <v>1250</v>
      </c>
      <c r="Z27" s="92">
        <f>2500-S27</f>
        <v>1250</v>
      </c>
      <c r="AB27" s="91">
        <f t="shared" si="6"/>
        <v>0</v>
      </c>
      <c r="AD27" s="92"/>
      <c r="AE27" s="39" t="s">
        <v>71</v>
      </c>
    </row>
    <row r="28" spans="2:30" ht="22.5" customHeight="1" hidden="1">
      <c r="B28" s="41"/>
      <c r="C28" s="47" t="s">
        <v>72</v>
      </c>
      <c r="D28" s="60">
        <v>0</v>
      </c>
      <c r="E28" s="53"/>
      <c r="F28" s="60">
        <f>D28</f>
        <v>0</v>
      </c>
      <c r="G28" s="60"/>
      <c r="H28" s="61"/>
      <c r="I28" s="61"/>
      <c r="J28" s="51"/>
      <c r="K28" s="52"/>
      <c r="L28" s="95"/>
      <c r="M28" s="54"/>
      <c r="N28" s="54"/>
      <c r="O28" s="54"/>
      <c r="P28" s="54"/>
      <c r="Q28" s="54"/>
      <c r="R28" s="54"/>
      <c r="S28" s="55">
        <f t="shared" si="4"/>
        <v>0</v>
      </c>
      <c r="Y28" s="56">
        <f t="shared" si="5"/>
        <v>0</v>
      </c>
      <c r="Z28" s="57"/>
      <c r="AB28" s="58">
        <f t="shared" si="6"/>
        <v>0</v>
      </c>
      <c r="AD28" s="57"/>
    </row>
    <row r="29" spans="2:30" ht="12">
      <c r="B29" s="304">
        <v>6</v>
      </c>
      <c r="C29" s="199" t="s">
        <v>73</v>
      </c>
      <c r="D29" s="306">
        <f>SUM(D30:D47)</f>
        <v>5260</v>
      </c>
      <c r="E29" s="199"/>
      <c r="F29" s="306">
        <f>SUM(F30:F47)</f>
        <v>5260</v>
      </c>
      <c r="G29" s="306">
        <f aca="true" t="shared" si="7" ref="G29:S29">SUM(G30:G47)</f>
        <v>0</v>
      </c>
      <c r="H29" s="306">
        <f t="shared" si="7"/>
        <v>190.24</v>
      </c>
      <c r="I29" s="306">
        <f t="shared" si="7"/>
        <v>0</v>
      </c>
      <c r="J29" s="306">
        <f t="shared" si="7"/>
        <v>0</v>
      </c>
      <c r="K29" s="306">
        <f t="shared" si="7"/>
        <v>377.2</v>
      </c>
      <c r="L29" s="306">
        <f t="shared" si="7"/>
        <v>2308.92</v>
      </c>
      <c r="M29" s="306">
        <f t="shared" si="7"/>
        <v>1032.31</v>
      </c>
      <c r="N29" s="306">
        <f t="shared" si="7"/>
        <v>0</v>
      </c>
      <c r="O29" s="306">
        <f t="shared" si="7"/>
        <v>0</v>
      </c>
      <c r="P29" s="306">
        <f t="shared" si="7"/>
        <v>0</v>
      </c>
      <c r="Q29" s="306">
        <f t="shared" si="7"/>
        <v>0</v>
      </c>
      <c r="R29" s="306">
        <f t="shared" si="7"/>
        <v>0</v>
      </c>
      <c r="S29" s="306">
        <f t="shared" si="7"/>
        <v>3908.67</v>
      </c>
      <c r="T29" s="34"/>
      <c r="U29" s="34"/>
      <c r="V29" s="34"/>
      <c r="W29" s="34"/>
      <c r="X29" s="34"/>
      <c r="Y29" s="307">
        <f>SUM(Y30:Y47)</f>
        <v>1351.3300000000002</v>
      </c>
      <c r="Z29" s="307">
        <f>SUM(Z30:Z47)</f>
        <v>870.97</v>
      </c>
      <c r="AA29" s="177"/>
      <c r="AB29" s="307">
        <f>SUM(AB30:AB47)</f>
        <v>480.36</v>
      </c>
      <c r="AC29" s="307">
        <f>SUM(AC30:AC47)</f>
        <v>0</v>
      </c>
      <c r="AD29" s="307">
        <f>SUM(AD30:AD47)</f>
        <v>19</v>
      </c>
    </row>
    <row r="30" spans="2:30" ht="11.25" hidden="1">
      <c r="B30" s="379">
        <v>6.1</v>
      </c>
      <c r="C30" s="370" t="s">
        <v>74</v>
      </c>
      <c r="D30" s="60">
        <f>900-900</f>
        <v>0</v>
      </c>
      <c r="E30" s="53">
        <v>2231</v>
      </c>
      <c r="F30" s="358">
        <f>SUM(D30:D38)</f>
        <v>3530</v>
      </c>
      <c r="G30" s="99"/>
      <c r="H30" s="100"/>
      <c r="I30" s="100"/>
      <c r="J30" s="51"/>
      <c r="K30" s="52"/>
      <c r="L30" s="93"/>
      <c r="M30" s="54"/>
      <c r="N30" s="54"/>
      <c r="O30" s="54"/>
      <c r="P30" s="54"/>
      <c r="Q30" s="54"/>
      <c r="R30" s="54"/>
      <c r="S30" s="55">
        <f aca="true" t="shared" si="8" ref="S30:S47">SUM(G30:R30)</f>
        <v>0</v>
      </c>
      <c r="Y30" s="56">
        <f aca="true" t="shared" si="9" ref="Y30:Y47">D30-S30</f>
        <v>0</v>
      </c>
      <c r="Z30" s="58"/>
      <c r="AB30" s="58">
        <f aca="true" t="shared" si="10" ref="AB30:AB47">D30-S30-Z30</f>
        <v>0</v>
      </c>
      <c r="AD30" s="58"/>
    </row>
    <row r="31" spans="2:31" ht="12">
      <c r="B31" s="379"/>
      <c r="C31" s="370"/>
      <c r="D31" s="61">
        <f>2150</f>
        <v>2150</v>
      </c>
      <c r="E31" s="53">
        <v>2279</v>
      </c>
      <c r="F31" s="358"/>
      <c r="G31" s="99"/>
      <c r="H31" s="100"/>
      <c r="I31" s="100"/>
      <c r="J31" s="51"/>
      <c r="K31" s="52"/>
      <c r="L31" s="93">
        <f>1075</f>
        <v>1075</v>
      </c>
      <c r="M31" s="64">
        <v>537.5</v>
      </c>
      <c r="N31" s="54"/>
      <c r="O31" s="54"/>
      <c r="P31" s="54"/>
      <c r="Q31" s="54"/>
      <c r="R31" s="54"/>
      <c r="S31" s="55">
        <f>SUM(G31:R31)</f>
        <v>1612.5</v>
      </c>
      <c r="Y31" s="62">
        <f>D31-S31</f>
        <v>537.5</v>
      </c>
      <c r="Z31" s="58">
        <f>2150-S31</f>
        <v>537.5</v>
      </c>
      <c r="AB31" s="62">
        <f>D31-S31-Z31</f>
        <v>0</v>
      </c>
      <c r="AD31" s="58"/>
      <c r="AE31" s="39" t="s">
        <v>75</v>
      </c>
    </row>
    <row r="32" spans="2:30" ht="12">
      <c r="B32" s="379"/>
      <c r="C32" s="370"/>
      <c r="D32" s="61">
        <f>1200-330-870</f>
        <v>0</v>
      </c>
      <c r="E32" s="53">
        <v>2390</v>
      </c>
      <c r="F32" s="358"/>
      <c r="G32" s="99"/>
      <c r="H32" s="100"/>
      <c r="I32" s="100"/>
      <c r="J32" s="51"/>
      <c r="K32" s="52"/>
      <c r="L32" s="101"/>
      <c r="M32" s="101">
        <f>194.81</f>
        <v>194.81</v>
      </c>
      <c r="N32" s="54"/>
      <c r="O32" s="54"/>
      <c r="P32" s="54"/>
      <c r="Q32" s="54"/>
      <c r="R32" s="54"/>
      <c r="S32" s="55">
        <f t="shared" si="8"/>
        <v>194.81</v>
      </c>
      <c r="Y32" s="62">
        <f t="shared" si="9"/>
        <v>-194.81</v>
      </c>
      <c r="Z32" s="58"/>
      <c r="AB32" s="62">
        <f t="shared" si="10"/>
        <v>-194.81</v>
      </c>
      <c r="AD32" s="58">
        <v>195</v>
      </c>
    </row>
    <row r="33" spans="2:30" ht="12">
      <c r="B33" s="379"/>
      <c r="C33" s="370"/>
      <c r="D33" s="61">
        <v>300</v>
      </c>
      <c r="E33" s="53">
        <v>2264</v>
      </c>
      <c r="F33" s="358"/>
      <c r="G33" s="99"/>
      <c r="H33" s="100"/>
      <c r="I33" s="100"/>
      <c r="J33" s="51"/>
      <c r="K33" s="52"/>
      <c r="L33" s="93"/>
      <c r="M33" s="93">
        <f>300</f>
        <v>300</v>
      </c>
      <c r="N33" s="54"/>
      <c r="O33" s="54"/>
      <c r="P33" s="54"/>
      <c r="Q33" s="54"/>
      <c r="R33" s="54"/>
      <c r="S33" s="55">
        <f t="shared" si="8"/>
        <v>300</v>
      </c>
      <c r="Y33" s="62">
        <f t="shared" si="9"/>
        <v>0</v>
      </c>
      <c r="Z33" s="58"/>
      <c r="AB33" s="62">
        <f t="shared" si="10"/>
        <v>0</v>
      </c>
      <c r="AD33" s="58"/>
    </row>
    <row r="34" spans="2:30" ht="12.75" customHeight="1">
      <c r="B34" s="379"/>
      <c r="C34" s="370"/>
      <c r="D34" s="61">
        <v>200</v>
      </c>
      <c r="E34" s="53">
        <v>2239</v>
      </c>
      <c r="F34" s="358"/>
      <c r="G34" s="99"/>
      <c r="H34" s="100"/>
      <c r="I34" s="100"/>
      <c r="J34" s="51"/>
      <c r="K34" s="52"/>
      <c r="L34" s="93"/>
      <c r="M34" s="54"/>
      <c r="N34" s="54"/>
      <c r="O34" s="54"/>
      <c r="P34" s="54"/>
      <c r="Q34" s="54"/>
      <c r="R34" s="54"/>
      <c r="S34" s="55">
        <f t="shared" si="8"/>
        <v>0</v>
      </c>
      <c r="Y34" s="62">
        <f t="shared" si="9"/>
        <v>200</v>
      </c>
      <c r="Z34" s="58"/>
      <c r="AB34" s="62">
        <f t="shared" si="10"/>
        <v>200</v>
      </c>
      <c r="AD34" s="58">
        <v>-200</v>
      </c>
    </row>
    <row r="35" spans="2:30" ht="12.75" customHeight="1">
      <c r="B35" s="379"/>
      <c r="C35" s="370"/>
      <c r="D35" s="61">
        <v>0</v>
      </c>
      <c r="E35" s="53">
        <v>2223</v>
      </c>
      <c r="F35" s="358"/>
      <c r="G35" s="99"/>
      <c r="H35" s="100"/>
      <c r="I35" s="100"/>
      <c r="J35" s="51"/>
      <c r="K35" s="52"/>
      <c r="L35" s="93"/>
      <c r="M35" s="54"/>
      <c r="N35" s="54"/>
      <c r="O35" s="54"/>
      <c r="P35" s="54"/>
      <c r="Q35" s="54"/>
      <c r="R35" s="54"/>
      <c r="S35" s="55">
        <f t="shared" si="8"/>
        <v>0</v>
      </c>
      <c r="Y35" s="62">
        <f t="shared" si="9"/>
        <v>0</v>
      </c>
      <c r="Z35" s="58"/>
      <c r="AB35" s="62">
        <f t="shared" si="10"/>
        <v>0</v>
      </c>
      <c r="AD35" s="58">
        <v>500</v>
      </c>
    </row>
    <row r="36" spans="2:30" ht="12.75" customHeight="1" hidden="1">
      <c r="B36" s="379"/>
      <c r="C36" s="370"/>
      <c r="D36" s="61">
        <v>0</v>
      </c>
      <c r="E36" s="53">
        <v>2341</v>
      </c>
      <c r="F36" s="358"/>
      <c r="G36" s="99"/>
      <c r="H36" s="100"/>
      <c r="I36" s="100"/>
      <c r="J36" s="51"/>
      <c r="K36" s="52"/>
      <c r="L36" s="93"/>
      <c r="M36" s="54"/>
      <c r="N36" s="54"/>
      <c r="O36" s="54"/>
      <c r="P36" s="54"/>
      <c r="Q36" s="54"/>
      <c r="R36" s="54"/>
      <c r="S36" s="55">
        <f t="shared" si="8"/>
        <v>0</v>
      </c>
      <c r="Y36" s="62">
        <f t="shared" si="9"/>
        <v>0</v>
      </c>
      <c r="Z36" s="58"/>
      <c r="AB36" s="62">
        <f t="shared" si="10"/>
        <v>0</v>
      </c>
      <c r="AD36" s="58"/>
    </row>
    <row r="37" spans="2:30" ht="12.75" customHeight="1" hidden="1">
      <c r="B37" s="379"/>
      <c r="C37" s="370"/>
      <c r="D37" s="61">
        <f>50-50</f>
        <v>0</v>
      </c>
      <c r="E37" s="53">
        <v>2352</v>
      </c>
      <c r="F37" s="358"/>
      <c r="G37" s="99"/>
      <c r="H37" s="100"/>
      <c r="I37" s="100"/>
      <c r="J37" s="51"/>
      <c r="K37" s="52"/>
      <c r="L37" s="93"/>
      <c r="M37" s="54"/>
      <c r="N37" s="54"/>
      <c r="O37" s="54"/>
      <c r="P37" s="54"/>
      <c r="Q37" s="54"/>
      <c r="R37" s="54"/>
      <c r="S37" s="55">
        <f t="shared" si="8"/>
        <v>0</v>
      </c>
      <c r="Y37" s="62">
        <f t="shared" si="9"/>
        <v>0</v>
      </c>
      <c r="Z37" s="58"/>
      <c r="AB37" s="62">
        <f t="shared" si="10"/>
        <v>0</v>
      </c>
      <c r="AD37" s="58"/>
    </row>
    <row r="38" spans="2:30" ht="13.5" customHeight="1" thickBot="1">
      <c r="B38" s="375"/>
      <c r="C38" s="371"/>
      <c r="D38" s="71">
        <v>880</v>
      </c>
      <c r="E38" s="72">
        <v>2262</v>
      </c>
      <c r="F38" s="359"/>
      <c r="G38" s="103"/>
      <c r="H38" s="104"/>
      <c r="I38" s="104"/>
      <c r="J38" s="74"/>
      <c r="K38" s="75"/>
      <c r="L38" s="76">
        <f>546.53</f>
        <v>546.53</v>
      </c>
      <c r="M38" s="77"/>
      <c r="N38" s="77"/>
      <c r="O38" s="77"/>
      <c r="P38" s="77"/>
      <c r="Q38" s="77"/>
      <c r="R38" s="77"/>
      <c r="S38" s="78">
        <f t="shared" si="8"/>
        <v>546.53</v>
      </c>
      <c r="Y38" s="79">
        <f t="shared" si="9"/>
        <v>333.47</v>
      </c>
      <c r="Z38" s="105">
        <f>880-S38</f>
        <v>333.47</v>
      </c>
      <c r="AB38" s="79">
        <f t="shared" si="10"/>
        <v>0</v>
      </c>
      <c r="AC38" s="81"/>
      <c r="AD38" s="105"/>
    </row>
    <row r="39" spans="2:30" ht="22.5" customHeight="1" hidden="1">
      <c r="B39" s="106"/>
      <c r="C39" s="107" t="s">
        <v>76</v>
      </c>
      <c r="D39" s="84">
        <v>0</v>
      </c>
      <c r="E39" s="85">
        <v>2231</v>
      </c>
      <c r="F39" s="108">
        <v>0</v>
      </c>
      <c r="G39" s="108"/>
      <c r="H39" s="109"/>
      <c r="I39" s="109"/>
      <c r="J39" s="87"/>
      <c r="K39" s="88"/>
      <c r="L39" s="89"/>
      <c r="M39" s="70"/>
      <c r="N39" s="70"/>
      <c r="O39" s="70"/>
      <c r="P39" s="70"/>
      <c r="Q39" s="70"/>
      <c r="R39" s="70"/>
      <c r="S39" s="90">
        <f t="shared" si="8"/>
        <v>0</v>
      </c>
      <c r="Y39" s="91">
        <f t="shared" si="9"/>
        <v>0</v>
      </c>
      <c r="Z39" s="110"/>
      <c r="AB39" s="91">
        <f t="shared" si="10"/>
        <v>0</v>
      </c>
      <c r="AD39" s="110"/>
    </row>
    <row r="40" spans="2:30" ht="12">
      <c r="B40" s="379">
        <v>6.3</v>
      </c>
      <c r="C40" s="389" t="s">
        <v>77</v>
      </c>
      <c r="D40" s="61">
        <f>150-5+85</f>
        <v>230</v>
      </c>
      <c r="E40" s="53">
        <v>2390</v>
      </c>
      <c r="F40" s="408">
        <f>SUM(D40:D41)</f>
        <v>230</v>
      </c>
      <c r="G40" s="112"/>
      <c r="H40" s="113"/>
      <c r="I40" s="113"/>
      <c r="J40" s="51"/>
      <c r="K40" s="52">
        <f>207.35+22.46</f>
        <v>229.81</v>
      </c>
      <c r="L40" s="93"/>
      <c r="M40" s="54"/>
      <c r="N40" s="54"/>
      <c r="O40" s="54"/>
      <c r="P40" s="54"/>
      <c r="Q40" s="54"/>
      <c r="R40" s="54"/>
      <c r="S40" s="55">
        <f t="shared" si="8"/>
        <v>229.81</v>
      </c>
      <c r="Y40" s="62">
        <f t="shared" si="9"/>
        <v>0.18999999999999773</v>
      </c>
      <c r="Z40" s="58"/>
      <c r="AB40" s="114">
        <f t="shared" si="10"/>
        <v>0.18999999999999773</v>
      </c>
      <c r="AD40" s="58"/>
    </row>
    <row r="41" spans="2:30" ht="12.75" thickBot="1">
      <c r="B41" s="375"/>
      <c r="C41" s="353"/>
      <c r="D41" s="71">
        <f>100-10-90</f>
        <v>0</v>
      </c>
      <c r="E41" s="72">
        <v>2231</v>
      </c>
      <c r="F41" s="409"/>
      <c r="G41" s="115"/>
      <c r="H41" s="116"/>
      <c r="I41" s="116"/>
      <c r="J41" s="74"/>
      <c r="K41" s="75"/>
      <c r="L41" s="94"/>
      <c r="M41" s="77"/>
      <c r="N41" s="77"/>
      <c r="O41" s="77"/>
      <c r="P41" s="77"/>
      <c r="Q41" s="77"/>
      <c r="R41" s="77"/>
      <c r="S41" s="78">
        <f t="shared" si="8"/>
        <v>0</v>
      </c>
      <c r="Y41" s="79">
        <f t="shared" si="9"/>
        <v>0</v>
      </c>
      <c r="Z41" s="105"/>
      <c r="AB41" s="117">
        <f t="shared" si="10"/>
        <v>0</v>
      </c>
      <c r="AC41" s="81"/>
      <c r="AD41" s="105"/>
    </row>
    <row r="42" spans="2:30" ht="12">
      <c r="B42" s="374">
        <v>6.4</v>
      </c>
      <c r="C42" s="388" t="s">
        <v>78</v>
      </c>
      <c r="D42" s="84">
        <v>200</v>
      </c>
      <c r="E42" s="85">
        <v>2231</v>
      </c>
      <c r="F42" s="413">
        <f>D42+D43</f>
        <v>500</v>
      </c>
      <c r="G42" s="118"/>
      <c r="H42" s="119"/>
      <c r="I42" s="119"/>
      <c r="J42" s="87"/>
      <c r="K42" s="88"/>
      <c r="L42" s="89"/>
      <c r="M42" s="70"/>
      <c r="N42" s="70"/>
      <c r="O42" s="70"/>
      <c r="P42" s="70"/>
      <c r="Q42" s="70"/>
      <c r="R42" s="70"/>
      <c r="S42" s="90">
        <f t="shared" si="8"/>
        <v>0</v>
      </c>
      <c r="Y42" s="91">
        <f t="shared" si="9"/>
        <v>200</v>
      </c>
      <c r="Z42" s="110"/>
      <c r="AB42" s="91">
        <f t="shared" si="10"/>
        <v>200</v>
      </c>
      <c r="AD42" s="110">
        <v>-200</v>
      </c>
    </row>
    <row r="43" spans="2:30" ht="13.5" customHeight="1" thickBot="1">
      <c r="B43" s="375"/>
      <c r="C43" s="353"/>
      <c r="D43" s="71">
        <v>300</v>
      </c>
      <c r="E43" s="72">
        <v>2390</v>
      </c>
      <c r="F43" s="409"/>
      <c r="G43" s="115"/>
      <c r="H43" s="116"/>
      <c r="I43" s="116"/>
      <c r="J43" s="74"/>
      <c r="K43" s="120">
        <f>93.87+3.1+50.42</f>
        <v>147.39</v>
      </c>
      <c r="L43" s="94"/>
      <c r="M43" s="77"/>
      <c r="N43" s="77"/>
      <c r="O43" s="77"/>
      <c r="P43" s="77"/>
      <c r="Q43" s="77"/>
      <c r="R43" s="77"/>
      <c r="S43" s="78">
        <f t="shared" si="8"/>
        <v>147.39</v>
      </c>
      <c r="Y43" s="79">
        <f t="shared" si="9"/>
        <v>152.61</v>
      </c>
      <c r="Z43" s="105"/>
      <c r="AB43" s="79">
        <f t="shared" si="10"/>
        <v>152.61</v>
      </c>
      <c r="AC43" s="81"/>
      <c r="AD43" s="105">
        <v>-153</v>
      </c>
    </row>
    <row r="44" spans="2:30" ht="12">
      <c r="B44" s="374">
        <v>6.5</v>
      </c>
      <c r="C44" s="388" t="s">
        <v>79</v>
      </c>
      <c r="D44" s="84">
        <f>400-110+410</f>
        <v>700</v>
      </c>
      <c r="E44" s="85">
        <v>2390</v>
      </c>
      <c r="F44" s="413">
        <f>SUM(D44:D45)</f>
        <v>700</v>
      </c>
      <c r="G44" s="118"/>
      <c r="H44" s="119"/>
      <c r="I44" s="119"/>
      <c r="J44" s="87"/>
      <c r="K44" s="88"/>
      <c r="L44" s="121">
        <f>668.88+18.51</f>
        <v>687.39</v>
      </c>
      <c r="M44" s="70"/>
      <c r="N44" s="70"/>
      <c r="O44" s="70"/>
      <c r="P44" s="70"/>
      <c r="Q44" s="70"/>
      <c r="R44" s="70"/>
      <c r="S44" s="90">
        <f t="shared" si="8"/>
        <v>687.39</v>
      </c>
      <c r="Y44" s="91">
        <f t="shared" si="9"/>
        <v>12.610000000000014</v>
      </c>
      <c r="Z44" s="91"/>
      <c r="AB44" s="91">
        <f t="shared" si="10"/>
        <v>12.610000000000014</v>
      </c>
      <c r="AD44" s="91">
        <v>-13</v>
      </c>
    </row>
    <row r="45" spans="2:30" ht="12" hidden="1" thickBot="1">
      <c r="B45" s="375"/>
      <c r="C45" s="353"/>
      <c r="D45" s="71">
        <f>300-70-230</f>
        <v>0</v>
      </c>
      <c r="E45" s="72">
        <v>2279</v>
      </c>
      <c r="F45" s="409"/>
      <c r="G45" s="115"/>
      <c r="H45" s="116"/>
      <c r="I45" s="116"/>
      <c r="J45" s="74"/>
      <c r="K45" s="75"/>
      <c r="L45" s="94"/>
      <c r="M45" s="77"/>
      <c r="N45" s="77"/>
      <c r="O45" s="77"/>
      <c r="P45" s="77"/>
      <c r="Q45" s="77"/>
      <c r="R45" s="77"/>
      <c r="S45" s="78">
        <f t="shared" si="8"/>
        <v>0</v>
      </c>
      <c r="Y45" s="79">
        <f t="shared" si="9"/>
        <v>0</v>
      </c>
      <c r="Z45" s="105"/>
      <c r="AB45" s="79">
        <f t="shared" si="10"/>
        <v>0</v>
      </c>
      <c r="AC45" s="81"/>
      <c r="AD45" s="105"/>
    </row>
    <row r="46" spans="2:30" ht="24.75" customHeight="1">
      <c r="B46" s="374">
        <v>6.6</v>
      </c>
      <c r="C46" s="332" t="s">
        <v>80</v>
      </c>
      <c r="D46" s="122">
        <v>300</v>
      </c>
      <c r="E46" s="122">
        <v>2390</v>
      </c>
      <c r="F46" s="413">
        <f>SUM(D46:D47)</f>
        <v>300</v>
      </c>
      <c r="G46" s="118"/>
      <c r="H46" s="119">
        <v>190.24</v>
      </c>
      <c r="I46" s="119"/>
      <c r="J46" s="87"/>
      <c r="K46" s="88"/>
      <c r="L46" s="70"/>
      <c r="M46" s="70"/>
      <c r="N46" s="70"/>
      <c r="O46" s="70"/>
      <c r="P46" s="70"/>
      <c r="Q46" s="70"/>
      <c r="R46" s="70"/>
      <c r="S46" s="90">
        <f t="shared" si="8"/>
        <v>190.24</v>
      </c>
      <c r="Y46" s="91">
        <f t="shared" si="9"/>
        <v>109.75999999999999</v>
      </c>
      <c r="Z46" s="110"/>
      <c r="AB46" s="91">
        <f t="shared" si="10"/>
        <v>109.75999999999999</v>
      </c>
      <c r="AD46" s="110">
        <v>-110</v>
      </c>
    </row>
    <row r="47" spans="2:30" ht="12.75" customHeight="1" hidden="1">
      <c r="B47" s="379"/>
      <c r="C47" s="333"/>
      <c r="D47" s="123"/>
      <c r="E47" s="124">
        <v>2279</v>
      </c>
      <c r="F47" s="408"/>
      <c r="G47" s="112"/>
      <c r="H47" s="113"/>
      <c r="I47" s="113"/>
      <c r="J47" s="51"/>
      <c r="K47" s="52"/>
      <c r="L47" s="54"/>
      <c r="M47" s="54"/>
      <c r="N47" s="54"/>
      <c r="O47" s="54"/>
      <c r="P47" s="54"/>
      <c r="Q47" s="54"/>
      <c r="R47" s="54"/>
      <c r="S47" s="55">
        <f t="shared" si="8"/>
        <v>0</v>
      </c>
      <c r="Y47" s="56">
        <f t="shared" si="9"/>
        <v>0</v>
      </c>
      <c r="Z47" s="58"/>
      <c r="AB47" s="58">
        <f t="shared" si="10"/>
        <v>0</v>
      </c>
      <c r="AD47" s="58"/>
    </row>
    <row r="48" spans="2:30" ht="12">
      <c r="B48" s="304">
        <v>7</v>
      </c>
      <c r="C48" s="199" t="s">
        <v>81</v>
      </c>
      <c r="D48" s="214">
        <f>SUM(D49:D60)</f>
        <v>2100</v>
      </c>
      <c r="E48" s="199"/>
      <c r="F48" s="214">
        <f aca="true" t="shared" si="11" ref="F48:S48">SUM(F49:F60)</f>
        <v>2100</v>
      </c>
      <c r="G48" s="214">
        <f t="shared" si="11"/>
        <v>0</v>
      </c>
      <c r="H48" s="214">
        <f t="shared" si="11"/>
        <v>0</v>
      </c>
      <c r="I48" s="214">
        <f t="shared" si="11"/>
        <v>0</v>
      </c>
      <c r="J48" s="214">
        <f t="shared" si="11"/>
        <v>0</v>
      </c>
      <c r="K48" s="214">
        <f t="shared" si="11"/>
        <v>290</v>
      </c>
      <c r="L48" s="214">
        <f t="shared" si="11"/>
        <v>0</v>
      </c>
      <c r="M48" s="214">
        <f t="shared" si="11"/>
        <v>830.4</v>
      </c>
      <c r="N48" s="214">
        <f t="shared" si="11"/>
        <v>100</v>
      </c>
      <c r="O48" s="214">
        <f t="shared" si="11"/>
        <v>0</v>
      </c>
      <c r="P48" s="214">
        <f t="shared" si="11"/>
        <v>0</v>
      </c>
      <c r="Q48" s="214">
        <f t="shared" si="11"/>
        <v>0</v>
      </c>
      <c r="R48" s="214">
        <f t="shared" si="11"/>
        <v>0</v>
      </c>
      <c r="S48" s="214">
        <f t="shared" si="11"/>
        <v>1220.4</v>
      </c>
      <c r="T48" s="34"/>
      <c r="U48" s="34"/>
      <c r="V48" s="34"/>
      <c r="W48" s="34"/>
      <c r="X48" s="34"/>
      <c r="Y48" s="308">
        <f>SUM(Y49:Y60)</f>
        <v>879.6</v>
      </c>
      <c r="Z48" s="308">
        <f>SUM(Z49:Z60)</f>
        <v>349.99</v>
      </c>
      <c r="AA48" s="177"/>
      <c r="AB48" s="308">
        <f>SUM(AB49:AB60)</f>
        <v>529.61</v>
      </c>
      <c r="AC48" s="308">
        <f>SUM(AC49:AC60)</f>
        <v>0</v>
      </c>
      <c r="AD48" s="308">
        <f>SUM(AD49:AD60)</f>
        <v>-70</v>
      </c>
    </row>
    <row r="49" spans="2:30" ht="12">
      <c r="B49" s="379">
        <v>7.1</v>
      </c>
      <c r="C49" s="324" t="s">
        <v>82</v>
      </c>
      <c r="D49" s="60">
        <v>100</v>
      </c>
      <c r="E49" s="53">
        <v>2231</v>
      </c>
      <c r="F49" s="358">
        <f>SUM(D49:D53)</f>
        <v>1000</v>
      </c>
      <c r="G49" s="99"/>
      <c r="H49" s="100"/>
      <c r="I49" s="100"/>
      <c r="J49" s="51"/>
      <c r="K49" s="52"/>
      <c r="L49" s="93"/>
      <c r="M49" s="54">
        <v>100</v>
      </c>
      <c r="N49" s="54"/>
      <c r="O49" s="54"/>
      <c r="P49" s="54"/>
      <c r="Q49" s="54"/>
      <c r="R49" s="54"/>
      <c r="S49" s="55">
        <f aca="true" t="shared" si="12" ref="S49:S60">SUM(G49:R49)</f>
        <v>100</v>
      </c>
      <c r="Y49" s="62">
        <f aca="true" t="shared" si="13" ref="Y49:Y60">D49-S49</f>
        <v>0</v>
      </c>
      <c r="Z49" s="58">
        <f>100-S49</f>
        <v>0</v>
      </c>
      <c r="AB49" s="62">
        <f aca="true" t="shared" si="14" ref="AB49:AB60">D49-S49-Z49</f>
        <v>0</v>
      </c>
      <c r="AD49" s="58"/>
    </row>
    <row r="50" spans="2:30" ht="12.75" customHeight="1">
      <c r="B50" s="379"/>
      <c r="C50" s="324"/>
      <c r="D50" s="61">
        <v>200</v>
      </c>
      <c r="E50" s="53">
        <v>2390</v>
      </c>
      <c r="F50" s="358"/>
      <c r="G50" s="99"/>
      <c r="H50" s="100"/>
      <c r="I50" s="100"/>
      <c r="J50" s="51"/>
      <c r="K50" s="52"/>
      <c r="L50" s="93"/>
      <c r="M50" s="54"/>
      <c r="N50" s="54"/>
      <c r="O50" s="54"/>
      <c r="P50" s="54"/>
      <c r="Q50" s="54"/>
      <c r="R50" s="54"/>
      <c r="S50" s="55">
        <f t="shared" si="12"/>
        <v>0</v>
      </c>
      <c r="Y50" s="62">
        <f t="shared" si="13"/>
        <v>200</v>
      </c>
      <c r="Z50" s="58">
        <f>200-S50</f>
        <v>200</v>
      </c>
      <c r="AB50" s="62">
        <f t="shared" si="14"/>
        <v>0</v>
      </c>
      <c r="AD50" s="58"/>
    </row>
    <row r="51" spans="2:30" ht="12.75" customHeight="1">
      <c r="B51" s="379"/>
      <c r="C51" s="324"/>
      <c r="D51" s="61">
        <v>100</v>
      </c>
      <c r="E51" s="53">
        <v>2264</v>
      </c>
      <c r="F51" s="358"/>
      <c r="G51" s="99"/>
      <c r="H51" s="100"/>
      <c r="I51" s="100"/>
      <c r="J51" s="51"/>
      <c r="K51" s="52"/>
      <c r="L51" s="93"/>
      <c r="M51" s="54"/>
      <c r="N51" s="54">
        <v>100</v>
      </c>
      <c r="O51" s="54"/>
      <c r="P51" s="54"/>
      <c r="Q51" s="54"/>
      <c r="R51" s="54"/>
      <c r="S51" s="55">
        <f t="shared" si="12"/>
        <v>100</v>
      </c>
      <c r="Y51" s="62">
        <f t="shared" si="13"/>
        <v>0</v>
      </c>
      <c r="Z51" s="58">
        <f>100-S51</f>
        <v>0</v>
      </c>
      <c r="AB51" s="62">
        <f t="shared" si="14"/>
        <v>0</v>
      </c>
      <c r="AD51" s="58"/>
    </row>
    <row r="52" spans="2:30" ht="12.75" customHeight="1">
      <c r="B52" s="379"/>
      <c r="C52" s="324"/>
      <c r="D52" s="61">
        <v>150</v>
      </c>
      <c r="E52" s="53">
        <v>2239</v>
      </c>
      <c r="F52" s="358"/>
      <c r="G52" s="99"/>
      <c r="H52" s="100"/>
      <c r="I52" s="100"/>
      <c r="J52" s="51"/>
      <c r="K52" s="52"/>
      <c r="L52" s="93"/>
      <c r="M52" s="54"/>
      <c r="N52" s="54"/>
      <c r="O52" s="54"/>
      <c r="P52" s="54"/>
      <c r="Q52" s="54"/>
      <c r="R52" s="54"/>
      <c r="S52" s="55">
        <f t="shared" si="12"/>
        <v>0</v>
      </c>
      <c r="Y52" s="62">
        <f t="shared" si="13"/>
        <v>150</v>
      </c>
      <c r="Z52" s="58">
        <f>149.99-S52</f>
        <v>149.99</v>
      </c>
      <c r="AB52" s="62">
        <f t="shared" si="14"/>
        <v>0.009999999999990905</v>
      </c>
      <c r="AD52" s="58"/>
    </row>
    <row r="53" spans="2:30" ht="13.5" customHeight="1" thickBot="1">
      <c r="B53" s="375"/>
      <c r="C53" s="325"/>
      <c r="D53" s="71">
        <f>550-100</f>
        <v>450</v>
      </c>
      <c r="E53" s="72">
        <v>2262</v>
      </c>
      <c r="F53" s="359"/>
      <c r="G53" s="103"/>
      <c r="H53" s="104"/>
      <c r="I53" s="104"/>
      <c r="J53" s="74"/>
      <c r="K53" s="75"/>
      <c r="L53" s="94"/>
      <c r="M53" s="127">
        <v>290.4</v>
      </c>
      <c r="N53" s="77"/>
      <c r="O53" s="77"/>
      <c r="P53" s="77"/>
      <c r="Q53" s="77"/>
      <c r="R53" s="77"/>
      <c r="S53" s="78">
        <f t="shared" si="12"/>
        <v>290.4</v>
      </c>
      <c r="Y53" s="79">
        <f>D53-S53</f>
        <v>159.60000000000002</v>
      </c>
      <c r="Z53" s="105">
        <f>290.4-S53</f>
        <v>0</v>
      </c>
      <c r="AB53" s="79">
        <f t="shared" si="14"/>
        <v>159.60000000000002</v>
      </c>
      <c r="AC53" s="81"/>
      <c r="AD53" s="105"/>
    </row>
    <row r="54" spans="2:30" ht="12.75" customHeight="1" hidden="1">
      <c r="B54" s="374">
        <v>5.2</v>
      </c>
      <c r="C54" s="328" t="s">
        <v>83</v>
      </c>
      <c r="D54" s="84">
        <v>0</v>
      </c>
      <c r="E54" s="85"/>
      <c r="F54" s="357">
        <f>D54+D55+D56</f>
        <v>0</v>
      </c>
      <c r="G54" s="108"/>
      <c r="H54" s="109"/>
      <c r="I54" s="109"/>
      <c r="J54" s="87"/>
      <c r="K54" s="88"/>
      <c r="L54" s="89"/>
      <c r="M54" s="70"/>
      <c r="N54" s="70"/>
      <c r="O54" s="70"/>
      <c r="P54" s="70"/>
      <c r="Q54" s="70"/>
      <c r="R54" s="70"/>
      <c r="S54" s="90">
        <f t="shared" si="12"/>
        <v>0</v>
      </c>
      <c r="Y54" s="91">
        <f t="shared" si="13"/>
        <v>0</v>
      </c>
      <c r="Z54" s="110"/>
      <c r="AB54" s="91">
        <f t="shared" si="14"/>
        <v>0</v>
      </c>
      <c r="AD54" s="110"/>
    </row>
    <row r="55" spans="2:30" ht="12.75" customHeight="1" hidden="1">
      <c r="B55" s="379"/>
      <c r="C55" s="324"/>
      <c r="D55" s="61">
        <v>0</v>
      </c>
      <c r="E55" s="53"/>
      <c r="F55" s="358"/>
      <c r="G55" s="99"/>
      <c r="H55" s="100"/>
      <c r="I55" s="100"/>
      <c r="J55" s="51"/>
      <c r="K55" s="52"/>
      <c r="L55" s="93"/>
      <c r="M55" s="54"/>
      <c r="N55" s="54"/>
      <c r="O55" s="54"/>
      <c r="P55" s="54"/>
      <c r="Q55" s="54"/>
      <c r="R55" s="54"/>
      <c r="S55" s="55">
        <f t="shared" si="12"/>
        <v>0</v>
      </c>
      <c r="Y55" s="62">
        <f t="shared" si="13"/>
        <v>0</v>
      </c>
      <c r="Z55" s="58"/>
      <c r="AB55" s="62">
        <f t="shared" si="14"/>
        <v>0</v>
      </c>
      <c r="AD55" s="58"/>
    </row>
    <row r="56" spans="2:30" ht="12.75" customHeight="1" hidden="1">
      <c r="B56" s="379"/>
      <c r="C56" s="324"/>
      <c r="D56" s="61">
        <v>0</v>
      </c>
      <c r="E56" s="53"/>
      <c r="F56" s="358"/>
      <c r="G56" s="99"/>
      <c r="H56" s="100"/>
      <c r="I56" s="100"/>
      <c r="J56" s="51"/>
      <c r="K56" s="52"/>
      <c r="L56" s="93"/>
      <c r="M56" s="54"/>
      <c r="N56" s="54"/>
      <c r="O56" s="54"/>
      <c r="P56" s="54"/>
      <c r="Q56" s="54"/>
      <c r="R56" s="54"/>
      <c r="S56" s="55">
        <f t="shared" si="12"/>
        <v>0</v>
      </c>
      <c r="Y56" s="62">
        <f t="shared" si="13"/>
        <v>0</v>
      </c>
      <c r="Z56" s="58"/>
      <c r="AB56" s="62">
        <f t="shared" si="14"/>
        <v>0</v>
      </c>
      <c r="AD56" s="58"/>
    </row>
    <row r="57" spans="2:30" ht="11.25" customHeight="1">
      <c r="B57" s="379">
        <v>7.3</v>
      </c>
      <c r="C57" s="324" t="s">
        <v>84</v>
      </c>
      <c r="D57" s="61">
        <v>210</v>
      </c>
      <c r="E57" s="53">
        <v>2231</v>
      </c>
      <c r="F57" s="358">
        <f>SUM(D57:D60)</f>
        <v>1100</v>
      </c>
      <c r="G57" s="99"/>
      <c r="H57" s="100"/>
      <c r="I57" s="100"/>
      <c r="J57" s="51"/>
      <c r="K57" s="52">
        <f>60</f>
        <v>60</v>
      </c>
      <c r="L57" s="93"/>
      <c r="M57" s="54">
        <f>80</f>
        <v>80</v>
      </c>
      <c r="N57" s="54"/>
      <c r="O57" s="54"/>
      <c r="P57" s="54"/>
      <c r="Q57" s="54"/>
      <c r="R57" s="54"/>
      <c r="S57" s="55">
        <f t="shared" si="12"/>
        <v>140</v>
      </c>
      <c r="Y57" s="62">
        <f t="shared" si="13"/>
        <v>70</v>
      </c>
      <c r="Z57" s="58"/>
      <c r="AB57" s="62">
        <f t="shared" si="14"/>
        <v>70</v>
      </c>
      <c r="AD57" s="58">
        <v>-70</v>
      </c>
    </row>
    <row r="58" spans="2:30" ht="12">
      <c r="B58" s="379"/>
      <c r="C58" s="324"/>
      <c r="D58" s="61">
        <v>540</v>
      </c>
      <c r="E58" s="53">
        <v>2390</v>
      </c>
      <c r="F58" s="358"/>
      <c r="G58" s="99"/>
      <c r="H58" s="100"/>
      <c r="I58" s="100"/>
      <c r="J58" s="51"/>
      <c r="K58" s="52">
        <v>180</v>
      </c>
      <c r="L58" s="93"/>
      <c r="M58" s="54">
        <f>140+140</f>
        <v>280</v>
      </c>
      <c r="N58" s="54"/>
      <c r="O58" s="54"/>
      <c r="P58" s="54"/>
      <c r="Q58" s="54"/>
      <c r="R58" s="54"/>
      <c r="S58" s="55">
        <f t="shared" si="12"/>
        <v>460</v>
      </c>
      <c r="Y58" s="62">
        <f t="shared" si="13"/>
        <v>80</v>
      </c>
      <c r="Z58" s="58"/>
      <c r="AB58" s="62">
        <f t="shared" si="14"/>
        <v>80</v>
      </c>
      <c r="AD58" s="58"/>
    </row>
    <row r="59" spans="2:30" ht="12">
      <c r="B59" s="379"/>
      <c r="C59" s="324"/>
      <c r="D59" s="61">
        <v>210</v>
      </c>
      <c r="E59" s="53">
        <v>2264</v>
      </c>
      <c r="F59" s="358"/>
      <c r="G59" s="99"/>
      <c r="H59" s="100"/>
      <c r="I59" s="100"/>
      <c r="J59" s="51"/>
      <c r="K59" s="52">
        <v>50</v>
      </c>
      <c r="L59" s="93"/>
      <c r="M59" s="54">
        <v>80</v>
      </c>
      <c r="N59" s="54"/>
      <c r="O59" s="54"/>
      <c r="P59" s="54"/>
      <c r="Q59" s="54"/>
      <c r="R59" s="54"/>
      <c r="S59" s="55">
        <f t="shared" si="12"/>
        <v>130</v>
      </c>
      <c r="Y59" s="62">
        <f t="shared" si="13"/>
        <v>80</v>
      </c>
      <c r="Z59" s="58"/>
      <c r="AB59" s="62">
        <f t="shared" si="14"/>
        <v>80</v>
      </c>
      <c r="AD59" s="58"/>
    </row>
    <row r="60" spans="2:30" ht="12">
      <c r="B60" s="379"/>
      <c r="C60" s="324"/>
      <c r="D60" s="61">
        <f>180-40</f>
        <v>140</v>
      </c>
      <c r="E60" s="53">
        <v>2239</v>
      </c>
      <c r="F60" s="358"/>
      <c r="G60" s="99"/>
      <c r="H60" s="100"/>
      <c r="I60" s="100"/>
      <c r="J60" s="51"/>
      <c r="K60" s="52"/>
      <c r="L60" s="93"/>
      <c r="M60" s="54"/>
      <c r="N60" s="54"/>
      <c r="O60" s="54"/>
      <c r="P60" s="54"/>
      <c r="Q60" s="54"/>
      <c r="R60" s="54"/>
      <c r="S60" s="55">
        <f t="shared" si="12"/>
        <v>0</v>
      </c>
      <c r="Y60" s="62">
        <f t="shared" si="13"/>
        <v>140</v>
      </c>
      <c r="Z60" s="58"/>
      <c r="AB60" s="58">
        <f t="shared" si="14"/>
        <v>140</v>
      </c>
      <c r="AD60" s="58"/>
    </row>
    <row r="61" spans="2:30" ht="12">
      <c r="B61" s="304">
        <v>8</v>
      </c>
      <c r="C61" s="199" t="s">
        <v>85</v>
      </c>
      <c r="D61" s="214">
        <f>SUM(D62:D63)</f>
        <v>29450</v>
      </c>
      <c r="E61" s="199"/>
      <c r="F61" s="214">
        <f aca="true" t="shared" si="15" ref="F61:AD61">SUM(F62:F63)</f>
        <v>29450</v>
      </c>
      <c r="G61" s="214">
        <f t="shared" si="15"/>
        <v>0</v>
      </c>
      <c r="H61" s="214">
        <f t="shared" si="15"/>
        <v>0</v>
      </c>
      <c r="I61" s="214">
        <f t="shared" si="15"/>
        <v>0</v>
      </c>
      <c r="J61" s="214">
        <f t="shared" si="15"/>
        <v>14725</v>
      </c>
      <c r="K61" s="214">
        <f t="shared" si="15"/>
        <v>0</v>
      </c>
      <c r="L61" s="214">
        <f t="shared" si="15"/>
        <v>0</v>
      </c>
      <c r="M61" s="214">
        <f t="shared" si="15"/>
        <v>11875</v>
      </c>
      <c r="N61" s="214">
        <f t="shared" si="15"/>
        <v>0</v>
      </c>
      <c r="O61" s="214">
        <f t="shared" si="15"/>
        <v>0</v>
      </c>
      <c r="P61" s="214">
        <f t="shared" si="15"/>
        <v>0</v>
      </c>
      <c r="Q61" s="214">
        <f t="shared" si="15"/>
        <v>0</v>
      </c>
      <c r="R61" s="214">
        <f t="shared" si="15"/>
        <v>0</v>
      </c>
      <c r="S61" s="214">
        <f t="shared" si="15"/>
        <v>26600</v>
      </c>
      <c r="T61" s="214">
        <f t="shared" si="15"/>
        <v>0</v>
      </c>
      <c r="U61" s="214">
        <f t="shared" si="15"/>
        <v>0</v>
      </c>
      <c r="V61" s="214">
        <f t="shared" si="15"/>
        <v>0</v>
      </c>
      <c r="W61" s="214">
        <f t="shared" si="15"/>
        <v>0</v>
      </c>
      <c r="X61" s="214">
        <f t="shared" si="15"/>
        <v>0</v>
      </c>
      <c r="Y61" s="308">
        <f t="shared" si="15"/>
        <v>2850</v>
      </c>
      <c r="Z61" s="308">
        <f t="shared" si="15"/>
        <v>2850</v>
      </c>
      <c r="AA61" s="308">
        <f t="shared" si="15"/>
        <v>0</v>
      </c>
      <c r="AB61" s="308">
        <f t="shared" si="15"/>
        <v>0</v>
      </c>
      <c r="AC61" s="308">
        <f t="shared" si="15"/>
        <v>0</v>
      </c>
      <c r="AD61" s="308">
        <f t="shared" si="15"/>
        <v>0</v>
      </c>
    </row>
    <row r="62" spans="2:30" ht="15" customHeight="1">
      <c r="B62" s="97">
        <v>8.1</v>
      </c>
      <c r="C62" s="125" t="s">
        <v>86</v>
      </c>
      <c r="D62" s="60">
        <v>23750</v>
      </c>
      <c r="E62" s="53">
        <v>2279</v>
      </c>
      <c r="F62" s="99">
        <f>D62</f>
        <v>23750</v>
      </c>
      <c r="G62" s="99"/>
      <c r="H62" s="100"/>
      <c r="I62" s="100"/>
      <c r="J62" s="51">
        <f>11875</f>
        <v>11875</v>
      </c>
      <c r="K62" s="52"/>
      <c r="L62" s="93"/>
      <c r="M62" s="93">
        <f>11875</f>
        <v>11875</v>
      </c>
      <c r="N62" s="54"/>
      <c r="O62" s="54"/>
      <c r="P62" s="54"/>
      <c r="Q62" s="54"/>
      <c r="R62" s="54"/>
      <c r="S62" s="55">
        <f>SUM(G62:R62)</f>
        <v>23750</v>
      </c>
      <c r="Y62" s="62">
        <f>D62-S62</f>
        <v>0</v>
      </c>
      <c r="Z62" s="129">
        <f>23750-S62</f>
        <v>0</v>
      </c>
      <c r="AB62" s="58">
        <f>D62-S62-Z62</f>
        <v>0</v>
      </c>
      <c r="AD62" s="129"/>
    </row>
    <row r="63" spans="2:30" ht="24">
      <c r="B63" s="97">
        <v>8.2</v>
      </c>
      <c r="C63" s="125" t="s">
        <v>87</v>
      </c>
      <c r="D63" s="60">
        <v>5700</v>
      </c>
      <c r="E63" s="53">
        <v>2279</v>
      </c>
      <c r="F63" s="99">
        <f>D63</f>
        <v>5700</v>
      </c>
      <c r="G63" s="99"/>
      <c r="H63" s="100"/>
      <c r="I63" s="100"/>
      <c r="J63" s="51">
        <f>2850</f>
        <v>2850</v>
      </c>
      <c r="K63" s="52"/>
      <c r="L63" s="93"/>
      <c r="M63" s="54"/>
      <c r="N63" s="54"/>
      <c r="O63" s="54"/>
      <c r="P63" s="54"/>
      <c r="Q63" s="54"/>
      <c r="R63" s="54"/>
      <c r="S63" s="55">
        <f>SUM(G63:R63)</f>
        <v>2850</v>
      </c>
      <c r="Y63" s="62">
        <f>D63-S63</f>
        <v>2850</v>
      </c>
      <c r="Z63" s="58">
        <f>5700-S63</f>
        <v>2850</v>
      </c>
      <c r="AB63" s="58">
        <f>D63-S63-Z63</f>
        <v>0</v>
      </c>
      <c r="AD63" s="58"/>
    </row>
    <row r="64" spans="2:30" ht="12">
      <c r="B64" s="304">
        <v>9</v>
      </c>
      <c r="C64" s="199" t="s">
        <v>88</v>
      </c>
      <c r="D64" s="214">
        <f>SUM(D65:D74)</f>
        <v>5833</v>
      </c>
      <c r="E64" s="199"/>
      <c r="F64" s="214">
        <f aca="true" t="shared" si="16" ref="F64:S64">SUM(F65:F74)</f>
        <v>5833</v>
      </c>
      <c r="G64" s="214">
        <f t="shared" si="16"/>
        <v>0</v>
      </c>
      <c r="H64" s="214">
        <f t="shared" si="16"/>
        <v>0</v>
      </c>
      <c r="I64" s="214">
        <f t="shared" si="16"/>
        <v>0</v>
      </c>
      <c r="J64" s="214">
        <f t="shared" si="16"/>
        <v>140</v>
      </c>
      <c r="K64" s="214">
        <f t="shared" si="16"/>
        <v>0</v>
      </c>
      <c r="L64" s="214">
        <f t="shared" si="16"/>
        <v>0</v>
      </c>
      <c r="M64" s="214">
        <f t="shared" si="16"/>
        <v>0</v>
      </c>
      <c r="N64" s="214">
        <f t="shared" si="16"/>
        <v>0</v>
      </c>
      <c r="O64" s="214">
        <f t="shared" si="16"/>
        <v>0</v>
      </c>
      <c r="P64" s="214">
        <f t="shared" si="16"/>
        <v>0</v>
      </c>
      <c r="Q64" s="214">
        <f t="shared" si="16"/>
        <v>0</v>
      </c>
      <c r="R64" s="214">
        <f t="shared" si="16"/>
        <v>0</v>
      </c>
      <c r="S64" s="214">
        <f t="shared" si="16"/>
        <v>140</v>
      </c>
      <c r="T64" s="34"/>
      <c r="U64" s="34"/>
      <c r="V64" s="34"/>
      <c r="W64" s="34"/>
      <c r="X64" s="34"/>
      <c r="Y64" s="308">
        <f>SUM(Y65:Y74)</f>
        <v>5693</v>
      </c>
      <c r="Z64" s="308">
        <f>SUM(Z65:Z74)</f>
        <v>0</v>
      </c>
      <c r="AA64" s="177"/>
      <c r="AB64" s="308">
        <f>SUM(AB65:AB74)</f>
        <v>5693</v>
      </c>
      <c r="AC64" s="308">
        <f>SUM(AC65:AC74)</f>
        <v>0</v>
      </c>
      <c r="AD64" s="308">
        <f>SUM(AD65:AD74)</f>
        <v>-3993</v>
      </c>
    </row>
    <row r="65" spans="2:30" ht="33" customHeight="1" thickBot="1">
      <c r="B65" s="130">
        <v>9.1</v>
      </c>
      <c r="C65" s="131" t="s">
        <v>89</v>
      </c>
      <c r="D65" s="132">
        <v>240</v>
      </c>
      <c r="E65" s="133">
        <v>2390</v>
      </c>
      <c r="F65" s="134">
        <f>D65</f>
        <v>240</v>
      </c>
      <c r="G65" s="134"/>
      <c r="H65" s="135"/>
      <c r="I65" s="135"/>
      <c r="J65" s="136">
        <f>140</f>
        <v>140</v>
      </c>
      <c r="K65" s="137"/>
      <c r="L65" s="138"/>
      <c r="M65" s="139"/>
      <c r="N65" s="139"/>
      <c r="O65" s="139"/>
      <c r="P65" s="139"/>
      <c r="Q65" s="139"/>
      <c r="R65" s="139"/>
      <c r="S65" s="140">
        <f aca="true" t="shared" si="17" ref="S65:S74">SUM(G65:R65)</f>
        <v>140</v>
      </c>
      <c r="Y65" s="141">
        <f aca="true" t="shared" si="18" ref="Y65:Y74">D65-S65</f>
        <v>100</v>
      </c>
      <c r="Z65" s="142"/>
      <c r="AB65" s="65">
        <f aca="true" t="shared" si="19" ref="AB65:AB74">D65-S65-Z65</f>
        <v>100</v>
      </c>
      <c r="AC65" s="36"/>
      <c r="AD65" s="142">
        <v>-100</v>
      </c>
    </row>
    <row r="66" spans="2:30" ht="12.75" thickBot="1">
      <c r="B66" s="143">
        <v>9.2</v>
      </c>
      <c r="C66" s="144" t="s">
        <v>90</v>
      </c>
      <c r="D66" s="145">
        <f>140-20</f>
        <v>120</v>
      </c>
      <c r="E66" s="146">
        <v>2231</v>
      </c>
      <c r="F66" s="147">
        <f>D66</f>
        <v>120</v>
      </c>
      <c r="G66" s="147"/>
      <c r="H66" s="148"/>
      <c r="I66" s="148"/>
      <c r="J66" s="149"/>
      <c r="K66" s="150"/>
      <c r="L66" s="151"/>
      <c r="M66" s="152"/>
      <c r="N66" s="152"/>
      <c r="O66" s="152"/>
      <c r="P66" s="152"/>
      <c r="Q66" s="152"/>
      <c r="R66" s="152"/>
      <c r="S66" s="153">
        <f t="shared" si="17"/>
        <v>0</v>
      </c>
      <c r="T66" s="152"/>
      <c r="U66" s="152"/>
      <c r="V66" s="152"/>
      <c r="W66" s="152"/>
      <c r="X66" s="152"/>
      <c r="Y66" s="154">
        <f t="shared" si="18"/>
        <v>120</v>
      </c>
      <c r="Z66" s="155"/>
      <c r="AA66" s="156"/>
      <c r="AB66" s="157">
        <f t="shared" si="19"/>
        <v>120</v>
      </c>
      <c r="AC66" s="152"/>
      <c r="AD66" s="155">
        <v>-120</v>
      </c>
    </row>
    <row r="67" spans="2:30" ht="12.75" thickBot="1">
      <c r="B67" s="385">
        <v>9.3</v>
      </c>
      <c r="C67" s="402" t="s">
        <v>92</v>
      </c>
      <c r="D67" s="84">
        <f>270-100-100</f>
        <v>70</v>
      </c>
      <c r="E67" s="85">
        <v>2390</v>
      </c>
      <c r="F67" s="362">
        <f>SUM(D67:D69)</f>
        <v>1695</v>
      </c>
      <c r="G67" s="158"/>
      <c r="H67" s="159"/>
      <c r="I67" s="109"/>
      <c r="J67" s="87"/>
      <c r="K67" s="88"/>
      <c r="L67" s="89"/>
      <c r="M67" s="70"/>
      <c r="N67" s="70"/>
      <c r="O67" s="70"/>
      <c r="P67" s="70"/>
      <c r="Q67" s="70"/>
      <c r="R67" s="70"/>
      <c r="S67" s="90">
        <f t="shared" si="17"/>
        <v>0</v>
      </c>
      <c r="Y67" s="91">
        <f t="shared" si="18"/>
        <v>70</v>
      </c>
      <c r="Z67" s="160"/>
      <c r="AB67" s="68">
        <f t="shared" si="19"/>
        <v>70</v>
      </c>
      <c r="AC67" s="81"/>
      <c r="AD67" s="160">
        <v>-70</v>
      </c>
    </row>
    <row r="68" spans="2:30" ht="12.75" thickBot="1">
      <c r="B68" s="385"/>
      <c r="C68" s="402"/>
      <c r="D68" s="61">
        <v>1425</v>
      </c>
      <c r="E68" s="161">
        <v>2261</v>
      </c>
      <c r="F68" s="362"/>
      <c r="G68" s="134"/>
      <c r="H68" s="135"/>
      <c r="I68" s="159"/>
      <c r="J68" s="51"/>
      <c r="K68" s="52"/>
      <c r="L68" s="93"/>
      <c r="M68" s="54"/>
      <c r="N68" s="54"/>
      <c r="O68" s="54"/>
      <c r="P68" s="54"/>
      <c r="Q68" s="54"/>
      <c r="R68" s="54"/>
      <c r="S68" s="55">
        <f t="shared" si="17"/>
        <v>0</v>
      </c>
      <c r="Y68" s="62">
        <f t="shared" si="18"/>
        <v>1425</v>
      </c>
      <c r="Z68" s="142"/>
      <c r="AB68" s="162">
        <f t="shared" si="19"/>
        <v>1425</v>
      </c>
      <c r="AC68" s="163"/>
      <c r="AD68" s="142">
        <v>-1425</v>
      </c>
    </row>
    <row r="69" spans="2:30" ht="12.75" thickBot="1">
      <c r="B69" s="386"/>
      <c r="C69" s="403"/>
      <c r="D69" s="164">
        <v>200</v>
      </c>
      <c r="E69" s="72">
        <v>2262</v>
      </c>
      <c r="F69" s="405"/>
      <c r="G69" s="103"/>
      <c r="H69" s="104"/>
      <c r="I69" s="104"/>
      <c r="J69" s="165"/>
      <c r="K69" s="166"/>
      <c r="L69" s="167"/>
      <c r="M69" s="168"/>
      <c r="N69" s="168"/>
      <c r="O69" s="168"/>
      <c r="P69" s="168"/>
      <c r="Q69" s="168"/>
      <c r="R69" s="168"/>
      <c r="S69" s="78">
        <f t="shared" si="17"/>
        <v>0</v>
      </c>
      <c r="Y69" s="169">
        <f t="shared" si="18"/>
        <v>200</v>
      </c>
      <c r="Z69" s="105"/>
      <c r="AB69" s="170">
        <f t="shared" si="19"/>
        <v>200</v>
      </c>
      <c r="AC69" s="163"/>
      <c r="AD69" s="105">
        <v>-200</v>
      </c>
    </row>
    <row r="70" spans="2:30" ht="12">
      <c r="B70" s="374">
        <v>9.4</v>
      </c>
      <c r="C70" s="328" t="s">
        <v>93</v>
      </c>
      <c r="D70" s="84">
        <v>1425</v>
      </c>
      <c r="E70" s="85">
        <v>2261</v>
      </c>
      <c r="F70" s="357">
        <f>SUM(D70:D74)</f>
        <v>3778</v>
      </c>
      <c r="G70" s="108"/>
      <c r="H70" s="109"/>
      <c r="I70" s="109"/>
      <c r="J70" s="87"/>
      <c r="K70" s="88"/>
      <c r="L70" s="89"/>
      <c r="M70" s="70"/>
      <c r="N70" s="70"/>
      <c r="O70" s="70"/>
      <c r="P70" s="70"/>
      <c r="Q70" s="70"/>
      <c r="R70" s="70"/>
      <c r="S70" s="90">
        <f t="shared" si="17"/>
        <v>0</v>
      </c>
      <c r="Y70" s="91">
        <f t="shared" si="18"/>
        <v>1425</v>
      </c>
      <c r="Z70" s="110"/>
      <c r="AB70" s="68">
        <f t="shared" si="19"/>
        <v>1425</v>
      </c>
      <c r="AD70" s="110">
        <v>-925</v>
      </c>
    </row>
    <row r="71" spans="2:30" ht="12">
      <c r="B71" s="379"/>
      <c r="C71" s="324"/>
      <c r="D71" s="61">
        <v>200</v>
      </c>
      <c r="E71" s="53">
        <v>2264</v>
      </c>
      <c r="F71" s="358"/>
      <c r="G71" s="99"/>
      <c r="H71" s="100"/>
      <c r="I71" s="100"/>
      <c r="J71" s="51"/>
      <c r="K71" s="52"/>
      <c r="L71" s="93"/>
      <c r="M71" s="54"/>
      <c r="N71" s="54"/>
      <c r="O71" s="54"/>
      <c r="P71" s="54"/>
      <c r="Q71" s="54"/>
      <c r="R71" s="54"/>
      <c r="S71" s="55">
        <f t="shared" si="17"/>
        <v>0</v>
      </c>
      <c r="Y71" s="62">
        <f t="shared" si="18"/>
        <v>200</v>
      </c>
      <c r="Z71" s="58"/>
      <c r="AB71" s="171">
        <f t="shared" si="19"/>
        <v>200</v>
      </c>
      <c r="AD71" s="58">
        <v>-100</v>
      </c>
    </row>
    <row r="72" spans="2:30" ht="12">
      <c r="B72" s="379"/>
      <c r="C72" s="324"/>
      <c r="D72" s="61">
        <v>538</v>
      </c>
      <c r="E72" s="53">
        <v>2231</v>
      </c>
      <c r="F72" s="358"/>
      <c r="G72" s="99"/>
      <c r="H72" s="100"/>
      <c r="I72" s="100"/>
      <c r="J72" s="51"/>
      <c r="K72" s="52"/>
      <c r="L72" s="93"/>
      <c r="M72" s="54"/>
      <c r="N72" s="54"/>
      <c r="O72" s="54"/>
      <c r="P72" s="54"/>
      <c r="Q72" s="54"/>
      <c r="R72" s="54"/>
      <c r="S72" s="55">
        <f t="shared" si="17"/>
        <v>0</v>
      </c>
      <c r="Y72" s="62">
        <f t="shared" si="18"/>
        <v>538</v>
      </c>
      <c r="Z72" s="58"/>
      <c r="AB72" s="171">
        <f t="shared" si="19"/>
        <v>538</v>
      </c>
      <c r="AD72" s="58">
        <v>-238</v>
      </c>
    </row>
    <row r="73" spans="2:30" ht="12">
      <c r="B73" s="379"/>
      <c r="C73" s="324"/>
      <c r="D73" s="61">
        <v>403</v>
      </c>
      <c r="E73" s="53">
        <v>2262</v>
      </c>
      <c r="F73" s="358"/>
      <c r="G73" s="99"/>
      <c r="H73" s="100"/>
      <c r="I73" s="100"/>
      <c r="J73" s="51"/>
      <c r="K73" s="52"/>
      <c r="L73" s="93"/>
      <c r="M73" s="54"/>
      <c r="N73" s="54"/>
      <c r="O73" s="54"/>
      <c r="P73" s="54"/>
      <c r="Q73" s="54"/>
      <c r="R73" s="54"/>
      <c r="S73" s="55">
        <f t="shared" si="17"/>
        <v>0</v>
      </c>
      <c r="Y73" s="62">
        <f t="shared" si="18"/>
        <v>403</v>
      </c>
      <c r="Z73" s="58"/>
      <c r="AB73" s="171">
        <f t="shared" si="19"/>
        <v>403</v>
      </c>
      <c r="AD73" s="58">
        <v>-103</v>
      </c>
    </row>
    <row r="74" spans="2:30" ht="12">
      <c r="B74" s="379"/>
      <c r="C74" s="324"/>
      <c r="D74" s="61">
        <v>1212</v>
      </c>
      <c r="E74" s="53">
        <v>2390</v>
      </c>
      <c r="F74" s="358"/>
      <c r="G74" s="99"/>
      <c r="H74" s="100"/>
      <c r="I74" s="100"/>
      <c r="J74" s="51"/>
      <c r="K74" s="52"/>
      <c r="L74" s="93"/>
      <c r="M74" s="54"/>
      <c r="N74" s="54"/>
      <c r="O74" s="54"/>
      <c r="P74" s="54"/>
      <c r="Q74" s="54"/>
      <c r="R74" s="54"/>
      <c r="S74" s="55">
        <f t="shared" si="17"/>
        <v>0</v>
      </c>
      <c r="Y74" s="62">
        <f t="shared" si="18"/>
        <v>1212</v>
      </c>
      <c r="Z74" s="58"/>
      <c r="AB74" s="171">
        <f t="shared" si="19"/>
        <v>1212</v>
      </c>
      <c r="AD74" s="58">
        <v>-712</v>
      </c>
    </row>
    <row r="75" spans="2:30" ht="12">
      <c r="B75" s="304">
        <v>10</v>
      </c>
      <c r="C75" s="199" t="s">
        <v>94</v>
      </c>
      <c r="D75" s="214">
        <f>SUM(D76:D89)</f>
        <v>2167</v>
      </c>
      <c r="E75" s="199"/>
      <c r="F75" s="214">
        <f aca="true" t="shared" si="20" ref="F75:S75">SUM(F76:F89)</f>
        <v>2167</v>
      </c>
      <c r="G75" s="214">
        <f t="shared" si="20"/>
        <v>0</v>
      </c>
      <c r="H75" s="214">
        <f t="shared" si="20"/>
        <v>0</v>
      </c>
      <c r="I75" s="214">
        <f t="shared" si="20"/>
        <v>0</v>
      </c>
      <c r="J75" s="214">
        <f t="shared" si="20"/>
        <v>338.22</v>
      </c>
      <c r="K75" s="214">
        <f t="shared" si="20"/>
        <v>48.36</v>
      </c>
      <c r="L75" s="214">
        <f t="shared" si="20"/>
        <v>100</v>
      </c>
      <c r="M75" s="214">
        <f t="shared" si="20"/>
        <v>170</v>
      </c>
      <c r="N75" s="214">
        <f t="shared" si="20"/>
        <v>0</v>
      </c>
      <c r="O75" s="214">
        <f t="shared" si="20"/>
        <v>0</v>
      </c>
      <c r="P75" s="214">
        <f t="shared" si="20"/>
        <v>0</v>
      </c>
      <c r="Q75" s="214">
        <f t="shared" si="20"/>
        <v>0</v>
      </c>
      <c r="R75" s="214">
        <f t="shared" si="20"/>
        <v>0</v>
      </c>
      <c r="S75" s="214">
        <f t="shared" si="20"/>
        <v>656.5799999999999</v>
      </c>
      <c r="T75" s="34"/>
      <c r="U75" s="34"/>
      <c r="V75" s="34"/>
      <c r="W75" s="34"/>
      <c r="X75" s="34"/>
      <c r="Y75" s="308">
        <f>SUM(Y76:Y89)</f>
        <v>1510.42</v>
      </c>
      <c r="Z75" s="308">
        <f>SUM(Z76:Z89)</f>
        <v>0</v>
      </c>
      <c r="AA75" s="177"/>
      <c r="AB75" s="308">
        <f>SUM(AB76:AB89)</f>
        <v>1510.42</v>
      </c>
      <c r="AC75" s="308">
        <f>SUM(AC76:AC89)</f>
        <v>0</v>
      </c>
      <c r="AD75" s="308">
        <f>SUM(AD76:AD89)</f>
        <v>-430</v>
      </c>
    </row>
    <row r="76" spans="2:30" ht="12">
      <c r="B76" s="379">
        <v>10.1</v>
      </c>
      <c r="C76" s="324" t="s">
        <v>95</v>
      </c>
      <c r="D76" s="61">
        <v>150</v>
      </c>
      <c r="E76" s="53">
        <v>2231</v>
      </c>
      <c r="F76" s="358">
        <f>SUM(D76:D77)</f>
        <v>300</v>
      </c>
      <c r="G76" s="99"/>
      <c r="H76" s="100"/>
      <c r="I76" s="100"/>
      <c r="J76" s="51"/>
      <c r="K76" s="52"/>
      <c r="L76" s="93"/>
      <c r="M76" s="54"/>
      <c r="N76" s="54"/>
      <c r="O76" s="54"/>
      <c r="P76" s="54"/>
      <c r="Q76" s="54"/>
      <c r="R76" s="54"/>
      <c r="S76" s="55">
        <f aca="true" t="shared" si="21" ref="S76:S89">SUM(G76:R76)</f>
        <v>0</v>
      </c>
      <c r="Y76" s="62">
        <f aca="true" t="shared" si="22" ref="Y76:Y89">D76-S76</f>
        <v>150</v>
      </c>
      <c r="Z76" s="58"/>
      <c r="AB76" s="62">
        <f>D76-S76-Z76</f>
        <v>150</v>
      </c>
      <c r="AD76" s="58">
        <v>-50</v>
      </c>
    </row>
    <row r="77" spans="2:30" ht="12.75" thickBot="1">
      <c r="B77" s="375"/>
      <c r="C77" s="325"/>
      <c r="D77" s="71">
        <v>150</v>
      </c>
      <c r="E77" s="72">
        <v>2390</v>
      </c>
      <c r="F77" s="359"/>
      <c r="G77" s="103"/>
      <c r="H77" s="104"/>
      <c r="I77" s="104"/>
      <c r="J77" s="74"/>
      <c r="K77" s="75"/>
      <c r="L77" s="94"/>
      <c r="M77" s="77"/>
      <c r="N77" s="77"/>
      <c r="O77" s="77"/>
      <c r="P77" s="77"/>
      <c r="Q77" s="77"/>
      <c r="R77" s="77"/>
      <c r="S77" s="78">
        <f t="shared" si="21"/>
        <v>0</v>
      </c>
      <c r="Y77" s="79">
        <f t="shared" si="22"/>
        <v>150</v>
      </c>
      <c r="Z77" s="105"/>
      <c r="AB77" s="79">
        <f aca="true" t="shared" si="23" ref="AB77:AB89">D77-S77-Z77</f>
        <v>150</v>
      </c>
      <c r="AC77" s="81"/>
      <c r="AD77" s="105">
        <v>-50</v>
      </c>
    </row>
    <row r="78" spans="2:30" ht="12">
      <c r="B78" s="374">
        <v>10.2</v>
      </c>
      <c r="C78" s="328" t="s">
        <v>96</v>
      </c>
      <c r="D78" s="84">
        <v>265</v>
      </c>
      <c r="E78" s="67">
        <v>2390</v>
      </c>
      <c r="F78" s="357">
        <f>SUM(D78:D79)</f>
        <v>400</v>
      </c>
      <c r="G78" s="108"/>
      <c r="H78" s="109"/>
      <c r="I78" s="109"/>
      <c r="J78" s="87"/>
      <c r="K78" s="88"/>
      <c r="L78" s="89"/>
      <c r="M78" s="70"/>
      <c r="N78" s="70"/>
      <c r="O78" s="70"/>
      <c r="P78" s="70"/>
      <c r="Q78" s="70"/>
      <c r="R78" s="70"/>
      <c r="S78" s="90">
        <f t="shared" si="21"/>
        <v>0</v>
      </c>
      <c r="Y78" s="91">
        <f t="shared" si="22"/>
        <v>265</v>
      </c>
      <c r="Z78" s="110"/>
      <c r="AB78" s="91">
        <f t="shared" si="23"/>
        <v>265</v>
      </c>
      <c r="AD78" s="110">
        <v>-65</v>
      </c>
    </row>
    <row r="79" spans="2:30" ht="12.75" thickBot="1">
      <c r="B79" s="375"/>
      <c r="C79" s="325"/>
      <c r="D79" s="71">
        <v>135</v>
      </c>
      <c r="E79" s="72">
        <v>2264</v>
      </c>
      <c r="F79" s="359"/>
      <c r="G79" s="103"/>
      <c r="H79" s="104"/>
      <c r="I79" s="104"/>
      <c r="J79" s="74"/>
      <c r="K79" s="75"/>
      <c r="L79" s="94"/>
      <c r="M79" s="77"/>
      <c r="N79" s="77"/>
      <c r="O79" s="77"/>
      <c r="P79" s="77"/>
      <c r="Q79" s="77"/>
      <c r="R79" s="77"/>
      <c r="S79" s="78">
        <f t="shared" si="21"/>
        <v>0</v>
      </c>
      <c r="Y79" s="79">
        <f t="shared" si="22"/>
        <v>135</v>
      </c>
      <c r="Z79" s="105"/>
      <c r="AB79" s="79">
        <f t="shared" si="23"/>
        <v>135</v>
      </c>
      <c r="AC79" s="81"/>
      <c r="AD79" s="105">
        <v>-35</v>
      </c>
    </row>
    <row r="80" spans="2:30" ht="12">
      <c r="B80" s="374">
        <v>10.3</v>
      </c>
      <c r="C80" s="328" t="s">
        <v>97</v>
      </c>
      <c r="D80" s="84">
        <v>200</v>
      </c>
      <c r="E80" s="85">
        <v>2231</v>
      </c>
      <c r="F80" s="357">
        <f>SUM(D80:D81)</f>
        <v>300</v>
      </c>
      <c r="G80" s="108"/>
      <c r="H80" s="109"/>
      <c r="I80" s="109"/>
      <c r="J80" s="87"/>
      <c r="K80" s="88"/>
      <c r="L80" s="89"/>
      <c r="M80" s="70">
        <v>170</v>
      </c>
      <c r="N80" s="70"/>
      <c r="O80" s="70"/>
      <c r="P80" s="70"/>
      <c r="Q80" s="70"/>
      <c r="R80" s="70"/>
      <c r="S80" s="90">
        <f t="shared" si="21"/>
        <v>170</v>
      </c>
      <c r="Y80" s="91">
        <f t="shared" si="22"/>
        <v>30</v>
      </c>
      <c r="Z80" s="110"/>
      <c r="AB80" s="91">
        <f t="shared" si="23"/>
        <v>30</v>
      </c>
      <c r="AD80" s="110">
        <v>-30</v>
      </c>
    </row>
    <row r="81" spans="2:30" ht="13.5" customHeight="1" thickBot="1">
      <c r="B81" s="375"/>
      <c r="C81" s="325"/>
      <c r="D81" s="71">
        <v>100</v>
      </c>
      <c r="E81" s="72">
        <v>2390</v>
      </c>
      <c r="F81" s="359"/>
      <c r="G81" s="103"/>
      <c r="H81" s="104"/>
      <c r="I81" s="104"/>
      <c r="J81" s="74"/>
      <c r="K81" s="75"/>
      <c r="L81" s="94">
        <f>60+40</f>
        <v>100</v>
      </c>
      <c r="M81" s="77"/>
      <c r="N81" s="77"/>
      <c r="O81" s="77"/>
      <c r="P81" s="77"/>
      <c r="Q81" s="77"/>
      <c r="R81" s="77"/>
      <c r="S81" s="78">
        <f t="shared" si="21"/>
        <v>100</v>
      </c>
      <c r="Y81" s="79">
        <f t="shared" si="22"/>
        <v>0</v>
      </c>
      <c r="Z81" s="105"/>
      <c r="AB81" s="79">
        <f t="shared" si="23"/>
        <v>0</v>
      </c>
      <c r="AC81" s="81"/>
      <c r="AD81" s="105"/>
    </row>
    <row r="82" spans="2:30" ht="12">
      <c r="B82" s="374">
        <v>10.4</v>
      </c>
      <c r="C82" s="328" t="s">
        <v>97</v>
      </c>
      <c r="D82" s="84">
        <v>140</v>
      </c>
      <c r="E82" s="85">
        <v>2231</v>
      </c>
      <c r="F82" s="357">
        <f>SUM(D82:D83)</f>
        <v>280</v>
      </c>
      <c r="G82" s="108"/>
      <c r="H82" s="109"/>
      <c r="I82" s="109"/>
      <c r="J82" s="87"/>
      <c r="K82" s="88"/>
      <c r="L82" s="89"/>
      <c r="M82" s="70"/>
      <c r="N82" s="70"/>
      <c r="O82" s="70"/>
      <c r="P82" s="70"/>
      <c r="Q82" s="70"/>
      <c r="R82" s="70"/>
      <c r="S82" s="90">
        <f t="shared" si="21"/>
        <v>0</v>
      </c>
      <c r="Y82" s="91">
        <f t="shared" si="22"/>
        <v>140</v>
      </c>
      <c r="Z82" s="110"/>
      <c r="AB82" s="91">
        <f t="shared" si="23"/>
        <v>140</v>
      </c>
      <c r="AD82" s="110">
        <v>-20</v>
      </c>
    </row>
    <row r="83" spans="2:30" ht="12.75" thickBot="1">
      <c r="B83" s="375"/>
      <c r="C83" s="325"/>
      <c r="D83" s="71">
        <v>140</v>
      </c>
      <c r="E83" s="72">
        <v>2390</v>
      </c>
      <c r="F83" s="359"/>
      <c r="G83" s="103"/>
      <c r="H83" s="104"/>
      <c r="I83" s="104"/>
      <c r="J83" s="74"/>
      <c r="K83" s="75"/>
      <c r="L83" s="94"/>
      <c r="M83" s="77"/>
      <c r="N83" s="77"/>
      <c r="O83" s="77"/>
      <c r="P83" s="77"/>
      <c r="Q83" s="77"/>
      <c r="R83" s="77"/>
      <c r="S83" s="78">
        <f t="shared" si="21"/>
        <v>0</v>
      </c>
      <c r="Y83" s="79">
        <f t="shared" si="22"/>
        <v>140</v>
      </c>
      <c r="Z83" s="105"/>
      <c r="AB83" s="79">
        <f t="shared" si="23"/>
        <v>140</v>
      </c>
      <c r="AC83" s="81"/>
      <c r="AD83" s="105">
        <v>-20</v>
      </c>
    </row>
    <row r="84" spans="2:30" ht="12">
      <c r="B84" s="374">
        <v>10.5</v>
      </c>
      <c r="C84" s="328" t="s">
        <v>98</v>
      </c>
      <c r="D84" s="84">
        <v>100</v>
      </c>
      <c r="E84" s="85">
        <v>2231</v>
      </c>
      <c r="F84" s="357">
        <f>SUM(D84:D87)</f>
        <v>500</v>
      </c>
      <c r="G84" s="108"/>
      <c r="H84" s="109"/>
      <c r="I84" s="109"/>
      <c r="J84" s="87"/>
      <c r="K84" s="88"/>
      <c r="L84" s="89"/>
      <c r="M84" s="70"/>
      <c r="N84" s="70"/>
      <c r="O84" s="70"/>
      <c r="P84" s="70"/>
      <c r="Q84" s="70"/>
      <c r="R84" s="70"/>
      <c r="S84" s="90">
        <f t="shared" si="21"/>
        <v>0</v>
      </c>
      <c r="Y84" s="91">
        <f t="shared" si="22"/>
        <v>100</v>
      </c>
      <c r="Z84" s="110"/>
      <c r="AB84" s="91">
        <f t="shared" si="23"/>
        <v>100</v>
      </c>
      <c r="AD84" s="110">
        <v>-20</v>
      </c>
    </row>
    <row r="85" spans="2:30" ht="12">
      <c r="B85" s="379"/>
      <c r="C85" s="324"/>
      <c r="D85" s="61">
        <v>100</v>
      </c>
      <c r="E85" s="53">
        <v>2390</v>
      </c>
      <c r="F85" s="358"/>
      <c r="G85" s="99"/>
      <c r="H85" s="100"/>
      <c r="I85" s="100"/>
      <c r="J85" s="51"/>
      <c r="K85" s="52"/>
      <c r="L85" s="93"/>
      <c r="M85" s="54"/>
      <c r="N85" s="54"/>
      <c r="O85" s="54"/>
      <c r="P85" s="54"/>
      <c r="Q85" s="54"/>
      <c r="R85" s="54"/>
      <c r="S85" s="55">
        <f t="shared" si="21"/>
        <v>0</v>
      </c>
      <c r="Y85" s="62">
        <f t="shared" si="22"/>
        <v>100</v>
      </c>
      <c r="Z85" s="58"/>
      <c r="AB85" s="62">
        <f t="shared" si="23"/>
        <v>100</v>
      </c>
      <c r="AD85" s="58">
        <v>-20</v>
      </c>
    </row>
    <row r="86" spans="2:30" ht="12">
      <c r="B86" s="379"/>
      <c r="C86" s="324"/>
      <c r="D86" s="61">
        <v>100</v>
      </c>
      <c r="E86" s="53">
        <v>2264</v>
      </c>
      <c r="F86" s="358"/>
      <c r="G86" s="99"/>
      <c r="H86" s="100"/>
      <c r="I86" s="100"/>
      <c r="J86" s="51"/>
      <c r="K86" s="52"/>
      <c r="L86" s="93"/>
      <c r="M86" s="54"/>
      <c r="N86" s="54"/>
      <c r="O86" s="54"/>
      <c r="P86" s="54"/>
      <c r="Q86" s="54"/>
      <c r="R86" s="54"/>
      <c r="S86" s="55">
        <f t="shared" si="21"/>
        <v>0</v>
      </c>
      <c r="Y86" s="62">
        <f t="shared" si="22"/>
        <v>100</v>
      </c>
      <c r="Z86" s="58"/>
      <c r="AB86" s="62">
        <f t="shared" si="23"/>
        <v>100</v>
      </c>
      <c r="AD86" s="58">
        <v>-20</v>
      </c>
    </row>
    <row r="87" spans="2:30" ht="12.75" thickBot="1">
      <c r="B87" s="375"/>
      <c r="C87" s="325"/>
      <c r="D87" s="71">
        <v>200</v>
      </c>
      <c r="E87" s="72">
        <v>2262</v>
      </c>
      <c r="F87" s="359"/>
      <c r="G87" s="103"/>
      <c r="H87" s="104"/>
      <c r="I87" s="104"/>
      <c r="J87" s="74"/>
      <c r="K87" s="75"/>
      <c r="L87" s="94"/>
      <c r="M87" s="77"/>
      <c r="N87" s="77"/>
      <c r="O87" s="77"/>
      <c r="P87" s="77"/>
      <c r="Q87" s="77"/>
      <c r="R87" s="77"/>
      <c r="S87" s="78">
        <f t="shared" si="21"/>
        <v>0</v>
      </c>
      <c r="Y87" s="79">
        <f t="shared" si="22"/>
        <v>200</v>
      </c>
      <c r="Z87" s="105"/>
      <c r="AB87" s="79">
        <f t="shared" si="23"/>
        <v>200</v>
      </c>
      <c r="AC87" s="81"/>
      <c r="AD87" s="105">
        <v>-100</v>
      </c>
    </row>
    <row r="88" spans="2:30" ht="12">
      <c r="B88" s="374">
        <v>10.6</v>
      </c>
      <c r="C88" s="329" t="s">
        <v>99</v>
      </c>
      <c r="D88" s="172">
        <f>250-63</f>
        <v>187</v>
      </c>
      <c r="E88" s="122">
        <v>2390</v>
      </c>
      <c r="F88" s="357">
        <f>SUM(D88:D89)</f>
        <v>387</v>
      </c>
      <c r="G88" s="108"/>
      <c r="H88" s="109"/>
      <c r="I88" s="109"/>
      <c r="J88" s="173">
        <f>100+38.22</f>
        <v>138.22</v>
      </c>
      <c r="K88" s="174">
        <f>48.36</f>
        <v>48.36</v>
      </c>
      <c r="L88" s="88"/>
      <c r="M88" s="70"/>
      <c r="N88" s="70"/>
      <c r="O88" s="70"/>
      <c r="P88" s="70"/>
      <c r="Q88" s="70"/>
      <c r="R88" s="70"/>
      <c r="S88" s="90">
        <f t="shared" si="21"/>
        <v>186.57999999999998</v>
      </c>
      <c r="Y88" s="91">
        <f t="shared" si="22"/>
        <v>0.4200000000000159</v>
      </c>
      <c r="Z88" s="91"/>
      <c r="AB88" s="91">
        <f t="shared" si="23"/>
        <v>0.4200000000000159</v>
      </c>
      <c r="AD88" s="91"/>
    </row>
    <row r="89" spans="2:30" ht="12">
      <c r="B89" s="379"/>
      <c r="C89" s="370"/>
      <c r="D89" s="175">
        <f>150+50</f>
        <v>200</v>
      </c>
      <c r="E89" s="124">
        <v>2239</v>
      </c>
      <c r="F89" s="358"/>
      <c r="G89" s="99"/>
      <c r="H89" s="100"/>
      <c r="I89" s="100"/>
      <c r="J89" s="51">
        <f>200</f>
        <v>200</v>
      </c>
      <c r="K89" s="52"/>
      <c r="L89" s="52"/>
      <c r="M89" s="54"/>
      <c r="N89" s="54"/>
      <c r="O89" s="54"/>
      <c r="P89" s="54"/>
      <c r="Q89" s="54"/>
      <c r="R89" s="54"/>
      <c r="S89" s="55">
        <f t="shared" si="21"/>
        <v>200</v>
      </c>
      <c r="Y89" s="62">
        <f t="shared" si="22"/>
        <v>0</v>
      </c>
      <c r="Z89" s="58"/>
      <c r="AB89" s="58">
        <f t="shared" si="23"/>
        <v>0</v>
      </c>
      <c r="AD89" s="58"/>
    </row>
    <row r="90" spans="2:30" ht="12">
      <c r="B90" s="304">
        <v>11</v>
      </c>
      <c r="C90" s="199" t="s">
        <v>100</v>
      </c>
      <c r="D90" s="214">
        <f>SUM(D91:D96)</f>
        <v>775</v>
      </c>
      <c r="E90" s="199"/>
      <c r="F90" s="214">
        <f aca="true" t="shared" si="24" ref="F90:S90">SUM(F91:F96)</f>
        <v>775</v>
      </c>
      <c r="G90" s="214">
        <f t="shared" si="24"/>
        <v>0</v>
      </c>
      <c r="H90" s="214">
        <f t="shared" si="24"/>
        <v>0</v>
      </c>
      <c r="I90" s="214">
        <f t="shared" si="24"/>
        <v>0</v>
      </c>
      <c r="J90" s="214">
        <f t="shared" si="24"/>
        <v>290</v>
      </c>
      <c r="K90" s="214">
        <f t="shared" si="24"/>
        <v>0</v>
      </c>
      <c r="L90" s="214">
        <f t="shared" si="24"/>
        <v>0</v>
      </c>
      <c r="M90" s="214">
        <f t="shared" si="24"/>
        <v>137.6</v>
      </c>
      <c r="N90" s="214">
        <f t="shared" si="24"/>
        <v>0</v>
      </c>
      <c r="O90" s="214">
        <f t="shared" si="24"/>
        <v>0</v>
      </c>
      <c r="P90" s="214">
        <f t="shared" si="24"/>
        <v>0</v>
      </c>
      <c r="Q90" s="214">
        <f t="shared" si="24"/>
        <v>0</v>
      </c>
      <c r="R90" s="214">
        <f t="shared" si="24"/>
        <v>0</v>
      </c>
      <c r="S90" s="214">
        <f t="shared" si="24"/>
        <v>427.6</v>
      </c>
      <c r="T90" s="34"/>
      <c r="U90" s="34"/>
      <c r="V90" s="34"/>
      <c r="W90" s="34"/>
      <c r="X90" s="34"/>
      <c r="Y90" s="308">
        <f>SUM(Y91:Y96)</f>
        <v>347.4</v>
      </c>
      <c r="Z90" s="308">
        <f>SUM(Z91:Z96)</f>
        <v>0</v>
      </c>
      <c r="AA90" s="177"/>
      <c r="AB90" s="308">
        <f>SUM(AB91:AB96)</f>
        <v>347.4</v>
      </c>
      <c r="AC90" s="308">
        <f>SUM(AC91:AC96)</f>
        <v>0</v>
      </c>
      <c r="AD90" s="308">
        <f>SUM(AD91:AD96)</f>
        <v>-347</v>
      </c>
    </row>
    <row r="91" spans="2:30" ht="12">
      <c r="B91" s="379">
        <v>11.1</v>
      </c>
      <c r="C91" s="324" t="s">
        <v>101</v>
      </c>
      <c r="D91" s="61">
        <v>210</v>
      </c>
      <c r="E91" s="53">
        <v>2390</v>
      </c>
      <c r="F91" s="358">
        <f>SUM(D91:D92)</f>
        <v>290</v>
      </c>
      <c r="G91" s="99"/>
      <c r="H91" s="100"/>
      <c r="I91" s="100"/>
      <c r="J91" s="51">
        <f>210</f>
        <v>210</v>
      </c>
      <c r="K91" s="52"/>
      <c r="L91" s="93"/>
      <c r="M91" s="54"/>
      <c r="N91" s="54"/>
      <c r="O91" s="54"/>
      <c r="P91" s="54"/>
      <c r="Q91" s="54"/>
      <c r="R91" s="54"/>
      <c r="S91" s="55">
        <f aca="true" t="shared" si="25" ref="S91:S96">SUM(G91:R91)</f>
        <v>210</v>
      </c>
      <c r="Y91" s="62">
        <f aca="true" t="shared" si="26" ref="Y91:Y96">D91-S91</f>
        <v>0</v>
      </c>
      <c r="Z91" s="58"/>
      <c r="AB91" s="58">
        <f aca="true" t="shared" si="27" ref="AB91:AB96">D91-S91-Z91</f>
        <v>0</v>
      </c>
      <c r="AD91" s="58"/>
    </row>
    <row r="92" spans="2:30" ht="12.75" thickBot="1">
      <c r="B92" s="375"/>
      <c r="C92" s="325"/>
      <c r="D92" s="71">
        <v>80</v>
      </c>
      <c r="E92" s="72">
        <v>2261</v>
      </c>
      <c r="F92" s="359"/>
      <c r="G92" s="103"/>
      <c r="H92" s="104"/>
      <c r="I92" s="104"/>
      <c r="J92" s="74">
        <f>80</f>
        <v>80</v>
      </c>
      <c r="K92" s="75"/>
      <c r="L92" s="94"/>
      <c r="M92" s="77"/>
      <c r="N92" s="77"/>
      <c r="O92" s="77"/>
      <c r="P92" s="77"/>
      <c r="Q92" s="77"/>
      <c r="R92" s="77"/>
      <c r="S92" s="78">
        <f t="shared" si="25"/>
        <v>80</v>
      </c>
      <c r="Y92" s="79">
        <f t="shared" si="26"/>
        <v>0</v>
      </c>
      <c r="Z92" s="105"/>
      <c r="AB92" s="105">
        <f t="shared" si="27"/>
        <v>0</v>
      </c>
      <c r="AC92" s="81"/>
      <c r="AD92" s="105"/>
    </row>
    <row r="93" spans="2:30" s="178" customFormat="1" ht="12">
      <c r="B93" s="323">
        <v>11.2</v>
      </c>
      <c r="C93" s="330" t="s">
        <v>102</v>
      </c>
      <c r="D93" s="84">
        <f>270-35</f>
        <v>235</v>
      </c>
      <c r="E93" s="85">
        <v>2390</v>
      </c>
      <c r="F93" s="380">
        <f>SUM(D93:D94)</f>
        <v>315</v>
      </c>
      <c r="G93" s="109"/>
      <c r="H93" s="109"/>
      <c r="I93" s="109"/>
      <c r="J93" s="87"/>
      <c r="K93" s="122"/>
      <c r="L93" s="85"/>
      <c r="M93" s="87">
        <v>57.6</v>
      </c>
      <c r="N93" s="87"/>
      <c r="O93" s="87"/>
      <c r="P93" s="87"/>
      <c r="Q93" s="87"/>
      <c r="R93" s="87"/>
      <c r="S93" s="176">
        <f t="shared" si="25"/>
        <v>57.6</v>
      </c>
      <c r="T93" s="34"/>
      <c r="U93" s="34"/>
      <c r="V93" s="34"/>
      <c r="W93" s="34"/>
      <c r="X93" s="34"/>
      <c r="Y93" s="91">
        <f t="shared" si="26"/>
        <v>177.4</v>
      </c>
      <c r="Z93" s="91"/>
      <c r="AA93" s="177"/>
      <c r="AB93" s="91">
        <f t="shared" si="27"/>
        <v>177.4</v>
      </c>
      <c r="AC93" s="34"/>
      <c r="AD93" s="91">
        <v>-177</v>
      </c>
    </row>
    <row r="94" spans="2:30" s="178" customFormat="1" ht="11.25" customHeight="1" thickBot="1">
      <c r="B94" s="355"/>
      <c r="C94" s="331"/>
      <c r="D94" s="71">
        <v>80</v>
      </c>
      <c r="E94" s="72">
        <v>2261</v>
      </c>
      <c r="F94" s="360"/>
      <c r="G94" s="104"/>
      <c r="H94" s="104"/>
      <c r="I94" s="104"/>
      <c r="J94" s="74"/>
      <c r="K94" s="179"/>
      <c r="L94" s="74"/>
      <c r="M94" s="74">
        <v>80</v>
      </c>
      <c r="N94" s="74"/>
      <c r="O94" s="74"/>
      <c r="P94" s="74"/>
      <c r="Q94" s="74"/>
      <c r="R94" s="74"/>
      <c r="S94" s="180">
        <f t="shared" si="25"/>
        <v>80</v>
      </c>
      <c r="T94" s="34"/>
      <c r="U94" s="34"/>
      <c r="V94" s="34"/>
      <c r="W94" s="34"/>
      <c r="X94" s="34"/>
      <c r="Y94" s="79">
        <f t="shared" si="26"/>
        <v>0</v>
      </c>
      <c r="Z94" s="79"/>
      <c r="AA94" s="177"/>
      <c r="AB94" s="79">
        <f t="shared" si="27"/>
        <v>0</v>
      </c>
      <c r="AC94" s="181"/>
      <c r="AD94" s="79"/>
    </row>
    <row r="95" spans="2:30" ht="12">
      <c r="B95" s="374">
        <v>11.3</v>
      </c>
      <c r="C95" s="328" t="s">
        <v>103</v>
      </c>
      <c r="D95" s="84">
        <v>90</v>
      </c>
      <c r="E95" s="85">
        <v>2390</v>
      </c>
      <c r="F95" s="357">
        <f>SUM(D95:D96)</f>
        <v>170</v>
      </c>
      <c r="G95" s="108"/>
      <c r="H95" s="109"/>
      <c r="I95" s="109"/>
      <c r="J95" s="87"/>
      <c r="K95" s="88"/>
      <c r="L95" s="89"/>
      <c r="M95" s="70"/>
      <c r="N95" s="70"/>
      <c r="O95" s="70"/>
      <c r="P95" s="70"/>
      <c r="Q95" s="70"/>
      <c r="R95" s="70"/>
      <c r="S95" s="90">
        <f t="shared" si="25"/>
        <v>0</v>
      </c>
      <c r="Y95" s="91">
        <f t="shared" si="26"/>
        <v>90</v>
      </c>
      <c r="Z95" s="110"/>
      <c r="AB95" s="91">
        <f t="shared" si="27"/>
        <v>90</v>
      </c>
      <c r="AD95" s="110">
        <v>-90</v>
      </c>
    </row>
    <row r="96" spans="2:30" ht="12">
      <c r="B96" s="379"/>
      <c r="C96" s="324"/>
      <c r="D96" s="61">
        <v>80</v>
      </c>
      <c r="E96" s="53">
        <v>2261</v>
      </c>
      <c r="F96" s="358"/>
      <c r="G96" s="99"/>
      <c r="H96" s="100"/>
      <c r="I96" s="100"/>
      <c r="J96" s="51"/>
      <c r="K96" s="52"/>
      <c r="L96" s="93"/>
      <c r="M96" s="54"/>
      <c r="N96" s="54"/>
      <c r="O96" s="54"/>
      <c r="P96" s="54"/>
      <c r="Q96" s="54"/>
      <c r="R96" s="54"/>
      <c r="S96" s="55">
        <f t="shared" si="25"/>
        <v>0</v>
      </c>
      <c r="Y96" s="62">
        <f t="shared" si="26"/>
        <v>80</v>
      </c>
      <c r="Z96" s="58"/>
      <c r="AB96" s="62">
        <f t="shared" si="27"/>
        <v>80</v>
      </c>
      <c r="AD96" s="58">
        <v>-80</v>
      </c>
    </row>
    <row r="97" spans="2:30" ht="12">
      <c r="B97" s="304">
        <v>12</v>
      </c>
      <c r="C97" s="199" t="s">
        <v>104</v>
      </c>
      <c r="D97" s="214">
        <f>SUM(D98:D103)</f>
        <v>1420</v>
      </c>
      <c r="E97" s="214"/>
      <c r="F97" s="214">
        <f>SUM(F98:F103)</f>
        <v>1420</v>
      </c>
      <c r="G97" s="214">
        <f aca="true" t="shared" si="28" ref="G97:S97">SUM(G98:G103)</f>
        <v>0</v>
      </c>
      <c r="H97" s="214">
        <f t="shared" si="28"/>
        <v>0</v>
      </c>
      <c r="I97" s="214">
        <f t="shared" si="28"/>
        <v>0</v>
      </c>
      <c r="J97" s="214">
        <f t="shared" si="28"/>
        <v>0</v>
      </c>
      <c r="K97" s="214">
        <f t="shared" si="28"/>
        <v>0</v>
      </c>
      <c r="L97" s="214">
        <f t="shared" si="28"/>
        <v>1009.69</v>
      </c>
      <c r="M97" s="214">
        <f t="shared" si="28"/>
        <v>445.56</v>
      </c>
      <c r="N97" s="214">
        <f t="shared" si="28"/>
        <v>0</v>
      </c>
      <c r="O97" s="214">
        <f t="shared" si="28"/>
        <v>0</v>
      </c>
      <c r="P97" s="214">
        <f t="shared" si="28"/>
        <v>0</v>
      </c>
      <c r="Q97" s="214">
        <f t="shared" si="28"/>
        <v>0</v>
      </c>
      <c r="R97" s="214">
        <f t="shared" si="28"/>
        <v>0</v>
      </c>
      <c r="S97" s="214">
        <f t="shared" si="28"/>
        <v>1455.25</v>
      </c>
      <c r="T97" s="34"/>
      <c r="U97" s="34"/>
      <c r="V97" s="34"/>
      <c r="W97" s="34"/>
      <c r="X97" s="34"/>
      <c r="Y97" s="308">
        <f>SUM(Y98:Y103)</f>
        <v>-35.24999999999996</v>
      </c>
      <c r="Z97" s="308">
        <f>SUM(Z98:Z103)</f>
        <v>3.299999999999997</v>
      </c>
      <c r="AA97" s="177"/>
      <c r="AB97" s="308">
        <f>SUM(AB98:AB103)</f>
        <v>-38.549999999999955</v>
      </c>
      <c r="AC97" s="308">
        <f>SUM(AC98:AC103)</f>
        <v>0</v>
      </c>
      <c r="AD97" s="308">
        <f>SUM(AD98:AD103)</f>
        <v>40</v>
      </c>
    </row>
    <row r="98" spans="2:30" ht="24.75" thickBot="1">
      <c r="B98" s="102">
        <v>12.1</v>
      </c>
      <c r="C98" s="126" t="s">
        <v>105</v>
      </c>
      <c r="D98" s="71">
        <f>240-20+20</f>
        <v>240</v>
      </c>
      <c r="E98" s="72">
        <v>2390</v>
      </c>
      <c r="F98" s="103">
        <f>D98</f>
        <v>240</v>
      </c>
      <c r="G98" s="103"/>
      <c r="H98" s="104"/>
      <c r="I98" s="104"/>
      <c r="J98" s="74"/>
      <c r="K98" s="75"/>
      <c r="L98" s="182">
        <f>123.6+26.5+89.42</f>
        <v>239.51999999999998</v>
      </c>
      <c r="M98" s="127"/>
      <c r="N98" s="77"/>
      <c r="O98" s="77"/>
      <c r="P98" s="77"/>
      <c r="Q98" s="77"/>
      <c r="R98" s="77"/>
      <c r="S98" s="78">
        <f aca="true" t="shared" si="29" ref="S98:S103">SUM(G98:R98)</f>
        <v>239.51999999999998</v>
      </c>
      <c r="Y98" s="79">
        <f aca="true" t="shared" si="30" ref="Y98:Y103">D98-S98</f>
        <v>0.4800000000000182</v>
      </c>
      <c r="Z98" s="105"/>
      <c r="AB98" s="183">
        <f aca="true" t="shared" si="31" ref="AB98:AB103">D98-S98-Z98</f>
        <v>0.4800000000000182</v>
      </c>
      <c r="AC98" s="81"/>
      <c r="AD98" s="105">
        <v>1</v>
      </c>
    </row>
    <row r="99" spans="2:30" ht="24.75" thickBot="1">
      <c r="B99" s="184">
        <v>12.2</v>
      </c>
      <c r="C99" s="185" t="s">
        <v>106</v>
      </c>
      <c r="D99" s="145">
        <f>420-40</f>
        <v>380</v>
      </c>
      <c r="E99" s="146">
        <v>2390</v>
      </c>
      <c r="F99" s="147">
        <f>D99</f>
        <v>380</v>
      </c>
      <c r="G99" s="147"/>
      <c r="H99" s="148"/>
      <c r="I99" s="148"/>
      <c r="J99" s="149"/>
      <c r="K99" s="150"/>
      <c r="L99" s="186">
        <f>265.96+107.51</f>
        <v>373.46999999999997</v>
      </c>
      <c r="M99" s="187">
        <f>46.02</f>
        <v>46.02</v>
      </c>
      <c r="N99" s="152"/>
      <c r="O99" s="152"/>
      <c r="P99" s="152"/>
      <c r="Q99" s="152"/>
      <c r="R99" s="152"/>
      <c r="S99" s="153">
        <f t="shared" si="29"/>
        <v>419.48999999999995</v>
      </c>
      <c r="Y99" s="154">
        <f t="shared" si="30"/>
        <v>-39.48999999999995</v>
      </c>
      <c r="Z99" s="155"/>
      <c r="AB99" s="155">
        <f t="shared" si="31"/>
        <v>-39.48999999999995</v>
      </c>
      <c r="AC99" s="163"/>
      <c r="AD99" s="155">
        <v>39</v>
      </c>
    </row>
    <row r="100" spans="2:30" ht="12.75" customHeight="1" hidden="1">
      <c r="B100" s="106"/>
      <c r="C100" s="128" t="s">
        <v>107</v>
      </c>
      <c r="D100" s="84">
        <v>0</v>
      </c>
      <c r="E100" s="85"/>
      <c r="F100" s="108">
        <v>0</v>
      </c>
      <c r="G100" s="108"/>
      <c r="H100" s="109"/>
      <c r="I100" s="109"/>
      <c r="J100" s="87"/>
      <c r="K100" s="88"/>
      <c r="L100" s="89"/>
      <c r="M100" s="70"/>
      <c r="N100" s="70"/>
      <c r="O100" s="70"/>
      <c r="P100" s="70"/>
      <c r="Q100" s="70"/>
      <c r="R100" s="70"/>
      <c r="S100" s="90">
        <f t="shared" si="29"/>
        <v>0</v>
      </c>
      <c r="Y100" s="91">
        <f t="shared" si="30"/>
        <v>0</v>
      </c>
      <c r="Z100" s="110"/>
      <c r="AB100" s="188">
        <f t="shared" si="31"/>
        <v>0</v>
      </c>
      <c r="AD100" s="110"/>
    </row>
    <row r="101" spans="2:30" ht="12">
      <c r="B101" s="379">
        <v>12.4</v>
      </c>
      <c r="C101" s="389" t="s">
        <v>108</v>
      </c>
      <c r="D101" s="61">
        <f>350-50+50</f>
        <v>350</v>
      </c>
      <c r="E101" s="53">
        <v>2352</v>
      </c>
      <c r="F101" s="365">
        <f>SUM(D101:D103)</f>
        <v>800</v>
      </c>
      <c r="G101" s="190"/>
      <c r="H101" s="191"/>
      <c r="I101" s="191"/>
      <c r="J101" s="51"/>
      <c r="K101" s="52"/>
      <c r="L101" s="101">
        <v>346.75</v>
      </c>
      <c r="M101" s="54"/>
      <c r="N101" s="54"/>
      <c r="O101" s="54"/>
      <c r="P101" s="54"/>
      <c r="Q101" s="54"/>
      <c r="R101" s="54"/>
      <c r="S101" s="55">
        <f t="shared" si="29"/>
        <v>346.75</v>
      </c>
      <c r="Y101" s="62">
        <f t="shared" si="30"/>
        <v>3.25</v>
      </c>
      <c r="Z101" s="58">
        <f>350-S101</f>
        <v>3.25</v>
      </c>
      <c r="AB101" s="129">
        <f t="shared" si="31"/>
        <v>0</v>
      </c>
      <c r="AD101" s="58"/>
    </row>
    <row r="102" spans="2:30" ht="12">
      <c r="B102" s="379"/>
      <c r="C102" s="389"/>
      <c r="D102" s="61">
        <v>50</v>
      </c>
      <c r="E102" s="53">
        <v>2311</v>
      </c>
      <c r="F102" s="365"/>
      <c r="G102" s="190"/>
      <c r="H102" s="191"/>
      <c r="I102" s="191"/>
      <c r="J102" s="51"/>
      <c r="K102" s="52"/>
      <c r="L102" s="54">
        <v>49.95</v>
      </c>
      <c r="M102" s="54"/>
      <c r="N102" s="54"/>
      <c r="O102" s="54"/>
      <c r="P102" s="54"/>
      <c r="Q102" s="54"/>
      <c r="R102" s="54"/>
      <c r="S102" s="55">
        <f t="shared" si="29"/>
        <v>49.95</v>
      </c>
      <c r="Y102" s="114">
        <f t="shared" si="30"/>
        <v>0.04999999999999716</v>
      </c>
      <c r="Z102" s="129">
        <f>50-S102</f>
        <v>0.04999999999999716</v>
      </c>
      <c r="AA102" s="192"/>
      <c r="AB102" s="129">
        <f t="shared" si="31"/>
        <v>0</v>
      </c>
      <c r="AD102" s="129"/>
    </row>
    <row r="103" spans="2:30" ht="12">
      <c r="B103" s="379"/>
      <c r="C103" s="389"/>
      <c r="D103" s="61">
        <f>400-30+30</f>
        <v>400</v>
      </c>
      <c r="E103" s="53">
        <v>2390</v>
      </c>
      <c r="F103" s="365"/>
      <c r="G103" s="190"/>
      <c r="H103" s="191"/>
      <c r="I103" s="191"/>
      <c r="J103" s="51"/>
      <c r="K103" s="52"/>
      <c r="L103" s="63"/>
      <c r="M103" s="54">
        <v>399.54</v>
      </c>
      <c r="N103" s="54"/>
      <c r="O103" s="54"/>
      <c r="P103" s="54"/>
      <c r="Q103" s="54"/>
      <c r="R103" s="54"/>
      <c r="S103" s="55">
        <f t="shared" si="29"/>
        <v>399.54</v>
      </c>
      <c r="Y103" s="62">
        <f t="shared" si="30"/>
        <v>0.45999999999997954</v>
      </c>
      <c r="Z103" s="58"/>
      <c r="AB103" s="58">
        <f t="shared" si="31"/>
        <v>0.45999999999997954</v>
      </c>
      <c r="AD103" s="58"/>
    </row>
    <row r="104" spans="2:30" ht="12">
      <c r="B104" s="304">
        <v>13</v>
      </c>
      <c r="C104" s="199" t="s">
        <v>109</v>
      </c>
      <c r="D104" s="214">
        <f>SUM(D105:D112)</f>
        <v>1180</v>
      </c>
      <c r="E104" s="199"/>
      <c r="F104" s="214">
        <f aca="true" t="shared" si="32" ref="F104:S104">SUM(F105:F112)</f>
        <v>1180</v>
      </c>
      <c r="G104" s="214">
        <f t="shared" si="32"/>
        <v>0</v>
      </c>
      <c r="H104" s="214">
        <f t="shared" si="32"/>
        <v>0</v>
      </c>
      <c r="I104" s="214">
        <f t="shared" si="32"/>
        <v>0</v>
      </c>
      <c r="J104" s="214">
        <f t="shared" si="32"/>
        <v>0</v>
      </c>
      <c r="K104" s="214">
        <f t="shared" si="32"/>
        <v>0</v>
      </c>
      <c r="L104" s="214">
        <f t="shared" si="32"/>
        <v>0</v>
      </c>
      <c r="M104" s="214">
        <f t="shared" si="32"/>
        <v>1015</v>
      </c>
      <c r="N104" s="214">
        <f t="shared" si="32"/>
        <v>200</v>
      </c>
      <c r="O104" s="214">
        <f t="shared" si="32"/>
        <v>0</v>
      </c>
      <c r="P104" s="214">
        <f t="shared" si="32"/>
        <v>0</v>
      </c>
      <c r="Q104" s="214">
        <f t="shared" si="32"/>
        <v>0</v>
      </c>
      <c r="R104" s="214">
        <f t="shared" si="32"/>
        <v>0</v>
      </c>
      <c r="S104" s="214">
        <f t="shared" si="32"/>
        <v>1215</v>
      </c>
      <c r="T104" s="34"/>
      <c r="U104" s="34"/>
      <c r="V104" s="34"/>
      <c r="W104" s="34"/>
      <c r="X104" s="34"/>
      <c r="Y104" s="308">
        <f>SUM(Y105:Y112)</f>
        <v>-35</v>
      </c>
      <c r="Z104" s="308">
        <f>SUM(Z105:Z112)</f>
        <v>0</v>
      </c>
      <c r="AA104" s="177"/>
      <c r="AB104" s="308">
        <f>SUM(AB105:AB112)</f>
        <v>-35</v>
      </c>
      <c r="AC104" s="308">
        <f>SUM(AC105:AC112)</f>
        <v>0</v>
      </c>
      <c r="AD104" s="308">
        <f>SUM(AD105:AD112)</f>
        <v>40</v>
      </c>
    </row>
    <row r="105" spans="2:30" ht="24">
      <c r="B105" s="97">
        <v>13.1</v>
      </c>
      <c r="C105" s="125" t="s">
        <v>110</v>
      </c>
      <c r="D105" s="60">
        <f>220-10</f>
        <v>210</v>
      </c>
      <c r="E105" s="53">
        <v>2231</v>
      </c>
      <c r="F105" s="99">
        <f aca="true" t="shared" si="33" ref="F105:F111">D105</f>
        <v>210</v>
      </c>
      <c r="G105" s="99"/>
      <c r="H105" s="100"/>
      <c r="I105" s="100"/>
      <c r="J105" s="51"/>
      <c r="K105" s="52"/>
      <c r="L105" s="93"/>
      <c r="M105" s="54">
        <f>220</f>
        <v>220</v>
      </c>
      <c r="N105" s="54"/>
      <c r="O105" s="54"/>
      <c r="P105" s="54"/>
      <c r="Q105" s="54"/>
      <c r="R105" s="54"/>
      <c r="S105" s="55">
        <f aca="true" t="shared" si="34" ref="S105:S110">SUM(G105:R105)</f>
        <v>220</v>
      </c>
      <c r="Y105" s="62">
        <f aca="true" t="shared" si="35" ref="Y105:Y112">D105-S105</f>
        <v>-10</v>
      </c>
      <c r="Z105" s="58"/>
      <c r="AB105" s="58">
        <f aca="true" t="shared" si="36" ref="AB105:AB110">D105-S105-Z105</f>
        <v>-10</v>
      </c>
      <c r="AD105" s="58">
        <v>10</v>
      </c>
    </row>
    <row r="106" spans="2:30" ht="24">
      <c r="B106" s="97">
        <v>13.2</v>
      </c>
      <c r="C106" s="125" t="s">
        <v>111</v>
      </c>
      <c r="D106" s="60">
        <f>110-10</f>
        <v>100</v>
      </c>
      <c r="E106" s="53">
        <v>2231</v>
      </c>
      <c r="F106" s="99">
        <f t="shared" si="33"/>
        <v>100</v>
      </c>
      <c r="G106" s="99"/>
      <c r="H106" s="100"/>
      <c r="I106" s="100"/>
      <c r="J106" s="51"/>
      <c r="K106" s="52"/>
      <c r="L106" s="93"/>
      <c r="M106" s="54">
        <v>110</v>
      </c>
      <c r="N106" s="54"/>
      <c r="O106" s="54"/>
      <c r="P106" s="54"/>
      <c r="Q106" s="54"/>
      <c r="R106" s="54"/>
      <c r="S106" s="55">
        <f t="shared" si="34"/>
        <v>110</v>
      </c>
      <c r="Y106" s="62">
        <f t="shared" si="35"/>
        <v>-10</v>
      </c>
      <c r="Z106" s="58"/>
      <c r="AB106" s="58">
        <f t="shared" si="36"/>
        <v>-10</v>
      </c>
      <c r="AD106" s="58">
        <v>10</v>
      </c>
    </row>
    <row r="107" spans="2:30" ht="24">
      <c r="B107" s="97">
        <v>13.3</v>
      </c>
      <c r="C107" s="125" t="s">
        <v>112</v>
      </c>
      <c r="D107" s="60">
        <f>180-20</f>
        <v>160</v>
      </c>
      <c r="E107" s="53">
        <v>2231</v>
      </c>
      <c r="F107" s="99">
        <f t="shared" si="33"/>
        <v>160</v>
      </c>
      <c r="G107" s="99"/>
      <c r="H107" s="100"/>
      <c r="I107" s="100"/>
      <c r="J107" s="51"/>
      <c r="K107" s="52"/>
      <c r="L107" s="93"/>
      <c r="M107" s="54">
        <v>180</v>
      </c>
      <c r="N107" s="54"/>
      <c r="O107" s="54"/>
      <c r="P107" s="54"/>
      <c r="Q107" s="54"/>
      <c r="R107" s="54"/>
      <c r="S107" s="55">
        <f t="shared" si="34"/>
        <v>180</v>
      </c>
      <c r="Y107" s="62">
        <f t="shared" si="35"/>
        <v>-20</v>
      </c>
      <c r="Z107" s="58"/>
      <c r="AB107" s="58">
        <f t="shared" si="36"/>
        <v>-20</v>
      </c>
      <c r="AD107" s="58">
        <v>20</v>
      </c>
    </row>
    <row r="108" spans="2:30" ht="12">
      <c r="B108" s="97">
        <v>13.4</v>
      </c>
      <c r="C108" s="125" t="s">
        <v>113</v>
      </c>
      <c r="D108" s="60">
        <f>180-20</f>
        <v>160</v>
      </c>
      <c r="E108" s="53">
        <v>2231</v>
      </c>
      <c r="F108" s="99">
        <f t="shared" si="33"/>
        <v>160</v>
      </c>
      <c r="G108" s="99"/>
      <c r="H108" s="100"/>
      <c r="I108" s="100"/>
      <c r="J108" s="51"/>
      <c r="K108" s="52"/>
      <c r="L108" s="93"/>
      <c r="M108" s="54">
        <v>160</v>
      </c>
      <c r="N108" s="54"/>
      <c r="O108" s="54"/>
      <c r="P108" s="54"/>
      <c r="Q108" s="54"/>
      <c r="R108" s="54"/>
      <c r="S108" s="55">
        <f t="shared" si="34"/>
        <v>160</v>
      </c>
      <c r="Y108" s="62">
        <f t="shared" si="35"/>
        <v>0</v>
      </c>
      <c r="Z108" s="58"/>
      <c r="AB108" s="58">
        <f t="shared" si="36"/>
        <v>0</v>
      </c>
      <c r="AD108" s="58"/>
    </row>
    <row r="109" spans="2:30" ht="12">
      <c r="B109" s="97">
        <v>13.5</v>
      </c>
      <c r="C109" s="125" t="s">
        <v>114</v>
      </c>
      <c r="D109" s="60">
        <f>110-10</f>
        <v>100</v>
      </c>
      <c r="E109" s="53">
        <v>2231</v>
      </c>
      <c r="F109" s="99">
        <f t="shared" si="33"/>
        <v>100</v>
      </c>
      <c r="G109" s="99"/>
      <c r="H109" s="100"/>
      <c r="I109" s="100"/>
      <c r="J109" s="51"/>
      <c r="K109" s="52"/>
      <c r="L109" s="93"/>
      <c r="M109" s="54"/>
      <c r="N109" s="54">
        <f>100</f>
        <v>100</v>
      </c>
      <c r="O109" s="54"/>
      <c r="P109" s="54"/>
      <c r="Q109" s="54"/>
      <c r="R109" s="54"/>
      <c r="S109" s="55">
        <f t="shared" si="34"/>
        <v>100</v>
      </c>
      <c r="Y109" s="62">
        <f t="shared" si="35"/>
        <v>0</v>
      </c>
      <c r="Z109" s="58"/>
      <c r="AB109" s="58">
        <f t="shared" si="36"/>
        <v>0</v>
      </c>
      <c r="AD109" s="58"/>
    </row>
    <row r="110" spans="2:30" ht="12">
      <c r="B110" s="97">
        <v>13.6</v>
      </c>
      <c r="C110" s="125" t="s">
        <v>115</v>
      </c>
      <c r="D110" s="60">
        <f>390-40</f>
        <v>350</v>
      </c>
      <c r="E110" s="53">
        <v>2231</v>
      </c>
      <c r="F110" s="99">
        <f t="shared" si="33"/>
        <v>350</v>
      </c>
      <c r="G110" s="99"/>
      <c r="H110" s="100"/>
      <c r="I110" s="100"/>
      <c r="J110" s="51"/>
      <c r="K110" s="52"/>
      <c r="L110" s="93"/>
      <c r="M110" s="54">
        <v>345</v>
      </c>
      <c r="N110" s="54"/>
      <c r="O110" s="54"/>
      <c r="P110" s="54"/>
      <c r="Q110" s="54"/>
      <c r="R110" s="54"/>
      <c r="S110" s="55">
        <f t="shared" si="34"/>
        <v>345</v>
      </c>
      <c r="Y110" s="62">
        <f t="shared" si="35"/>
        <v>5</v>
      </c>
      <c r="Z110" s="58"/>
      <c r="AB110" s="58">
        <f t="shared" si="36"/>
        <v>5</v>
      </c>
      <c r="AD110" s="58"/>
    </row>
    <row r="111" spans="2:30" ht="24">
      <c r="B111" s="97">
        <v>13.7</v>
      </c>
      <c r="C111" s="125" t="s">
        <v>116</v>
      </c>
      <c r="D111" s="60">
        <f>110-10</f>
        <v>100</v>
      </c>
      <c r="E111" s="53">
        <v>2231</v>
      </c>
      <c r="F111" s="99">
        <f t="shared" si="33"/>
        <v>100</v>
      </c>
      <c r="G111" s="99"/>
      <c r="H111" s="100"/>
      <c r="I111" s="100"/>
      <c r="J111" s="51"/>
      <c r="K111" s="52"/>
      <c r="L111" s="93"/>
      <c r="M111" s="54"/>
      <c r="N111" s="54">
        <v>100</v>
      </c>
      <c r="O111" s="54"/>
      <c r="P111" s="54"/>
      <c r="Q111" s="54"/>
      <c r="R111" s="54"/>
      <c r="S111" s="55">
        <f>SUM(G111:R111)</f>
        <v>100</v>
      </c>
      <c r="Y111" s="62">
        <f>D111-S111</f>
        <v>0</v>
      </c>
      <c r="Z111" s="58"/>
      <c r="AB111" s="58">
        <f>D111-S111-Z111</f>
        <v>0</v>
      </c>
      <c r="AD111" s="58"/>
    </row>
    <row r="112" spans="2:30" ht="22.5" customHeight="1" hidden="1">
      <c r="B112" s="130">
        <v>11.8</v>
      </c>
      <c r="C112" s="131" t="s">
        <v>117</v>
      </c>
      <c r="D112" s="193">
        <v>0</v>
      </c>
      <c r="E112" s="133"/>
      <c r="F112" s="134">
        <v>0</v>
      </c>
      <c r="G112" s="134"/>
      <c r="H112" s="135"/>
      <c r="I112" s="135"/>
      <c r="L112" s="194"/>
      <c r="S112" s="55">
        <f>SUM(G112:R112)</f>
        <v>0</v>
      </c>
      <c r="Y112" s="195">
        <f t="shared" si="35"/>
        <v>0</v>
      </c>
      <c r="Z112" s="142"/>
      <c r="AB112" s="58">
        <f>D112-S112-Z112</f>
        <v>0</v>
      </c>
      <c r="AD112" s="142"/>
    </row>
    <row r="113" spans="2:30" ht="12">
      <c r="B113" s="309">
        <v>14</v>
      </c>
      <c r="C113" s="310" t="s">
        <v>118</v>
      </c>
      <c r="D113" s="311">
        <f>SUM(D114:D130)</f>
        <v>5174</v>
      </c>
      <c r="E113" s="310"/>
      <c r="F113" s="311">
        <f aca="true" t="shared" si="37" ref="F113:S113">SUM(F114:F130)</f>
        <v>5174</v>
      </c>
      <c r="G113" s="311">
        <f t="shared" si="37"/>
        <v>0</v>
      </c>
      <c r="H113" s="311">
        <f t="shared" si="37"/>
        <v>2116.7400000000002</v>
      </c>
      <c r="I113" s="311">
        <f t="shared" si="37"/>
        <v>377.88</v>
      </c>
      <c r="J113" s="311">
        <f t="shared" si="37"/>
        <v>300</v>
      </c>
      <c r="K113" s="311">
        <f t="shared" si="37"/>
        <v>0</v>
      </c>
      <c r="L113" s="311">
        <f t="shared" si="37"/>
        <v>0</v>
      </c>
      <c r="M113" s="311">
        <f t="shared" si="37"/>
        <v>0</v>
      </c>
      <c r="N113" s="311">
        <f t="shared" si="37"/>
        <v>0</v>
      </c>
      <c r="O113" s="311">
        <f t="shared" si="37"/>
        <v>0</v>
      </c>
      <c r="P113" s="311">
        <f t="shared" si="37"/>
        <v>0</v>
      </c>
      <c r="Q113" s="311">
        <f t="shared" si="37"/>
        <v>0</v>
      </c>
      <c r="R113" s="311">
        <f t="shared" si="37"/>
        <v>0</v>
      </c>
      <c r="S113" s="311">
        <f t="shared" si="37"/>
        <v>2794.62</v>
      </c>
      <c r="T113" s="34"/>
      <c r="U113" s="34"/>
      <c r="V113" s="34"/>
      <c r="W113" s="34"/>
      <c r="X113" s="34"/>
      <c r="Y113" s="312">
        <f>SUM(Y114:Y130)</f>
        <v>2379.38</v>
      </c>
      <c r="Z113" s="312">
        <f>SUM(Z114:Z130)</f>
        <v>0</v>
      </c>
      <c r="AA113" s="177"/>
      <c r="AB113" s="312">
        <f>SUM(AB114:AB130)</f>
        <v>2379.38</v>
      </c>
      <c r="AC113" s="312">
        <f>SUM(AC114:AC130)</f>
        <v>0</v>
      </c>
      <c r="AD113" s="312">
        <f>SUM(AD114:AD130)</f>
        <v>-379</v>
      </c>
    </row>
    <row r="114" spans="2:30" ht="12">
      <c r="B114" s="324">
        <v>14.1</v>
      </c>
      <c r="C114" s="324" t="s">
        <v>119</v>
      </c>
      <c r="D114" s="60">
        <f>550</f>
        <v>550</v>
      </c>
      <c r="E114" s="53">
        <v>2231</v>
      </c>
      <c r="F114" s="358">
        <f>SUM(D114:D118)</f>
        <v>2495</v>
      </c>
      <c r="G114" s="99"/>
      <c r="H114" s="100">
        <v>550</v>
      </c>
      <c r="I114" s="100"/>
      <c r="J114" s="51"/>
      <c r="K114" s="52"/>
      <c r="L114" s="93"/>
      <c r="M114" s="54"/>
      <c r="N114" s="54"/>
      <c r="O114" s="54"/>
      <c r="P114" s="54"/>
      <c r="Q114" s="54"/>
      <c r="R114" s="54"/>
      <c r="S114" s="55">
        <f aca="true" t="shared" si="38" ref="S114:S130">SUM(G114:R114)</f>
        <v>550</v>
      </c>
      <c r="Y114" s="62">
        <f aca="true" t="shared" si="39" ref="Y114:Y130">D114-S114</f>
        <v>0</v>
      </c>
      <c r="Z114" s="58"/>
      <c r="AB114" s="129">
        <f aca="true" t="shared" si="40" ref="AB114:AB130">D114-S114-Z114</f>
        <v>0</v>
      </c>
      <c r="AD114" s="58"/>
    </row>
    <row r="115" spans="2:30" ht="12">
      <c r="B115" s="324"/>
      <c r="C115" s="324"/>
      <c r="D115" s="61">
        <f>580+201+69</f>
        <v>850</v>
      </c>
      <c r="E115" s="53">
        <v>2390</v>
      </c>
      <c r="F115" s="358"/>
      <c r="G115" s="99"/>
      <c r="H115" s="100">
        <f>52.11+450+70</f>
        <v>572.11</v>
      </c>
      <c r="I115" s="100">
        <f>27+181.6+13.5+55.79</f>
        <v>277.89</v>
      </c>
      <c r="J115" s="51"/>
      <c r="K115" s="52"/>
      <c r="L115" s="93"/>
      <c r="M115" s="54"/>
      <c r="N115" s="54"/>
      <c r="O115" s="54"/>
      <c r="P115" s="54"/>
      <c r="Q115" s="54"/>
      <c r="R115" s="54"/>
      <c r="S115" s="55">
        <f t="shared" si="38"/>
        <v>850</v>
      </c>
      <c r="Y115" s="62">
        <f t="shared" si="39"/>
        <v>0</v>
      </c>
      <c r="Z115" s="58"/>
      <c r="AB115" s="129">
        <f t="shared" si="40"/>
        <v>0</v>
      </c>
      <c r="AD115" s="58"/>
    </row>
    <row r="116" spans="2:30" ht="15" customHeight="1">
      <c r="B116" s="324"/>
      <c r="C116" s="324"/>
      <c r="D116" s="61">
        <f>400</f>
        <v>400</v>
      </c>
      <c r="E116" s="53">
        <v>2264</v>
      </c>
      <c r="F116" s="358"/>
      <c r="G116" s="99"/>
      <c r="H116" s="100">
        <v>400</v>
      </c>
      <c r="I116" s="100"/>
      <c r="J116" s="51"/>
      <c r="K116" s="52"/>
      <c r="L116" s="93"/>
      <c r="M116" s="54"/>
      <c r="N116" s="54"/>
      <c r="O116" s="54"/>
      <c r="P116" s="54"/>
      <c r="Q116" s="54"/>
      <c r="R116" s="54"/>
      <c r="S116" s="55">
        <f t="shared" si="38"/>
        <v>400</v>
      </c>
      <c r="Y116" s="62">
        <f t="shared" si="39"/>
        <v>0</v>
      </c>
      <c r="Z116" s="58"/>
      <c r="AB116" s="129">
        <f t="shared" si="40"/>
        <v>0</v>
      </c>
      <c r="AD116" s="58"/>
    </row>
    <row r="117" spans="2:30" ht="15" customHeight="1">
      <c r="B117" s="324"/>
      <c r="C117" s="324"/>
      <c r="D117" s="61">
        <v>100</v>
      </c>
      <c r="E117" s="53">
        <v>2239</v>
      </c>
      <c r="F117" s="358"/>
      <c r="G117" s="99"/>
      <c r="H117" s="100"/>
      <c r="I117" s="100">
        <v>99.99</v>
      </c>
      <c r="J117" s="51"/>
      <c r="K117" s="52"/>
      <c r="L117" s="93"/>
      <c r="M117" s="54"/>
      <c r="N117" s="54"/>
      <c r="O117" s="54"/>
      <c r="P117" s="54"/>
      <c r="Q117" s="54"/>
      <c r="R117" s="54"/>
      <c r="S117" s="55">
        <f t="shared" si="38"/>
        <v>99.99</v>
      </c>
      <c r="Y117" s="62">
        <f t="shared" si="39"/>
        <v>0.010000000000005116</v>
      </c>
      <c r="Z117" s="58"/>
      <c r="AB117" s="129">
        <f t="shared" si="40"/>
        <v>0.010000000000005116</v>
      </c>
      <c r="AD117" s="58"/>
    </row>
    <row r="118" spans="2:30" ht="12.75" thickBot="1">
      <c r="B118" s="325"/>
      <c r="C118" s="325"/>
      <c r="D118" s="71">
        <f>600-5</f>
        <v>595</v>
      </c>
      <c r="E118" s="72">
        <v>2261</v>
      </c>
      <c r="F118" s="359"/>
      <c r="G118" s="103"/>
      <c r="H118" s="104">
        <f>129.45+465.18</f>
        <v>594.63</v>
      </c>
      <c r="I118" s="104"/>
      <c r="J118" s="74"/>
      <c r="K118" s="75"/>
      <c r="L118" s="94"/>
      <c r="M118" s="77"/>
      <c r="N118" s="77"/>
      <c r="O118" s="77"/>
      <c r="P118" s="77"/>
      <c r="Q118" s="77"/>
      <c r="R118" s="77"/>
      <c r="S118" s="78">
        <f t="shared" si="38"/>
        <v>594.63</v>
      </c>
      <c r="Y118" s="79">
        <f t="shared" si="39"/>
        <v>0.37000000000000455</v>
      </c>
      <c r="Z118" s="105"/>
      <c r="AB118" s="117">
        <f t="shared" si="40"/>
        <v>0.37000000000000455</v>
      </c>
      <c r="AC118" s="81"/>
      <c r="AD118" s="105"/>
    </row>
    <row r="119" spans="2:30" ht="12">
      <c r="B119" s="328">
        <v>14.2</v>
      </c>
      <c r="C119" s="328" t="s">
        <v>120</v>
      </c>
      <c r="D119" s="84">
        <f>600-100</f>
        <v>500</v>
      </c>
      <c r="E119" s="85">
        <v>2231</v>
      </c>
      <c r="F119" s="357">
        <f>SUM(D119:D123)</f>
        <v>2154</v>
      </c>
      <c r="G119" s="108"/>
      <c r="H119" s="109"/>
      <c r="I119" s="109"/>
      <c r="J119" s="87"/>
      <c r="K119" s="88"/>
      <c r="L119" s="89"/>
      <c r="M119" s="70"/>
      <c r="N119" s="70"/>
      <c r="O119" s="70"/>
      <c r="P119" s="70"/>
      <c r="Q119" s="70"/>
      <c r="R119" s="70"/>
      <c r="S119" s="90">
        <f t="shared" si="38"/>
        <v>0</v>
      </c>
      <c r="Y119" s="91">
        <f t="shared" si="39"/>
        <v>500</v>
      </c>
      <c r="Z119" s="110"/>
      <c r="AB119" s="91">
        <f t="shared" si="40"/>
        <v>500</v>
      </c>
      <c r="AD119" s="110"/>
    </row>
    <row r="120" spans="2:30" ht="12">
      <c r="B120" s="324"/>
      <c r="C120" s="324"/>
      <c r="D120" s="61">
        <f>200</f>
        <v>200</v>
      </c>
      <c r="E120" s="53">
        <v>2239</v>
      </c>
      <c r="F120" s="358"/>
      <c r="G120" s="99"/>
      <c r="H120" s="100"/>
      <c r="I120" s="100"/>
      <c r="J120" s="51"/>
      <c r="K120" s="52"/>
      <c r="L120" s="93"/>
      <c r="M120" s="54"/>
      <c r="N120" s="54"/>
      <c r="O120" s="54"/>
      <c r="P120" s="54"/>
      <c r="Q120" s="54"/>
      <c r="R120" s="54"/>
      <c r="S120" s="55">
        <f t="shared" si="38"/>
        <v>0</v>
      </c>
      <c r="Y120" s="62">
        <f t="shared" si="39"/>
        <v>200</v>
      </c>
      <c r="Z120" s="58"/>
      <c r="AB120" s="62">
        <f t="shared" si="40"/>
        <v>200</v>
      </c>
      <c r="AD120" s="58"/>
    </row>
    <row r="121" spans="2:30" ht="12">
      <c r="B121" s="324"/>
      <c r="C121" s="324"/>
      <c r="D121" s="61">
        <f>850-201-50-100</f>
        <v>499</v>
      </c>
      <c r="E121" s="53">
        <v>2390</v>
      </c>
      <c r="F121" s="358"/>
      <c r="G121" s="99"/>
      <c r="H121" s="100"/>
      <c r="I121" s="100"/>
      <c r="J121" s="51"/>
      <c r="K121" s="52"/>
      <c r="L121" s="93"/>
      <c r="M121" s="54"/>
      <c r="N121" s="54"/>
      <c r="O121" s="54"/>
      <c r="P121" s="54"/>
      <c r="Q121" s="54"/>
      <c r="R121" s="54"/>
      <c r="S121" s="55">
        <f t="shared" si="38"/>
        <v>0</v>
      </c>
      <c r="Y121" s="62">
        <f t="shared" si="39"/>
        <v>499</v>
      </c>
      <c r="Z121" s="58"/>
      <c r="AB121" s="62">
        <f t="shared" si="40"/>
        <v>499</v>
      </c>
      <c r="AD121" s="58">
        <v>-199</v>
      </c>
    </row>
    <row r="122" spans="2:30" ht="12">
      <c r="B122" s="324"/>
      <c r="C122" s="324"/>
      <c r="D122" s="61">
        <f>400-20</f>
        <v>380</v>
      </c>
      <c r="E122" s="53">
        <v>2264</v>
      </c>
      <c r="F122" s="358"/>
      <c r="G122" s="99"/>
      <c r="H122" s="100"/>
      <c r="I122" s="100"/>
      <c r="J122" s="51"/>
      <c r="K122" s="52"/>
      <c r="L122" s="93"/>
      <c r="M122" s="54"/>
      <c r="N122" s="54"/>
      <c r="O122" s="54"/>
      <c r="P122" s="54"/>
      <c r="Q122" s="54"/>
      <c r="R122" s="54"/>
      <c r="S122" s="55">
        <f t="shared" si="38"/>
        <v>0</v>
      </c>
      <c r="Y122" s="62">
        <f t="shared" si="39"/>
        <v>380</v>
      </c>
      <c r="Z122" s="58"/>
      <c r="AB122" s="62">
        <f t="shared" si="40"/>
        <v>380</v>
      </c>
      <c r="AD122" s="58">
        <v>-180</v>
      </c>
    </row>
    <row r="123" spans="2:30" ht="12.75" thickBot="1">
      <c r="B123" s="325"/>
      <c r="C123" s="325"/>
      <c r="D123" s="71">
        <f>600-25</f>
        <v>575</v>
      </c>
      <c r="E123" s="72">
        <v>2261</v>
      </c>
      <c r="F123" s="359"/>
      <c r="G123" s="103"/>
      <c r="H123" s="104"/>
      <c r="I123" s="104"/>
      <c r="J123" s="74"/>
      <c r="K123" s="75"/>
      <c r="L123" s="94"/>
      <c r="M123" s="77"/>
      <c r="N123" s="77"/>
      <c r="O123" s="77"/>
      <c r="P123" s="77"/>
      <c r="Q123" s="77"/>
      <c r="R123" s="77"/>
      <c r="S123" s="78">
        <f t="shared" si="38"/>
        <v>0</v>
      </c>
      <c r="Y123" s="79">
        <f t="shared" si="39"/>
        <v>575</v>
      </c>
      <c r="Z123" s="105"/>
      <c r="AB123" s="79">
        <f t="shared" si="40"/>
        <v>575</v>
      </c>
      <c r="AC123" s="81"/>
      <c r="AD123" s="105"/>
    </row>
    <row r="124" spans="2:30" ht="12.75" customHeight="1" hidden="1">
      <c r="B124" s="328">
        <v>14.3</v>
      </c>
      <c r="C124" s="328" t="s">
        <v>121</v>
      </c>
      <c r="D124" s="84">
        <v>0</v>
      </c>
      <c r="E124" s="85"/>
      <c r="F124" s="357">
        <f>D126</f>
        <v>175</v>
      </c>
      <c r="G124" s="108"/>
      <c r="H124" s="109"/>
      <c r="I124" s="109"/>
      <c r="J124" s="87"/>
      <c r="K124" s="88"/>
      <c r="L124" s="89"/>
      <c r="M124" s="70"/>
      <c r="N124" s="70"/>
      <c r="O124" s="70"/>
      <c r="P124" s="70"/>
      <c r="Q124" s="70"/>
      <c r="R124" s="70"/>
      <c r="S124" s="90">
        <f t="shared" si="38"/>
        <v>0</v>
      </c>
      <c r="Y124" s="91">
        <f t="shared" si="39"/>
        <v>0</v>
      </c>
      <c r="Z124" s="110"/>
      <c r="AB124" s="91">
        <f t="shared" si="40"/>
        <v>0</v>
      </c>
      <c r="AD124" s="110"/>
    </row>
    <row r="125" spans="2:30" ht="12.75" customHeight="1" hidden="1">
      <c r="B125" s="324"/>
      <c r="C125" s="324"/>
      <c r="D125" s="61">
        <v>0</v>
      </c>
      <c r="E125" s="53"/>
      <c r="F125" s="358"/>
      <c r="G125" s="99"/>
      <c r="H125" s="100"/>
      <c r="I125" s="100"/>
      <c r="J125" s="51"/>
      <c r="K125" s="52"/>
      <c r="L125" s="93"/>
      <c r="M125" s="54"/>
      <c r="N125" s="54"/>
      <c r="O125" s="54"/>
      <c r="P125" s="54"/>
      <c r="Q125" s="54"/>
      <c r="R125" s="54"/>
      <c r="S125" s="55">
        <f t="shared" si="38"/>
        <v>0</v>
      </c>
      <c r="Y125" s="62">
        <f t="shared" si="39"/>
        <v>0</v>
      </c>
      <c r="Z125" s="58"/>
      <c r="AB125" s="62">
        <f t="shared" si="40"/>
        <v>0</v>
      </c>
      <c r="AD125" s="58"/>
    </row>
    <row r="126" spans="2:30" ht="12">
      <c r="B126" s="324"/>
      <c r="C126" s="324"/>
      <c r="D126" s="61">
        <f>350-175</f>
        <v>175</v>
      </c>
      <c r="E126" s="53">
        <v>2264</v>
      </c>
      <c r="F126" s="358"/>
      <c r="G126" s="99"/>
      <c r="H126" s="100"/>
      <c r="I126" s="100"/>
      <c r="J126" s="51">
        <f>175</f>
        <v>175</v>
      </c>
      <c r="K126" s="52"/>
      <c r="L126" s="93"/>
      <c r="M126" s="54"/>
      <c r="N126" s="54"/>
      <c r="O126" s="54"/>
      <c r="P126" s="54"/>
      <c r="Q126" s="54"/>
      <c r="R126" s="54"/>
      <c r="S126" s="55">
        <f t="shared" si="38"/>
        <v>175</v>
      </c>
      <c r="Y126" s="62">
        <f t="shared" si="39"/>
        <v>0</v>
      </c>
      <c r="Z126" s="58"/>
      <c r="AB126" s="62">
        <f t="shared" si="40"/>
        <v>0</v>
      </c>
      <c r="AD126" s="58"/>
    </row>
    <row r="127" spans="2:30" ht="12.75" customHeight="1" hidden="1">
      <c r="B127" s="125"/>
      <c r="C127" s="125" t="s">
        <v>122</v>
      </c>
      <c r="D127" s="61">
        <v>0</v>
      </c>
      <c r="E127" s="53"/>
      <c r="F127" s="99">
        <v>0</v>
      </c>
      <c r="G127" s="99"/>
      <c r="H127" s="100"/>
      <c r="I127" s="100"/>
      <c r="J127" s="51"/>
      <c r="K127" s="52"/>
      <c r="L127" s="93"/>
      <c r="M127" s="54"/>
      <c r="N127" s="54"/>
      <c r="O127" s="54"/>
      <c r="P127" s="54"/>
      <c r="Q127" s="54"/>
      <c r="R127" s="54"/>
      <c r="S127" s="55">
        <f t="shared" si="38"/>
        <v>0</v>
      </c>
      <c r="Y127" s="62">
        <f t="shared" si="39"/>
        <v>0</v>
      </c>
      <c r="Z127" s="58"/>
      <c r="AB127" s="62">
        <f t="shared" si="40"/>
        <v>0</v>
      </c>
      <c r="AD127" s="58"/>
    </row>
    <row r="128" spans="2:30" ht="12.75" thickBot="1">
      <c r="B128" s="126">
        <v>14.5</v>
      </c>
      <c r="C128" s="126" t="s">
        <v>123</v>
      </c>
      <c r="D128" s="71">
        <f>250-125</f>
        <v>125</v>
      </c>
      <c r="E128" s="72">
        <v>2264</v>
      </c>
      <c r="F128" s="103">
        <f>D128</f>
        <v>125</v>
      </c>
      <c r="G128" s="103"/>
      <c r="H128" s="104"/>
      <c r="I128" s="104"/>
      <c r="J128" s="74">
        <f>125</f>
        <v>125</v>
      </c>
      <c r="K128" s="75"/>
      <c r="L128" s="94"/>
      <c r="M128" s="77"/>
      <c r="N128" s="77"/>
      <c r="O128" s="77"/>
      <c r="P128" s="77"/>
      <c r="Q128" s="77"/>
      <c r="R128" s="77"/>
      <c r="S128" s="78">
        <f t="shared" si="38"/>
        <v>125</v>
      </c>
      <c r="Y128" s="79">
        <f t="shared" si="39"/>
        <v>0</v>
      </c>
      <c r="Z128" s="105"/>
      <c r="AB128" s="79">
        <f t="shared" si="40"/>
        <v>0</v>
      </c>
      <c r="AC128" s="81"/>
      <c r="AD128" s="105"/>
    </row>
    <row r="129" spans="2:30" ht="12">
      <c r="B129" s="328">
        <v>14.6</v>
      </c>
      <c r="C129" s="376" t="s">
        <v>124</v>
      </c>
      <c r="D129" s="84">
        <f>250-25</f>
        <v>225</v>
      </c>
      <c r="E129" s="85">
        <v>2390</v>
      </c>
      <c r="F129" s="357">
        <f>D129</f>
        <v>225</v>
      </c>
      <c r="G129" s="108"/>
      <c r="H129" s="109"/>
      <c r="I129" s="109"/>
      <c r="J129" s="87"/>
      <c r="K129" s="88"/>
      <c r="L129" s="89"/>
      <c r="M129" s="70"/>
      <c r="N129" s="70"/>
      <c r="O129" s="70"/>
      <c r="P129" s="70"/>
      <c r="Q129" s="70"/>
      <c r="R129" s="70"/>
      <c r="S129" s="90">
        <f t="shared" si="38"/>
        <v>0</v>
      </c>
      <c r="Y129" s="91">
        <f t="shared" si="39"/>
        <v>225</v>
      </c>
      <c r="Z129" s="110"/>
      <c r="AB129" s="110">
        <f t="shared" si="40"/>
        <v>225</v>
      </c>
      <c r="AD129" s="110"/>
    </row>
    <row r="130" spans="2:30" ht="12.75" customHeight="1" hidden="1">
      <c r="B130" s="324"/>
      <c r="C130" s="377"/>
      <c r="D130" s="60"/>
      <c r="E130" s="53">
        <v>2231</v>
      </c>
      <c r="F130" s="358"/>
      <c r="G130" s="99"/>
      <c r="H130" s="100"/>
      <c r="I130" s="100"/>
      <c r="J130" s="51"/>
      <c r="K130" s="52"/>
      <c r="L130" s="93"/>
      <c r="M130" s="54"/>
      <c r="N130" s="54"/>
      <c r="O130" s="54"/>
      <c r="P130" s="54"/>
      <c r="Q130" s="54"/>
      <c r="R130" s="54"/>
      <c r="S130" s="55">
        <f t="shared" si="38"/>
        <v>0</v>
      </c>
      <c r="Y130" s="56">
        <f t="shared" si="39"/>
        <v>0</v>
      </c>
      <c r="Z130" s="58"/>
      <c r="AB130" s="58">
        <f t="shared" si="40"/>
        <v>0</v>
      </c>
      <c r="AD130" s="58"/>
    </row>
    <row r="131" spans="2:30" ht="12.75" customHeight="1" hidden="1">
      <c r="B131" s="44">
        <v>15</v>
      </c>
      <c r="C131" s="45" t="s">
        <v>125</v>
      </c>
      <c r="D131" s="198">
        <f>SUM(D132:D132)</f>
        <v>0</v>
      </c>
      <c r="E131" s="199"/>
      <c r="F131" s="198">
        <f aca="true" t="shared" si="41" ref="F131:S131">SUM(F132)</f>
        <v>0</v>
      </c>
      <c r="G131" s="198">
        <f t="shared" si="41"/>
        <v>0</v>
      </c>
      <c r="H131" s="200">
        <f t="shared" si="41"/>
        <v>0</v>
      </c>
      <c r="I131" s="200">
        <f t="shared" si="41"/>
        <v>0</v>
      </c>
      <c r="J131" s="200">
        <f t="shared" si="41"/>
        <v>0</v>
      </c>
      <c r="K131" s="198">
        <f t="shared" si="41"/>
        <v>0</v>
      </c>
      <c r="L131" s="198">
        <f t="shared" si="41"/>
        <v>0</v>
      </c>
      <c r="M131" s="198">
        <f t="shared" si="41"/>
        <v>0</v>
      </c>
      <c r="N131" s="198">
        <f t="shared" si="41"/>
        <v>0</v>
      </c>
      <c r="O131" s="198">
        <f t="shared" si="41"/>
        <v>0</v>
      </c>
      <c r="P131" s="198">
        <f t="shared" si="41"/>
        <v>0</v>
      </c>
      <c r="Q131" s="198">
        <f t="shared" si="41"/>
        <v>0</v>
      </c>
      <c r="R131" s="198">
        <f t="shared" si="41"/>
        <v>0</v>
      </c>
      <c r="S131" s="198">
        <f t="shared" si="41"/>
        <v>0</v>
      </c>
      <c r="Y131" s="201">
        <f>SUM(Y132)</f>
        <v>0</v>
      </c>
      <c r="Z131" s="201">
        <f>SUM(Z132)</f>
        <v>0</v>
      </c>
      <c r="AB131" s="201">
        <f>SUM(AB132)</f>
        <v>0</v>
      </c>
      <c r="AC131" s="46"/>
      <c r="AD131" s="201"/>
    </row>
    <row r="132" spans="2:30" ht="22.5" customHeight="1" hidden="1">
      <c r="B132" s="202">
        <v>15.1</v>
      </c>
      <c r="C132" s="125" t="s">
        <v>126</v>
      </c>
      <c r="D132" s="99">
        <v>0</v>
      </c>
      <c r="E132" s="18"/>
      <c r="F132" s="99">
        <v>0</v>
      </c>
      <c r="G132" s="99"/>
      <c r="H132" s="100"/>
      <c r="I132" s="100"/>
      <c r="J132" s="51"/>
      <c r="K132" s="52"/>
      <c r="L132" s="203"/>
      <c r="M132" s="54"/>
      <c r="N132" s="54"/>
      <c r="O132" s="54"/>
      <c r="P132" s="54"/>
      <c r="Q132" s="54"/>
      <c r="R132" s="54"/>
      <c r="S132" s="55">
        <f>SUM(G132:R132)</f>
        <v>0</v>
      </c>
      <c r="Y132" s="56">
        <f>D132-S132</f>
        <v>0</v>
      </c>
      <c r="Z132" s="58"/>
      <c r="AB132" s="58">
        <f>D132-S132-Z132</f>
        <v>0</v>
      </c>
      <c r="AD132" s="58"/>
    </row>
    <row r="133" spans="2:30" ht="12">
      <c r="B133" s="304">
        <v>16</v>
      </c>
      <c r="C133" s="199" t="s">
        <v>127</v>
      </c>
      <c r="D133" s="214">
        <f>SUM(D134:D143)</f>
        <v>7150</v>
      </c>
      <c r="E133" s="199"/>
      <c r="F133" s="214">
        <f aca="true" t="shared" si="42" ref="F133:S133">SUM(F134:F143)</f>
        <v>7150</v>
      </c>
      <c r="G133" s="214">
        <f t="shared" si="42"/>
        <v>0</v>
      </c>
      <c r="H133" s="214">
        <f t="shared" si="42"/>
        <v>0</v>
      </c>
      <c r="I133" s="214">
        <f t="shared" si="42"/>
        <v>0</v>
      </c>
      <c r="J133" s="214">
        <f t="shared" si="42"/>
        <v>0</v>
      </c>
      <c r="K133" s="214">
        <f t="shared" si="42"/>
        <v>0</v>
      </c>
      <c r="L133" s="214">
        <f t="shared" si="42"/>
        <v>0</v>
      </c>
      <c r="M133" s="214">
        <f t="shared" si="42"/>
        <v>225</v>
      </c>
      <c r="N133" s="214">
        <f t="shared" si="42"/>
        <v>0</v>
      </c>
      <c r="O133" s="214">
        <f t="shared" si="42"/>
        <v>0</v>
      </c>
      <c r="P133" s="214">
        <f t="shared" si="42"/>
        <v>0</v>
      </c>
      <c r="Q133" s="214">
        <f t="shared" si="42"/>
        <v>0</v>
      </c>
      <c r="R133" s="214">
        <f t="shared" si="42"/>
        <v>0</v>
      </c>
      <c r="S133" s="214">
        <f t="shared" si="42"/>
        <v>225</v>
      </c>
      <c r="T133" s="34"/>
      <c r="U133" s="34"/>
      <c r="V133" s="34"/>
      <c r="W133" s="34"/>
      <c r="X133" s="34"/>
      <c r="Y133" s="308">
        <f>SUM(Y134:Y143)</f>
        <v>6925</v>
      </c>
      <c r="Z133" s="308">
        <f>SUM(Z134:Z143)</f>
        <v>6700</v>
      </c>
      <c r="AA133" s="177"/>
      <c r="AB133" s="308">
        <f>SUM(AB134:AB143)</f>
        <v>225</v>
      </c>
      <c r="AC133" s="308">
        <f>SUM(AC134:AC143)</f>
        <v>0</v>
      </c>
      <c r="AD133" s="308">
        <f>SUM(AD134:AD143)</f>
        <v>-225</v>
      </c>
    </row>
    <row r="134" spans="2:30" ht="12.75" customHeight="1">
      <c r="B134" s="97">
        <v>16.1</v>
      </c>
      <c r="C134" s="125" t="s">
        <v>128</v>
      </c>
      <c r="D134" s="175">
        <f>2500-250+1450</f>
        <v>3700</v>
      </c>
      <c r="E134" s="124">
        <v>2279</v>
      </c>
      <c r="F134" s="99">
        <f>SUM(D134:D134)</f>
        <v>3700</v>
      </c>
      <c r="G134" s="99"/>
      <c r="H134" s="100"/>
      <c r="I134" s="100"/>
      <c r="J134" s="51"/>
      <c r="K134" s="52"/>
      <c r="L134" s="93"/>
      <c r="M134" s="54"/>
      <c r="N134" s="54"/>
      <c r="O134" s="54"/>
      <c r="P134" s="54"/>
      <c r="Q134" s="54"/>
      <c r="R134" s="54"/>
      <c r="S134" s="55">
        <f aca="true" t="shared" si="43" ref="S134:S143">SUM(G134:R134)</f>
        <v>0</v>
      </c>
      <c r="Y134" s="62">
        <f aca="true" t="shared" si="44" ref="Y134:Y143">D134-S134</f>
        <v>3700</v>
      </c>
      <c r="Z134" s="58">
        <f>3700-S134</f>
        <v>3700</v>
      </c>
      <c r="AB134" s="58">
        <f aca="true" t="shared" si="45" ref="AB134:AB143">D134-S134-Z134</f>
        <v>0</v>
      </c>
      <c r="AD134" s="58"/>
    </row>
    <row r="135" spans="2:30" ht="24">
      <c r="B135" s="97">
        <v>16.2</v>
      </c>
      <c r="C135" s="125" t="s">
        <v>129</v>
      </c>
      <c r="D135" s="175">
        <f>2500-250-250</f>
        <v>2000</v>
      </c>
      <c r="E135" s="124">
        <v>2279</v>
      </c>
      <c r="F135" s="99">
        <f>SUM(D135:D135)</f>
        <v>2000</v>
      </c>
      <c r="G135" s="99"/>
      <c r="H135" s="100"/>
      <c r="I135" s="100"/>
      <c r="J135" s="51"/>
      <c r="K135" s="52"/>
      <c r="L135" s="93"/>
      <c r="M135" s="54"/>
      <c r="N135" s="54"/>
      <c r="O135" s="54"/>
      <c r="P135" s="54"/>
      <c r="Q135" s="54"/>
      <c r="R135" s="54"/>
      <c r="S135" s="55">
        <f t="shared" si="43"/>
        <v>0</v>
      </c>
      <c r="Y135" s="62">
        <f t="shared" si="44"/>
        <v>2000</v>
      </c>
      <c r="Z135" s="58">
        <f>2000-S135</f>
        <v>2000</v>
      </c>
      <c r="AB135" s="58">
        <f t="shared" si="45"/>
        <v>0</v>
      </c>
      <c r="AD135" s="58"/>
    </row>
    <row r="136" spans="2:30" ht="12">
      <c r="B136" s="97">
        <v>16.3</v>
      </c>
      <c r="C136" s="125" t="s">
        <v>130</v>
      </c>
      <c r="D136" s="175">
        <f>1000-100-900</f>
        <v>0</v>
      </c>
      <c r="E136" s="124">
        <v>2279</v>
      </c>
      <c r="F136" s="99">
        <f>SUM(D136:D136)</f>
        <v>0</v>
      </c>
      <c r="G136" s="99"/>
      <c r="H136" s="100"/>
      <c r="I136" s="100"/>
      <c r="J136" s="51"/>
      <c r="K136" s="52"/>
      <c r="L136" s="204"/>
      <c r="M136" s="54"/>
      <c r="N136" s="54"/>
      <c r="O136" s="54"/>
      <c r="P136" s="54"/>
      <c r="Q136" s="54"/>
      <c r="R136" s="54"/>
      <c r="S136" s="55">
        <f t="shared" si="43"/>
        <v>0</v>
      </c>
      <c r="Y136" s="62">
        <f t="shared" si="44"/>
        <v>0</v>
      </c>
      <c r="Z136" s="58"/>
      <c r="AB136" s="58">
        <f t="shared" si="45"/>
        <v>0</v>
      </c>
      <c r="AD136" s="58"/>
    </row>
    <row r="137" spans="2:30" ht="24.75" thickBot="1">
      <c r="B137" s="102">
        <v>16.4</v>
      </c>
      <c r="C137" s="126" t="s">
        <v>131</v>
      </c>
      <c r="D137" s="205">
        <f>700-70+1000-630</f>
        <v>1000</v>
      </c>
      <c r="E137" s="179">
        <v>2279</v>
      </c>
      <c r="F137" s="103">
        <f>SUM(D137:D137)</f>
        <v>1000</v>
      </c>
      <c r="G137" s="103"/>
      <c r="H137" s="104"/>
      <c r="I137" s="104"/>
      <c r="J137" s="74"/>
      <c r="K137" s="75"/>
      <c r="L137" s="206"/>
      <c r="M137" s="77"/>
      <c r="N137" s="77"/>
      <c r="O137" s="77"/>
      <c r="P137" s="77"/>
      <c r="Q137" s="77"/>
      <c r="R137" s="77"/>
      <c r="S137" s="78">
        <f t="shared" si="43"/>
        <v>0</v>
      </c>
      <c r="Y137" s="79">
        <f t="shared" si="44"/>
        <v>1000</v>
      </c>
      <c r="Z137" s="105">
        <f>1000-S137</f>
        <v>1000</v>
      </c>
      <c r="AB137" s="79">
        <f t="shared" si="45"/>
        <v>0</v>
      </c>
      <c r="AC137" s="207"/>
      <c r="AD137" s="105"/>
    </row>
    <row r="138" spans="2:30" ht="12">
      <c r="B138" s="374">
        <v>16.5</v>
      </c>
      <c r="C138" s="376" t="s">
        <v>132</v>
      </c>
      <c r="D138" s="172">
        <f>100-10</f>
        <v>90</v>
      </c>
      <c r="E138" s="122">
        <v>2264</v>
      </c>
      <c r="F138" s="357">
        <f>SUM(D138:D140)</f>
        <v>225</v>
      </c>
      <c r="G138" s="108"/>
      <c r="H138" s="109"/>
      <c r="I138" s="109"/>
      <c r="J138" s="87"/>
      <c r="K138" s="88"/>
      <c r="L138" s="208"/>
      <c r="M138" s="70">
        <v>90</v>
      </c>
      <c r="N138" s="70"/>
      <c r="O138" s="70"/>
      <c r="P138" s="70"/>
      <c r="Q138" s="70"/>
      <c r="R138" s="70"/>
      <c r="S138" s="90">
        <f t="shared" si="43"/>
        <v>90</v>
      </c>
      <c r="Y138" s="91">
        <f t="shared" si="44"/>
        <v>0</v>
      </c>
      <c r="Z138" s="110"/>
      <c r="AB138" s="91">
        <f t="shared" si="45"/>
        <v>0</v>
      </c>
      <c r="AD138" s="110"/>
    </row>
    <row r="139" spans="2:30" ht="12.75" customHeight="1">
      <c r="B139" s="379"/>
      <c r="C139" s="377"/>
      <c r="D139" s="175">
        <f>100-10</f>
        <v>90</v>
      </c>
      <c r="E139" s="124">
        <v>2239</v>
      </c>
      <c r="F139" s="358"/>
      <c r="G139" s="99"/>
      <c r="H139" s="100"/>
      <c r="I139" s="100"/>
      <c r="J139" s="51"/>
      <c r="K139" s="52"/>
      <c r="L139" s="95"/>
      <c r="M139" s="54">
        <v>90</v>
      </c>
      <c r="N139" s="54"/>
      <c r="O139" s="54"/>
      <c r="P139" s="54"/>
      <c r="Q139" s="54"/>
      <c r="R139" s="54"/>
      <c r="S139" s="55">
        <f t="shared" si="43"/>
        <v>90</v>
      </c>
      <c r="Y139" s="62">
        <f t="shared" si="44"/>
        <v>0</v>
      </c>
      <c r="Z139" s="58"/>
      <c r="AB139" s="62">
        <f t="shared" si="45"/>
        <v>0</v>
      </c>
      <c r="AD139" s="58"/>
    </row>
    <row r="140" spans="2:30" ht="13.5" customHeight="1" thickBot="1">
      <c r="B140" s="375"/>
      <c r="C140" s="378"/>
      <c r="D140" s="205">
        <f>50-5</f>
        <v>45</v>
      </c>
      <c r="E140" s="179">
        <v>2231</v>
      </c>
      <c r="F140" s="359"/>
      <c r="G140" s="103"/>
      <c r="H140" s="104"/>
      <c r="I140" s="104"/>
      <c r="J140" s="74"/>
      <c r="K140" s="75"/>
      <c r="L140" s="206"/>
      <c r="M140" s="77">
        <v>45</v>
      </c>
      <c r="N140" s="77"/>
      <c r="O140" s="77"/>
      <c r="P140" s="77"/>
      <c r="Q140" s="77"/>
      <c r="R140" s="77"/>
      <c r="S140" s="78">
        <f t="shared" si="43"/>
        <v>45</v>
      </c>
      <c r="Y140" s="79">
        <f t="shared" si="44"/>
        <v>0</v>
      </c>
      <c r="Z140" s="105"/>
      <c r="AB140" s="79">
        <f t="shared" si="45"/>
        <v>0</v>
      </c>
      <c r="AC140" s="81"/>
      <c r="AD140" s="105"/>
    </row>
    <row r="141" spans="2:30" ht="12">
      <c r="B141" s="374">
        <v>16.6</v>
      </c>
      <c r="C141" s="376" t="s">
        <v>133</v>
      </c>
      <c r="D141" s="172">
        <f>100-10</f>
        <v>90</v>
      </c>
      <c r="E141" s="122">
        <v>2264</v>
      </c>
      <c r="F141" s="357">
        <f>SUM(D141:D143)</f>
        <v>225</v>
      </c>
      <c r="G141" s="108"/>
      <c r="H141" s="109"/>
      <c r="I141" s="109"/>
      <c r="J141" s="87"/>
      <c r="K141" s="88"/>
      <c r="L141" s="211"/>
      <c r="M141" s="70"/>
      <c r="N141" s="70"/>
      <c r="O141" s="70"/>
      <c r="P141" s="70"/>
      <c r="Q141" s="70"/>
      <c r="R141" s="70"/>
      <c r="S141" s="90">
        <f t="shared" si="43"/>
        <v>0</v>
      </c>
      <c r="Y141" s="91">
        <f t="shared" si="44"/>
        <v>90</v>
      </c>
      <c r="Z141" s="110"/>
      <c r="AB141" s="91">
        <f t="shared" si="45"/>
        <v>90</v>
      </c>
      <c r="AD141" s="110">
        <v>-90</v>
      </c>
    </row>
    <row r="142" spans="2:30" ht="12">
      <c r="B142" s="379"/>
      <c r="C142" s="377"/>
      <c r="D142" s="175">
        <f>100-10</f>
        <v>90</v>
      </c>
      <c r="E142" s="124">
        <v>2239</v>
      </c>
      <c r="F142" s="358"/>
      <c r="G142" s="99"/>
      <c r="H142" s="100"/>
      <c r="I142" s="100"/>
      <c r="J142" s="51"/>
      <c r="K142" s="52"/>
      <c r="L142" s="204"/>
      <c r="M142" s="54"/>
      <c r="N142" s="54"/>
      <c r="O142" s="54"/>
      <c r="P142" s="54"/>
      <c r="Q142" s="54"/>
      <c r="R142" s="54"/>
      <c r="S142" s="55">
        <f t="shared" si="43"/>
        <v>0</v>
      </c>
      <c r="Y142" s="62">
        <f t="shared" si="44"/>
        <v>90</v>
      </c>
      <c r="Z142" s="58"/>
      <c r="AB142" s="62">
        <f t="shared" si="45"/>
        <v>90</v>
      </c>
      <c r="AD142" s="58">
        <v>-90</v>
      </c>
    </row>
    <row r="143" spans="2:30" ht="12">
      <c r="B143" s="379"/>
      <c r="C143" s="377"/>
      <c r="D143" s="212">
        <f>50-5</f>
        <v>45</v>
      </c>
      <c r="E143" s="124">
        <v>2231</v>
      </c>
      <c r="F143" s="358"/>
      <c r="G143" s="99"/>
      <c r="H143" s="100"/>
      <c r="I143" s="100"/>
      <c r="J143" s="51"/>
      <c r="K143" s="52"/>
      <c r="L143" s="204"/>
      <c r="M143" s="54"/>
      <c r="N143" s="54"/>
      <c r="O143" s="54"/>
      <c r="P143" s="54"/>
      <c r="Q143" s="54"/>
      <c r="R143" s="54"/>
      <c r="S143" s="55">
        <f t="shared" si="43"/>
        <v>0</v>
      </c>
      <c r="Y143" s="62">
        <f t="shared" si="44"/>
        <v>45</v>
      </c>
      <c r="Z143" s="58"/>
      <c r="AB143" s="62">
        <f t="shared" si="45"/>
        <v>45</v>
      </c>
      <c r="AD143" s="58">
        <v>-45</v>
      </c>
    </row>
    <row r="144" spans="1:30" ht="12">
      <c r="A144" s="213"/>
      <c r="B144" s="304">
        <v>17</v>
      </c>
      <c r="C144" s="199" t="s">
        <v>134</v>
      </c>
      <c r="D144" s="200">
        <f>SUM(D145:D146)</f>
        <v>240</v>
      </c>
      <c r="E144" s="199"/>
      <c r="F144" s="200">
        <f aca="true" t="shared" si="46" ref="F144:S144">SUM(F145:F146)</f>
        <v>240</v>
      </c>
      <c r="G144" s="200">
        <f t="shared" si="46"/>
        <v>0</v>
      </c>
      <c r="H144" s="200">
        <f t="shared" si="46"/>
        <v>0</v>
      </c>
      <c r="I144" s="200">
        <f t="shared" si="46"/>
        <v>0</v>
      </c>
      <c r="J144" s="200">
        <f t="shared" si="46"/>
        <v>0</v>
      </c>
      <c r="K144" s="200">
        <f t="shared" si="46"/>
        <v>0</v>
      </c>
      <c r="L144" s="200">
        <f t="shared" si="46"/>
        <v>0</v>
      </c>
      <c r="M144" s="200">
        <f>SUM(M146:M146)</f>
        <v>120</v>
      </c>
      <c r="N144" s="200">
        <f t="shared" si="46"/>
        <v>0</v>
      </c>
      <c r="O144" s="200">
        <f t="shared" si="46"/>
        <v>0</v>
      </c>
      <c r="P144" s="200">
        <f t="shared" si="46"/>
        <v>0</v>
      </c>
      <c r="Q144" s="200">
        <f t="shared" si="46"/>
        <v>0</v>
      </c>
      <c r="R144" s="200">
        <f t="shared" si="46"/>
        <v>0</v>
      </c>
      <c r="S144" s="200">
        <f t="shared" si="46"/>
        <v>239.79000000000002</v>
      </c>
      <c r="T144" s="34"/>
      <c r="U144" s="34"/>
      <c r="V144" s="34"/>
      <c r="W144" s="34"/>
      <c r="X144" s="34"/>
      <c r="Y144" s="313">
        <f>SUM(Y145:Y146)</f>
        <v>0.20999999999999375</v>
      </c>
      <c r="Z144" s="313">
        <f>SUM(Z145:Z146)</f>
        <v>0</v>
      </c>
      <c r="AA144" s="177"/>
      <c r="AB144" s="313">
        <f>SUM(AB145:AB146)</f>
        <v>0.20999999999999375</v>
      </c>
      <c r="AC144" s="313">
        <f>SUM(AC145:AC146)</f>
        <v>0</v>
      </c>
      <c r="AD144" s="313">
        <f>SUM(AD145:AD146)</f>
        <v>0</v>
      </c>
    </row>
    <row r="145" spans="2:30" ht="12">
      <c r="B145" s="354">
        <v>17.1</v>
      </c>
      <c r="C145" s="326" t="s">
        <v>135</v>
      </c>
      <c r="D145" s="175">
        <f>150-30</f>
        <v>120</v>
      </c>
      <c r="E145" s="124">
        <v>2390</v>
      </c>
      <c r="F145" s="381">
        <f>SUM(D145:D146)</f>
        <v>240</v>
      </c>
      <c r="G145" s="100"/>
      <c r="H145" s="100"/>
      <c r="I145" s="100"/>
      <c r="J145" s="51"/>
      <c r="K145" s="124"/>
      <c r="L145" s="124"/>
      <c r="M145" s="314">
        <v>119.79</v>
      </c>
      <c r="N145" s="51"/>
      <c r="O145" s="51"/>
      <c r="P145" s="51"/>
      <c r="Q145" s="51"/>
      <c r="R145" s="51"/>
      <c r="S145" s="315">
        <f>SUM(G145:R145)</f>
        <v>119.79</v>
      </c>
      <c r="T145" s="34"/>
      <c r="U145" s="34"/>
      <c r="V145" s="34"/>
      <c r="W145" s="34"/>
      <c r="X145" s="34"/>
      <c r="Y145" s="62">
        <f>D145-S145</f>
        <v>0.20999999999999375</v>
      </c>
      <c r="Z145" s="62"/>
      <c r="AA145" s="177"/>
      <c r="AB145" s="62">
        <f>D145-S145-Z145</f>
        <v>0.20999999999999375</v>
      </c>
      <c r="AC145" s="34"/>
      <c r="AD145" s="62"/>
    </row>
    <row r="146" spans="2:30" ht="12">
      <c r="B146" s="354"/>
      <c r="C146" s="326"/>
      <c r="D146" s="175">
        <v>120</v>
      </c>
      <c r="E146" s="124">
        <v>2262</v>
      </c>
      <c r="F146" s="381"/>
      <c r="G146" s="100"/>
      <c r="H146" s="100"/>
      <c r="I146" s="100"/>
      <c r="J146" s="51"/>
      <c r="K146" s="124"/>
      <c r="L146" s="124"/>
      <c r="M146" s="51">
        <v>120</v>
      </c>
      <c r="N146" s="51"/>
      <c r="O146" s="51"/>
      <c r="P146" s="51"/>
      <c r="Q146" s="51"/>
      <c r="R146" s="51"/>
      <c r="S146" s="315">
        <f>SUM(G146:R146)</f>
        <v>120</v>
      </c>
      <c r="T146" s="34"/>
      <c r="U146" s="34"/>
      <c r="V146" s="34"/>
      <c r="W146" s="34"/>
      <c r="X146" s="34"/>
      <c r="Y146" s="62">
        <f>D146-S146</f>
        <v>0</v>
      </c>
      <c r="Z146" s="62"/>
      <c r="AA146" s="177"/>
      <c r="AB146" s="62">
        <f>D146-S146-Z146</f>
        <v>0</v>
      </c>
      <c r="AC146" s="34"/>
      <c r="AD146" s="62"/>
    </row>
    <row r="147" spans="1:30" ht="18.75" customHeight="1" hidden="1">
      <c r="A147" s="213"/>
      <c r="B147" s="304">
        <v>18</v>
      </c>
      <c r="C147" s="199" t="s">
        <v>136</v>
      </c>
      <c r="D147" s="200">
        <f>SUM(D148:D148)</f>
        <v>0</v>
      </c>
      <c r="E147" s="200"/>
      <c r="F147" s="200">
        <f aca="true" t="shared" si="47" ref="F147:L147">SUM(F148:F148)</f>
        <v>0</v>
      </c>
      <c r="G147" s="200">
        <f t="shared" si="47"/>
        <v>0</v>
      </c>
      <c r="H147" s="200">
        <f t="shared" si="47"/>
        <v>0</v>
      </c>
      <c r="I147" s="200">
        <f t="shared" si="47"/>
        <v>0</v>
      </c>
      <c r="J147" s="200">
        <f t="shared" si="47"/>
        <v>0</v>
      </c>
      <c r="K147" s="200">
        <f t="shared" si="47"/>
        <v>0</v>
      </c>
      <c r="L147" s="200">
        <f t="shared" si="47"/>
        <v>0</v>
      </c>
      <c r="M147" s="200">
        <f aca="true" t="shared" si="48" ref="M147:S147">SUM(M148)</f>
        <v>0</v>
      </c>
      <c r="N147" s="200">
        <f t="shared" si="48"/>
        <v>0</v>
      </c>
      <c r="O147" s="200">
        <f t="shared" si="48"/>
        <v>0</v>
      </c>
      <c r="P147" s="200">
        <f t="shared" si="48"/>
        <v>0</v>
      </c>
      <c r="Q147" s="200">
        <f t="shared" si="48"/>
        <v>0</v>
      </c>
      <c r="R147" s="200">
        <f t="shared" si="48"/>
        <v>0</v>
      </c>
      <c r="S147" s="200">
        <f t="shared" si="48"/>
        <v>0</v>
      </c>
      <c r="T147" s="34"/>
      <c r="U147" s="34"/>
      <c r="V147" s="34"/>
      <c r="W147" s="34"/>
      <c r="X147" s="34"/>
      <c r="Y147" s="313">
        <f>SUM(Y148)</f>
        <v>0</v>
      </c>
      <c r="Z147" s="313">
        <f>SUM(Z148)</f>
        <v>0</v>
      </c>
      <c r="AA147" s="177"/>
      <c r="AB147" s="313">
        <f>SUM(AB148)</f>
        <v>0</v>
      </c>
      <c r="AC147" s="34"/>
      <c r="AD147" s="313"/>
    </row>
    <row r="148" spans="2:30" ht="18" customHeight="1" hidden="1">
      <c r="B148" s="252">
        <v>18.1</v>
      </c>
      <c r="C148" s="228" t="s">
        <v>137</v>
      </c>
      <c r="D148" s="175">
        <v>0</v>
      </c>
      <c r="E148" s="124"/>
      <c r="F148" s="100">
        <v>0</v>
      </c>
      <c r="G148" s="100"/>
      <c r="H148" s="100"/>
      <c r="I148" s="100"/>
      <c r="J148" s="51"/>
      <c r="K148" s="124"/>
      <c r="L148" s="124"/>
      <c r="M148" s="51"/>
      <c r="N148" s="51"/>
      <c r="O148" s="51"/>
      <c r="P148" s="51"/>
      <c r="Q148" s="51"/>
      <c r="R148" s="51"/>
      <c r="S148" s="315">
        <f>SUM(G148:R148)</f>
        <v>0</v>
      </c>
      <c r="T148" s="34"/>
      <c r="U148" s="34"/>
      <c r="V148" s="34"/>
      <c r="W148" s="34"/>
      <c r="X148" s="34"/>
      <c r="Y148" s="62">
        <f>D148-S148</f>
        <v>0</v>
      </c>
      <c r="Z148" s="62"/>
      <c r="AA148" s="177"/>
      <c r="AB148" s="62">
        <f>D148-S148-Z148</f>
        <v>0</v>
      </c>
      <c r="AC148" s="34"/>
      <c r="AD148" s="62"/>
    </row>
    <row r="149" spans="1:30" ht="12">
      <c r="A149" s="213"/>
      <c r="B149" s="304">
        <v>19</v>
      </c>
      <c r="C149" s="199" t="s">
        <v>138</v>
      </c>
      <c r="D149" s="214">
        <f>SUM(D150:D153)</f>
        <v>880</v>
      </c>
      <c r="E149" s="199"/>
      <c r="F149" s="214">
        <f aca="true" t="shared" si="49" ref="F149:S149">SUM(F150:F153)</f>
        <v>880</v>
      </c>
      <c r="G149" s="214">
        <f t="shared" si="49"/>
        <v>0</v>
      </c>
      <c r="H149" s="214">
        <f t="shared" si="49"/>
        <v>0</v>
      </c>
      <c r="I149" s="214">
        <f t="shared" si="49"/>
        <v>0</v>
      </c>
      <c r="J149" s="214">
        <f t="shared" si="49"/>
        <v>0</v>
      </c>
      <c r="K149" s="214">
        <f t="shared" si="49"/>
        <v>0</v>
      </c>
      <c r="L149" s="214">
        <f t="shared" si="49"/>
        <v>0</v>
      </c>
      <c r="M149" s="214">
        <f t="shared" si="49"/>
        <v>0</v>
      </c>
      <c r="N149" s="214">
        <f t="shared" si="49"/>
        <v>0</v>
      </c>
      <c r="O149" s="214">
        <f t="shared" si="49"/>
        <v>0</v>
      </c>
      <c r="P149" s="214">
        <f t="shared" si="49"/>
        <v>0</v>
      </c>
      <c r="Q149" s="214">
        <f t="shared" si="49"/>
        <v>0</v>
      </c>
      <c r="R149" s="214">
        <f t="shared" si="49"/>
        <v>0</v>
      </c>
      <c r="S149" s="214">
        <f t="shared" si="49"/>
        <v>0</v>
      </c>
      <c r="T149" s="34"/>
      <c r="U149" s="34"/>
      <c r="V149" s="34"/>
      <c r="W149" s="34"/>
      <c r="X149" s="34"/>
      <c r="Y149" s="308">
        <f>SUM(Y150:Y153)</f>
        <v>880</v>
      </c>
      <c r="Z149" s="308">
        <f>SUM(Z150:Z153)</f>
        <v>0</v>
      </c>
      <c r="AA149" s="177"/>
      <c r="AB149" s="308">
        <f>SUM(AB150:AB153)</f>
        <v>880</v>
      </c>
      <c r="AC149" s="308">
        <f>SUM(AC150:AC153)</f>
        <v>0</v>
      </c>
      <c r="AD149" s="308">
        <f>SUM(AD150:AD153)</f>
        <v>-280</v>
      </c>
    </row>
    <row r="150" spans="2:30" ht="12">
      <c r="B150" s="354">
        <v>19.1</v>
      </c>
      <c r="C150" s="326" t="s">
        <v>139</v>
      </c>
      <c r="D150" s="175">
        <v>350</v>
      </c>
      <c r="E150" s="124">
        <v>2390</v>
      </c>
      <c r="F150" s="381">
        <f>SUM(D150:D151)</f>
        <v>700</v>
      </c>
      <c r="G150" s="100"/>
      <c r="H150" s="100"/>
      <c r="I150" s="100"/>
      <c r="J150" s="51"/>
      <c r="K150" s="124"/>
      <c r="L150" s="124"/>
      <c r="M150" s="51"/>
      <c r="N150" s="51"/>
      <c r="O150" s="51"/>
      <c r="P150" s="51"/>
      <c r="Q150" s="51"/>
      <c r="R150" s="51"/>
      <c r="S150" s="315">
        <f>SUM(G150:R150)</f>
        <v>0</v>
      </c>
      <c r="T150" s="34"/>
      <c r="U150" s="34"/>
      <c r="V150" s="34"/>
      <c r="W150" s="34"/>
      <c r="X150" s="34"/>
      <c r="Y150" s="62">
        <f>D150-S150</f>
        <v>350</v>
      </c>
      <c r="Z150" s="62"/>
      <c r="AA150" s="177"/>
      <c r="AB150" s="62">
        <f>D150-S150-Z150</f>
        <v>350</v>
      </c>
      <c r="AC150" s="34"/>
      <c r="AD150" s="62">
        <v>-100</v>
      </c>
    </row>
    <row r="151" spans="2:30" ht="12.75" thickBot="1">
      <c r="B151" s="355"/>
      <c r="C151" s="327"/>
      <c r="D151" s="205">
        <f>400-50</f>
        <v>350</v>
      </c>
      <c r="E151" s="179">
        <v>2239</v>
      </c>
      <c r="F151" s="360"/>
      <c r="G151" s="104"/>
      <c r="H151" s="104"/>
      <c r="I151" s="104"/>
      <c r="J151" s="74"/>
      <c r="K151" s="179"/>
      <c r="L151" s="179"/>
      <c r="M151" s="74"/>
      <c r="N151" s="74"/>
      <c r="O151" s="74"/>
      <c r="P151" s="74"/>
      <c r="Q151" s="74"/>
      <c r="R151" s="74"/>
      <c r="S151" s="180">
        <f>SUM(G151:R151)</f>
        <v>0</v>
      </c>
      <c r="T151" s="34"/>
      <c r="U151" s="34"/>
      <c r="V151" s="34"/>
      <c r="W151" s="34"/>
      <c r="X151" s="34"/>
      <c r="Y151" s="79">
        <f>D151-S151</f>
        <v>350</v>
      </c>
      <c r="Z151" s="79"/>
      <c r="AA151" s="177"/>
      <c r="AB151" s="79">
        <f>D151-S151-Z151</f>
        <v>350</v>
      </c>
      <c r="AC151" s="181"/>
      <c r="AD151" s="79">
        <v>-100</v>
      </c>
    </row>
    <row r="152" spans="2:30" ht="12">
      <c r="B152" s="323">
        <v>19.2</v>
      </c>
      <c r="C152" s="404" t="s">
        <v>140</v>
      </c>
      <c r="D152" s="172">
        <f>100-10</f>
        <v>90</v>
      </c>
      <c r="E152" s="122">
        <v>2390</v>
      </c>
      <c r="F152" s="380">
        <f>SUM(D152:D153)</f>
        <v>180</v>
      </c>
      <c r="G152" s="109"/>
      <c r="H152" s="109"/>
      <c r="I152" s="109"/>
      <c r="J152" s="87"/>
      <c r="K152" s="122"/>
      <c r="L152" s="122"/>
      <c r="M152" s="87"/>
      <c r="N152" s="87"/>
      <c r="O152" s="87"/>
      <c r="P152" s="87"/>
      <c r="Q152" s="87"/>
      <c r="R152" s="87"/>
      <c r="S152" s="176">
        <f>SUM(G152:R152)</f>
        <v>0</v>
      </c>
      <c r="T152" s="34"/>
      <c r="U152" s="34"/>
      <c r="V152" s="34"/>
      <c r="W152" s="34"/>
      <c r="X152" s="34"/>
      <c r="Y152" s="91">
        <f>D152-S152</f>
        <v>90</v>
      </c>
      <c r="Z152" s="91"/>
      <c r="AA152" s="177"/>
      <c r="AB152" s="91">
        <f>D152-S152-Z152</f>
        <v>90</v>
      </c>
      <c r="AC152" s="34"/>
      <c r="AD152" s="91">
        <v>-40</v>
      </c>
    </row>
    <row r="153" spans="2:30" ht="12">
      <c r="B153" s="354"/>
      <c r="C153" s="326"/>
      <c r="D153" s="175">
        <f>100-10</f>
        <v>90</v>
      </c>
      <c r="E153" s="124">
        <v>2239</v>
      </c>
      <c r="F153" s="381"/>
      <c r="G153" s="100"/>
      <c r="H153" s="100"/>
      <c r="I153" s="100"/>
      <c r="J153" s="51"/>
      <c r="K153" s="124"/>
      <c r="L153" s="124"/>
      <c r="M153" s="51"/>
      <c r="N153" s="51"/>
      <c r="O153" s="51"/>
      <c r="P153" s="51"/>
      <c r="Q153" s="51"/>
      <c r="R153" s="51"/>
      <c r="S153" s="315">
        <f>SUM(G153:R153)</f>
        <v>0</v>
      </c>
      <c r="T153" s="34"/>
      <c r="U153" s="34"/>
      <c r="V153" s="34"/>
      <c r="W153" s="34"/>
      <c r="X153" s="34"/>
      <c r="Y153" s="62">
        <f>D153-S153</f>
        <v>90</v>
      </c>
      <c r="Z153" s="62"/>
      <c r="AA153" s="177"/>
      <c r="AB153" s="62">
        <f>D153-S153-Z153</f>
        <v>90</v>
      </c>
      <c r="AC153" s="34"/>
      <c r="AD153" s="62">
        <v>-40</v>
      </c>
    </row>
    <row r="154" spans="2:30" ht="12.75" customHeight="1">
      <c r="B154" s="304">
        <v>20</v>
      </c>
      <c r="C154" s="199" t="s">
        <v>141</v>
      </c>
      <c r="D154" s="214">
        <f>SUM(D155:D157)</f>
        <v>0</v>
      </c>
      <c r="E154" s="214">
        <f>SUM(E155:E157)</f>
        <v>0</v>
      </c>
      <c r="F154" s="214">
        <f aca="true" t="shared" si="50" ref="F154:S154">SUM(F155:F157)</f>
        <v>0</v>
      </c>
      <c r="G154" s="214">
        <f t="shared" si="50"/>
        <v>0</v>
      </c>
      <c r="H154" s="214">
        <f t="shared" si="50"/>
        <v>0</v>
      </c>
      <c r="I154" s="214">
        <f t="shared" si="50"/>
        <v>0</v>
      </c>
      <c r="J154" s="214">
        <f t="shared" si="50"/>
        <v>0</v>
      </c>
      <c r="K154" s="214">
        <f t="shared" si="50"/>
        <v>0</v>
      </c>
      <c r="L154" s="214">
        <f t="shared" si="50"/>
        <v>0</v>
      </c>
      <c r="M154" s="214">
        <f t="shared" si="50"/>
        <v>0</v>
      </c>
      <c r="N154" s="214">
        <f t="shared" si="50"/>
        <v>0</v>
      </c>
      <c r="O154" s="214">
        <f t="shared" si="50"/>
        <v>0</v>
      </c>
      <c r="P154" s="214">
        <f t="shared" si="50"/>
        <v>0</v>
      </c>
      <c r="Q154" s="214">
        <f t="shared" si="50"/>
        <v>0</v>
      </c>
      <c r="R154" s="214">
        <f t="shared" si="50"/>
        <v>0</v>
      </c>
      <c r="S154" s="214">
        <f t="shared" si="50"/>
        <v>0</v>
      </c>
      <c r="T154" s="34"/>
      <c r="U154" s="34"/>
      <c r="V154" s="34"/>
      <c r="W154" s="34"/>
      <c r="X154" s="34"/>
      <c r="Y154" s="308">
        <f>SUM(Y155:Y157)</f>
        <v>0</v>
      </c>
      <c r="Z154" s="308">
        <f>SUM(Z155:Z157)</f>
        <v>0</v>
      </c>
      <c r="AA154" s="177"/>
      <c r="AB154" s="308">
        <f>SUM(AB155:AB157)</f>
        <v>0</v>
      </c>
      <c r="AC154" s="308">
        <f>SUM(AC155:AC157)</f>
        <v>0</v>
      </c>
      <c r="AD154" s="308">
        <f>SUM(AD155:AD157)</f>
        <v>0</v>
      </c>
    </row>
    <row r="155" spans="2:30" ht="22.5" customHeight="1">
      <c r="B155" s="252">
        <v>20.1</v>
      </c>
      <c r="C155" s="203" t="s">
        <v>142</v>
      </c>
      <c r="D155" s="61">
        <v>0</v>
      </c>
      <c r="E155" s="124"/>
      <c r="F155" s="191">
        <v>0</v>
      </c>
      <c r="G155" s="191"/>
      <c r="H155" s="191"/>
      <c r="I155" s="191"/>
      <c r="J155" s="51"/>
      <c r="K155" s="124"/>
      <c r="L155" s="124"/>
      <c r="M155" s="51"/>
      <c r="N155" s="51"/>
      <c r="O155" s="51"/>
      <c r="P155" s="51"/>
      <c r="Q155" s="51"/>
      <c r="R155" s="51"/>
      <c r="S155" s="315">
        <f>SUM(G155:R155)</f>
        <v>0</v>
      </c>
      <c r="T155" s="34"/>
      <c r="U155" s="34"/>
      <c r="V155" s="34"/>
      <c r="W155" s="34"/>
      <c r="X155" s="34"/>
      <c r="Y155" s="62">
        <f>D155-S155</f>
        <v>0</v>
      </c>
      <c r="Z155" s="62"/>
      <c r="AA155" s="177"/>
      <c r="AB155" s="62">
        <f>D155-S155-Z155</f>
        <v>0</v>
      </c>
      <c r="AC155" s="34"/>
      <c r="AD155" s="62"/>
    </row>
    <row r="156" spans="2:30" ht="12.75" customHeight="1">
      <c r="B156" s="252">
        <v>20.2</v>
      </c>
      <c r="C156" s="203" t="s">
        <v>143</v>
      </c>
      <c r="D156" s="61">
        <v>0</v>
      </c>
      <c r="E156" s="124"/>
      <c r="F156" s="191">
        <v>0</v>
      </c>
      <c r="G156" s="191"/>
      <c r="H156" s="191"/>
      <c r="I156" s="191"/>
      <c r="J156" s="51"/>
      <c r="K156" s="124"/>
      <c r="L156" s="124"/>
      <c r="M156" s="51"/>
      <c r="N156" s="51"/>
      <c r="O156" s="51"/>
      <c r="P156" s="51"/>
      <c r="Q156" s="51"/>
      <c r="R156" s="51"/>
      <c r="S156" s="315">
        <f>SUM(G156:R156)</f>
        <v>0</v>
      </c>
      <c r="T156" s="34"/>
      <c r="U156" s="34"/>
      <c r="V156" s="34"/>
      <c r="W156" s="34"/>
      <c r="X156" s="34"/>
      <c r="Y156" s="62">
        <f>D156-S156</f>
        <v>0</v>
      </c>
      <c r="Z156" s="62"/>
      <c r="AA156" s="177"/>
      <c r="AB156" s="62">
        <f>D156-S156-Z156</f>
        <v>0</v>
      </c>
      <c r="AC156" s="34"/>
      <c r="AD156" s="62"/>
    </row>
    <row r="157" spans="2:30" ht="12.75" customHeight="1">
      <c r="B157" s="252">
        <v>20.3</v>
      </c>
      <c r="C157" s="203" t="s">
        <v>144</v>
      </c>
      <c r="D157" s="61">
        <v>0</v>
      </c>
      <c r="E157" s="124"/>
      <c r="F157" s="191">
        <v>0</v>
      </c>
      <c r="G157" s="191"/>
      <c r="H157" s="191"/>
      <c r="I157" s="191"/>
      <c r="J157" s="51"/>
      <c r="K157" s="124"/>
      <c r="L157" s="124"/>
      <c r="M157" s="51"/>
      <c r="N157" s="51"/>
      <c r="O157" s="51"/>
      <c r="P157" s="51"/>
      <c r="Q157" s="51"/>
      <c r="R157" s="51"/>
      <c r="S157" s="315">
        <f>SUM(G157:R157)</f>
        <v>0</v>
      </c>
      <c r="T157" s="34"/>
      <c r="U157" s="34"/>
      <c r="V157" s="34"/>
      <c r="W157" s="34"/>
      <c r="X157" s="34"/>
      <c r="Y157" s="62">
        <f>D157-S157</f>
        <v>0</v>
      </c>
      <c r="Z157" s="62"/>
      <c r="AA157" s="177"/>
      <c r="AB157" s="62">
        <f>D157-S157-Z157</f>
        <v>0</v>
      </c>
      <c r="AC157" s="34"/>
      <c r="AD157" s="62"/>
    </row>
    <row r="158" spans="2:30" ht="12">
      <c r="B158" s="304">
        <v>21</v>
      </c>
      <c r="C158" s="199" t="s">
        <v>145</v>
      </c>
      <c r="D158" s="214">
        <f>SUM(D159:D166)</f>
        <v>1260</v>
      </c>
      <c r="E158" s="199"/>
      <c r="F158" s="214">
        <f aca="true" t="shared" si="51" ref="F158:S158">SUM(F159:F166)</f>
        <v>1260</v>
      </c>
      <c r="G158" s="214">
        <f t="shared" si="51"/>
        <v>0</v>
      </c>
      <c r="H158" s="214">
        <f t="shared" si="51"/>
        <v>0</v>
      </c>
      <c r="I158" s="214">
        <f t="shared" si="51"/>
        <v>0</v>
      </c>
      <c r="J158" s="214">
        <f t="shared" si="51"/>
        <v>0</v>
      </c>
      <c r="K158" s="214">
        <f t="shared" si="51"/>
        <v>90</v>
      </c>
      <c r="L158" s="214">
        <f t="shared" si="51"/>
        <v>90</v>
      </c>
      <c r="M158" s="214">
        <f t="shared" si="51"/>
        <v>0</v>
      </c>
      <c r="N158" s="214">
        <f t="shared" si="51"/>
        <v>0</v>
      </c>
      <c r="O158" s="214">
        <f t="shared" si="51"/>
        <v>0</v>
      </c>
      <c r="P158" s="214">
        <f t="shared" si="51"/>
        <v>0</v>
      </c>
      <c r="Q158" s="214">
        <f t="shared" si="51"/>
        <v>0</v>
      </c>
      <c r="R158" s="214">
        <f t="shared" si="51"/>
        <v>0</v>
      </c>
      <c r="S158" s="214">
        <f t="shared" si="51"/>
        <v>180</v>
      </c>
      <c r="T158" s="34"/>
      <c r="U158" s="34"/>
      <c r="V158" s="34"/>
      <c r="W158" s="34"/>
      <c r="X158" s="34"/>
      <c r="Y158" s="308">
        <f>SUM(Y159:Y166)</f>
        <v>1080</v>
      </c>
      <c r="Z158" s="308">
        <f>SUM(Z159:Z166)</f>
        <v>0</v>
      </c>
      <c r="AA158" s="177"/>
      <c r="AB158" s="308">
        <f>SUM(AB159:AB166)</f>
        <v>1080</v>
      </c>
      <c r="AC158" s="308">
        <f>SUM(AC159:AC166)</f>
        <v>0</v>
      </c>
      <c r="AD158" s="308">
        <f>SUM(AD159:AD166)</f>
        <v>-680</v>
      </c>
    </row>
    <row r="159" spans="2:30" ht="12">
      <c r="B159" s="379">
        <v>21.1</v>
      </c>
      <c r="C159" s="324" t="s">
        <v>146</v>
      </c>
      <c r="D159" s="175">
        <f>200-20</f>
        <v>180</v>
      </c>
      <c r="E159" s="124">
        <v>2390</v>
      </c>
      <c r="F159" s="358">
        <f>SUM(D159:D160)</f>
        <v>270</v>
      </c>
      <c r="G159" s="99"/>
      <c r="H159" s="100"/>
      <c r="I159" s="100"/>
      <c r="J159" s="51"/>
      <c r="K159" s="52"/>
      <c r="L159" s="52"/>
      <c r="M159" s="54"/>
      <c r="N159" s="54"/>
      <c r="O159" s="54"/>
      <c r="P159" s="54"/>
      <c r="Q159" s="54"/>
      <c r="R159" s="54"/>
      <c r="S159" s="55">
        <f aca="true" t="shared" si="52" ref="S159:S166">SUM(G159:R159)</f>
        <v>0</v>
      </c>
      <c r="Y159" s="62">
        <f aca="true" t="shared" si="53" ref="Y159:Y166">D159-S159</f>
        <v>180</v>
      </c>
      <c r="Z159" s="58"/>
      <c r="AB159" s="62">
        <f aca="true" t="shared" si="54" ref="AB159:AB166">D159-S159-Z159</f>
        <v>180</v>
      </c>
      <c r="AD159" s="58">
        <v>-180</v>
      </c>
    </row>
    <row r="160" spans="2:30" ht="12.75" thickBot="1">
      <c r="B160" s="375"/>
      <c r="C160" s="325"/>
      <c r="D160" s="205">
        <f>100-10</f>
        <v>90</v>
      </c>
      <c r="E160" s="179">
        <v>2261</v>
      </c>
      <c r="F160" s="359"/>
      <c r="G160" s="103"/>
      <c r="H160" s="104"/>
      <c r="I160" s="104"/>
      <c r="J160" s="74"/>
      <c r="K160" s="75"/>
      <c r="L160" s="75"/>
      <c r="M160" s="77"/>
      <c r="N160" s="77"/>
      <c r="O160" s="77"/>
      <c r="P160" s="77"/>
      <c r="Q160" s="77"/>
      <c r="R160" s="77"/>
      <c r="S160" s="78">
        <f t="shared" si="52"/>
        <v>0</v>
      </c>
      <c r="Y160" s="79">
        <f t="shared" si="53"/>
        <v>90</v>
      </c>
      <c r="Z160" s="105"/>
      <c r="AB160" s="79">
        <f t="shared" si="54"/>
        <v>90</v>
      </c>
      <c r="AC160" s="81"/>
      <c r="AD160" s="105">
        <v>-90</v>
      </c>
    </row>
    <row r="161" spans="2:30" ht="12">
      <c r="B161" s="374">
        <v>21.2</v>
      </c>
      <c r="C161" s="376" t="s">
        <v>147</v>
      </c>
      <c r="D161" s="172">
        <f>200-20</f>
        <v>180</v>
      </c>
      <c r="E161" s="122">
        <v>2262</v>
      </c>
      <c r="F161" s="367">
        <f>SUM(D161:D163)</f>
        <v>810</v>
      </c>
      <c r="G161" s="215"/>
      <c r="H161" s="216"/>
      <c r="I161" s="216"/>
      <c r="J161" s="87"/>
      <c r="K161" s="88"/>
      <c r="L161" s="88"/>
      <c r="M161" s="70"/>
      <c r="N161" s="70"/>
      <c r="O161" s="70"/>
      <c r="P161" s="70"/>
      <c r="Q161" s="70"/>
      <c r="R161" s="70"/>
      <c r="S161" s="90">
        <f t="shared" si="52"/>
        <v>0</v>
      </c>
      <c r="Y161" s="91">
        <f t="shared" si="53"/>
        <v>180</v>
      </c>
      <c r="Z161" s="110"/>
      <c r="AB161" s="91">
        <f t="shared" si="54"/>
        <v>180</v>
      </c>
      <c r="AD161" s="110">
        <v>-80</v>
      </c>
    </row>
    <row r="162" spans="2:30" ht="12">
      <c r="B162" s="379"/>
      <c r="C162" s="377"/>
      <c r="D162" s="175">
        <f>200-20</f>
        <v>180</v>
      </c>
      <c r="E162" s="124">
        <v>2264</v>
      </c>
      <c r="F162" s="365"/>
      <c r="G162" s="190"/>
      <c r="H162" s="191"/>
      <c r="I162" s="191"/>
      <c r="J162" s="51"/>
      <c r="K162" s="52"/>
      <c r="L162" s="52"/>
      <c r="M162" s="54"/>
      <c r="N162" s="54"/>
      <c r="O162" s="54"/>
      <c r="P162" s="54"/>
      <c r="Q162" s="54"/>
      <c r="R162" s="54"/>
      <c r="S162" s="55">
        <f t="shared" si="52"/>
        <v>0</v>
      </c>
      <c r="Y162" s="62">
        <f t="shared" si="53"/>
        <v>180</v>
      </c>
      <c r="Z162" s="58"/>
      <c r="AB162" s="62">
        <f t="shared" si="54"/>
        <v>180</v>
      </c>
      <c r="AD162" s="58">
        <v>-80</v>
      </c>
    </row>
    <row r="163" spans="2:30" ht="12.75" thickBot="1">
      <c r="B163" s="375"/>
      <c r="C163" s="378"/>
      <c r="D163" s="205">
        <f>500-50</f>
        <v>450</v>
      </c>
      <c r="E163" s="179">
        <v>2390</v>
      </c>
      <c r="F163" s="366"/>
      <c r="G163" s="217"/>
      <c r="H163" s="218"/>
      <c r="I163" s="218"/>
      <c r="J163" s="74"/>
      <c r="K163" s="75"/>
      <c r="L163" s="75"/>
      <c r="M163" s="77"/>
      <c r="N163" s="77"/>
      <c r="O163" s="77"/>
      <c r="P163" s="77"/>
      <c r="Q163" s="77"/>
      <c r="R163" s="77"/>
      <c r="S163" s="78">
        <f t="shared" si="52"/>
        <v>0</v>
      </c>
      <c r="Y163" s="79">
        <f t="shared" si="53"/>
        <v>450</v>
      </c>
      <c r="Z163" s="105"/>
      <c r="AB163" s="79">
        <f t="shared" si="54"/>
        <v>450</v>
      </c>
      <c r="AC163" s="81"/>
      <c r="AD163" s="105">
        <v>-250</v>
      </c>
    </row>
    <row r="164" spans="2:30" ht="12.75" customHeight="1" hidden="1">
      <c r="B164" s="106">
        <v>21.3</v>
      </c>
      <c r="C164" s="196" t="s">
        <v>148</v>
      </c>
      <c r="D164" s="172">
        <v>0</v>
      </c>
      <c r="E164" s="122"/>
      <c r="F164" s="215">
        <v>0</v>
      </c>
      <c r="G164" s="215"/>
      <c r="H164" s="216"/>
      <c r="I164" s="216"/>
      <c r="J164" s="87"/>
      <c r="K164" s="88"/>
      <c r="L164" s="88"/>
      <c r="M164" s="70"/>
      <c r="N164" s="70"/>
      <c r="O164" s="70"/>
      <c r="P164" s="70"/>
      <c r="Q164" s="70"/>
      <c r="R164" s="70"/>
      <c r="S164" s="90">
        <f t="shared" si="52"/>
        <v>0</v>
      </c>
      <c r="Y164" s="91">
        <f t="shared" si="53"/>
        <v>0</v>
      </c>
      <c r="Z164" s="110"/>
      <c r="AB164" s="91">
        <f t="shared" si="54"/>
        <v>0</v>
      </c>
      <c r="AD164" s="110"/>
    </row>
    <row r="165" spans="2:30" ht="12">
      <c r="B165" s="379">
        <v>21.4</v>
      </c>
      <c r="C165" s="324" t="s">
        <v>149</v>
      </c>
      <c r="D165" s="175">
        <f>90-10+10</f>
        <v>90</v>
      </c>
      <c r="E165" s="124">
        <v>2390</v>
      </c>
      <c r="F165" s="358">
        <f>SUM(D165:D166)</f>
        <v>180</v>
      </c>
      <c r="G165" s="99"/>
      <c r="H165" s="100"/>
      <c r="I165" s="100"/>
      <c r="J165" s="51"/>
      <c r="K165" s="52">
        <f>90</f>
        <v>90</v>
      </c>
      <c r="L165" s="52"/>
      <c r="M165" s="54"/>
      <c r="N165" s="54"/>
      <c r="O165" s="54"/>
      <c r="P165" s="54"/>
      <c r="Q165" s="54"/>
      <c r="R165" s="54"/>
      <c r="S165" s="55">
        <f t="shared" si="52"/>
        <v>90</v>
      </c>
      <c r="Y165" s="62">
        <f t="shared" si="53"/>
        <v>0</v>
      </c>
      <c r="Z165" s="58"/>
      <c r="AB165" s="62">
        <f t="shared" si="54"/>
        <v>0</v>
      </c>
      <c r="AD165" s="58"/>
    </row>
    <row r="166" spans="2:30" ht="12">
      <c r="B166" s="379"/>
      <c r="C166" s="324"/>
      <c r="D166" s="175">
        <f>90-10+10</f>
        <v>90</v>
      </c>
      <c r="E166" s="124">
        <v>2261</v>
      </c>
      <c r="F166" s="358"/>
      <c r="G166" s="99"/>
      <c r="H166" s="100"/>
      <c r="I166" s="100"/>
      <c r="J166" s="51"/>
      <c r="K166" s="52"/>
      <c r="L166" s="52">
        <f>90</f>
        <v>90</v>
      </c>
      <c r="M166" s="54"/>
      <c r="N166" s="54"/>
      <c r="O166" s="54"/>
      <c r="P166" s="54"/>
      <c r="Q166" s="54"/>
      <c r="R166" s="54"/>
      <c r="S166" s="55">
        <f t="shared" si="52"/>
        <v>90</v>
      </c>
      <c r="Y166" s="62">
        <f t="shared" si="53"/>
        <v>0</v>
      </c>
      <c r="Z166" s="58"/>
      <c r="AB166" s="58">
        <f t="shared" si="54"/>
        <v>0</v>
      </c>
      <c r="AD166" s="58"/>
    </row>
    <row r="167" spans="2:30" ht="12">
      <c r="B167" s="304">
        <v>22</v>
      </c>
      <c r="C167" s="199" t="s">
        <v>150</v>
      </c>
      <c r="D167" s="214">
        <f>SUM(D168:D183)</f>
        <v>3625</v>
      </c>
      <c r="E167" s="199"/>
      <c r="F167" s="214">
        <f aca="true" t="shared" si="55" ref="F167:S167">SUM(F168:F183)</f>
        <v>3625</v>
      </c>
      <c r="G167" s="214">
        <f t="shared" si="55"/>
        <v>0</v>
      </c>
      <c r="H167" s="214">
        <f t="shared" si="55"/>
        <v>0</v>
      </c>
      <c r="I167" s="214">
        <f t="shared" si="55"/>
        <v>0</v>
      </c>
      <c r="J167" s="214">
        <f t="shared" si="55"/>
        <v>0</v>
      </c>
      <c r="K167" s="214">
        <f t="shared" si="55"/>
        <v>500</v>
      </c>
      <c r="L167" s="214">
        <f t="shared" si="55"/>
        <v>0</v>
      </c>
      <c r="M167" s="214">
        <f t="shared" si="55"/>
        <v>347</v>
      </c>
      <c r="N167" s="214">
        <f t="shared" si="55"/>
        <v>0</v>
      </c>
      <c r="O167" s="214">
        <f t="shared" si="55"/>
        <v>0</v>
      </c>
      <c r="P167" s="214">
        <f t="shared" si="55"/>
        <v>0</v>
      </c>
      <c r="Q167" s="214">
        <f t="shared" si="55"/>
        <v>0</v>
      </c>
      <c r="R167" s="214">
        <f t="shared" si="55"/>
        <v>0</v>
      </c>
      <c r="S167" s="214">
        <f t="shared" si="55"/>
        <v>847</v>
      </c>
      <c r="T167" s="34"/>
      <c r="U167" s="34"/>
      <c r="V167" s="34"/>
      <c r="W167" s="34"/>
      <c r="X167" s="34"/>
      <c r="Y167" s="308">
        <f>SUM(Y168:Y183)</f>
        <v>2778</v>
      </c>
      <c r="Z167" s="308">
        <f>SUM(Z168:Z183)</f>
        <v>0</v>
      </c>
      <c r="AA167" s="177"/>
      <c r="AB167" s="308">
        <f>SUM(AB168:AB183)</f>
        <v>2778</v>
      </c>
      <c r="AC167" s="308">
        <f>SUM(AC168:AC183)</f>
        <v>0</v>
      </c>
      <c r="AD167" s="308">
        <f>SUM(AD168:AD183)</f>
        <v>-2243</v>
      </c>
    </row>
    <row r="168" spans="2:30" ht="12.75" thickBot="1">
      <c r="B168" s="102">
        <v>22.1</v>
      </c>
      <c r="C168" s="210" t="s">
        <v>151</v>
      </c>
      <c r="D168" s="205">
        <f>440-40</f>
        <v>400</v>
      </c>
      <c r="E168" s="179">
        <v>2390</v>
      </c>
      <c r="F168" s="217">
        <f>D168</f>
        <v>400</v>
      </c>
      <c r="G168" s="217"/>
      <c r="H168" s="218"/>
      <c r="I168" s="218"/>
      <c r="J168" s="74"/>
      <c r="K168" s="75"/>
      <c r="L168" s="75"/>
      <c r="M168" s="77"/>
      <c r="N168" s="77"/>
      <c r="O168" s="77"/>
      <c r="P168" s="77"/>
      <c r="Q168" s="77"/>
      <c r="R168" s="77"/>
      <c r="S168" s="78">
        <f aca="true" t="shared" si="56" ref="S168:S183">SUM(G168:R168)</f>
        <v>0</v>
      </c>
      <c r="Y168" s="79">
        <f aca="true" t="shared" si="57" ref="Y168:Y183">D168-S168</f>
        <v>400</v>
      </c>
      <c r="Z168" s="105"/>
      <c r="AB168" s="79">
        <f aca="true" t="shared" si="58" ref="AB168:AB183">D168-S168-Z168</f>
        <v>400</v>
      </c>
      <c r="AC168" s="81"/>
      <c r="AD168" s="105">
        <v>-200</v>
      </c>
    </row>
    <row r="169" spans="2:30" ht="12">
      <c r="B169" s="374">
        <v>22.2</v>
      </c>
      <c r="C169" s="376" t="s">
        <v>152</v>
      </c>
      <c r="D169" s="172">
        <f>120-5</f>
        <v>115</v>
      </c>
      <c r="E169" s="122">
        <v>2390</v>
      </c>
      <c r="F169" s="367">
        <f>SUM(D169:D171)</f>
        <v>235</v>
      </c>
      <c r="G169" s="215"/>
      <c r="H169" s="216"/>
      <c r="I169" s="216"/>
      <c r="J169" s="87"/>
      <c r="K169" s="88"/>
      <c r="L169" s="88"/>
      <c r="M169" s="70"/>
      <c r="N169" s="70"/>
      <c r="O169" s="70"/>
      <c r="P169" s="70"/>
      <c r="Q169" s="70"/>
      <c r="R169" s="70"/>
      <c r="S169" s="90">
        <f t="shared" si="56"/>
        <v>0</v>
      </c>
      <c r="Y169" s="91">
        <f t="shared" si="57"/>
        <v>115</v>
      </c>
      <c r="Z169" s="110"/>
      <c r="AB169" s="91">
        <f t="shared" si="58"/>
        <v>115</v>
      </c>
      <c r="AD169" s="110"/>
    </row>
    <row r="170" spans="2:30" ht="12">
      <c r="B170" s="379"/>
      <c r="C170" s="377"/>
      <c r="D170" s="175">
        <f>90-10</f>
        <v>80</v>
      </c>
      <c r="E170" s="124">
        <v>2264</v>
      </c>
      <c r="F170" s="365"/>
      <c r="G170" s="190"/>
      <c r="H170" s="191"/>
      <c r="I170" s="191"/>
      <c r="J170" s="51"/>
      <c r="K170" s="52"/>
      <c r="L170" s="52"/>
      <c r="M170" s="54"/>
      <c r="N170" s="54"/>
      <c r="O170" s="54"/>
      <c r="P170" s="54"/>
      <c r="Q170" s="54"/>
      <c r="R170" s="54"/>
      <c r="S170" s="55">
        <f t="shared" si="56"/>
        <v>0</v>
      </c>
      <c r="Y170" s="62">
        <f t="shared" si="57"/>
        <v>80</v>
      </c>
      <c r="Z170" s="58"/>
      <c r="AB170" s="58">
        <f t="shared" si="58"/>
        <v>80</v>
      </c>
      <c r="AD170" s="58"/>
    </row>
    <row r="171" spans="2:30" ht="12.75" thickBot="1">
      <c r="B171" s="375"/>
      <c r="C171" s="378"/>
      <c r="D171" s="205">
        <v>40</v>
      </c>
      <c r="E171" s="179">
        <v>2231</v>
      </c>
      <c r="F171" s="366"/>
      <c r="G171" s="217"/>
      <c r="H171" s="218"/>
      <c r="I171" s="218"/>
      <c r="J171" s="74"/>
      <c r="K171" s="75"/>
      <c r="L171" s="75"/>
      <c r="M171" s="77"/>
      <c r="N171" s="77"/>
      <c r="O171" s="77"/>
      <c r="P171" s="77"/>
      <c r="Q171" s="77"/>
      <c r="R171" s="77"/>
      <c r="S171" s="78">
        <f t="shared" si="56"/>
        <v>0</v>
      </c>
      <c r="Y171" s="79">
        <f t="shared" si="57"/>
        <v>40</v>
      </c>
      <c r="Z171" s="105"/>
      <c r="AB171" s="105">
        <f t="shared" si="58"/>
        <v>40</v>
      </c>
      <c r="AC171" s="81"/>
      <c r="AD171" s="105"/>
    </row>
    <row r="172" spans="2:30" ht="12">
      <c r="B172" s="374">
        <v>22.3</v>
      </c>
      <c r="C172" s="376" t="s">
        <v>153</v>
      </c>
      <c r="D172" s="172">
        <f>250-25+25</f>
        <v>250</v>
      </c>
      <c r="E172" s="122">
        <v>2390</v>
      </c>
      <c r="F172" s="367">
        <f>SUM(D172:D173)</f>
        <v>450</v>
      </c>
      <c r="G172" s="215"/>
      <c r="H172" s="216"/>
      <c r="I172" s="216"/>
      <c r="J172" s="87"/>
      <c r="K172" s="88">
        <f>250</f>
        <v>250</v>
      </c>
      <c r="L172" s="88"/>
      <c r="M172" s="70"/>
      <c r="N172" s="70"/>
      <c r="O172" s="70"/>
      <c r="P172" s="70"/>
      <c r="Q172" s="70"/>
      <c r="R172" s="70"/>
      <c r="S172" s="90">
        <f t="shared" si="56"/>
        <v>250</v>
      </c>
      <c r="Y172" s="91">
        <f t="shared" si="57"/>
        <v>0</v>
      </c>
      <c r="Z172" s="110"/>
      <c r="AB172" s="91">
        <f t="shared" si="58"/>
        <v>0</v>
      </c>
      <c r="AD172" s="110"/>
    </row>
    <row r="173" spans="2:30" ht="13.5" customHeight="1" thickBot="1">
      <c r="B173" s="375"/>
      <c r="C173" s="378"/>
      <c r="D173" s="205">
        <f>200-25+25</f>
        <v>200</v>
      </c>
      <c r="E173" s="179">
        <v>2231</v>
      </c>
      <c r="F173" s="366"/>
      <c r="G173" s="217"/>
      <c r="H173" s="218"/>
      <c r="I173" s="218"/>
      <c r="J173" s="74"/>
      <c r="K173" s="179">
        <v>250</v>
      </c>
      <c r="L173" s="75"/>
      <c r="M173" s="77"/>
      <c r="N173" s="77"/>
      <c r="O173" s="77"/>
      <c r="P173" s="77"/>
      <c r="Q173" s="77"/>
      <c r="R173" s="77"/>
      <c r="S173" s="78">
        <f t="shared" si="56"/>
        <v>250</v>
      </c>
      <c r="Y173" s="79">
        <f t="shared" si="57"/>
        <v>-50</v>
      </c>
      <c r="Z173" s="105"/>
      <c r="AB173" s="79">
        <f t="shared" si="58"/>
        <v>-50</v>
      </c>
      <c r="AC173" s="81"/>
      <c r="AD173" s="105">
        <v>50</v>
      </c>
    </row>
    <row r="174" spans="2:30" ht="12">
      <c r="B174" s="374">
        <v>22.4</v>
      </c>
      <c r="C174" s="376" t="s">
        <v>154</v>
      </c>
      <c r="D174" s="172">
        <f>450-50</f>
        <v>400</v>
      </c>
      <c r="E174" s="122">
        <v>2390</v>
      </c>
      <c r="F174" s="367">
        <f>SUM(D174:D176)</f>
        <v>1300</v>
      </c>
      <c r="G174" s="215"/>
      <c r="H174" s="216"/>
      <c r="I174" s="216"/>
      <c r="J174" s="87"/>
      <c r="K174" s="88"/>
      <c r="L174" s="88"/>
      <c r="M174" s="70">
        <f>247</f>
        <v>247</v>
      </c>
      <c r="N174" s="70"/>
      <c r="O174" s="70"/>
      <c r="P174" s="70"/>
      <c r="Q174" s="70"/>
      <c r="R174" s="70"/>
      <c r="S174" s="90">
        <f t="shared" si="56"/>
        <v>247</v>
      </c>
      <c r="Y174" s="91">
        <f t="shared" si="57"/>
        <v>153</v>
      </c>
      <c r="Z174" s="110">
        <f>247-S174</f>
        <v>0</v>
      </c>
      <c r="AB174" s="91">
        <f t="shared" si="58"/>
        <v>153</v>
      </c>
      <c r="AD174" s="110">
        <v>-153</v>
      </c>
    </row>
    <row r="175" spans="2:30" ht="12.75" customHeight="1">
      <c r="B175" s="379"/>
      <c r="C175" s="377"/>
      <c r="D175" s="175">
        <f>60-10</f>
        <v>50</v>
      </c>
      <c r="E175" s="124">
        <v>2264</v>
      </c>
      <c r="F175" s="365"/>
      <c r="G175" s="190"/>
      <c r="H175" s="191"/>
      <c r="I175" s="191"/>
      <c r="J175" s="51"/>
      <c r="K175" s="52"/>
      <c r="L175" s="52"/>
      <c r="M175" s="54">
        <v>50</v>
      </c>
      <c r="N175" s="54"/>
      <c r="O175" s="54"/>
      <c r="P175" s="54"/>
      <c r="Q175" s="54"/>
      <c r="R175" s="54"/>
      <c r="S175" s="55">
        <f t="shared" si="56"/>
        <v>50</v>
      </c>
      <c r="Y175" s="62">
        <f t="shared" si="57"/>
        <v>0</v>
      </c>
      <c r="Z175" s="58">
        <f>50-S175</f>
        <v>0</v>
      </c>
      <c r="AB175" s="62">
        <f t="shared" si="58"/>
        <v>0</v>
      </c>
      <c r="AD175" s="58"/>
    </row>
    <row r="176" spans="2:30" ht="13.5" customHeight="1" thickBot="1">
      <c r="B176" s="375"/>
      <c r="C176" s="378"/>
      <c r="D176" s="205">
        <f>900-50</f>
        <v>850</v>
      </c>
      <c r="E176" s="179">
        <v>2231</v>
      </c>
      <c r="F176" s="366"/>
      <c r="G176" s="217"/>
      <c r="H176" s="218"/>
      <c r="I176" s="218"/>
      <c r="J176" s="74"/>
      <c r="K176" s="75"/>
      <c r="L176" s="75"/>
      <c r="M176" s="77">
        <v>50</v>
      </c>
      <c r="N176" s="77"/>
      <c r="O176" s="77"/>
      <c r="P176" s="77"/>
      <c r="Q176" s="77"/>
      <c r="R176" s="77"/>
      <c r="S176" s="78">
        <f t="shared" si="56"/>
        <v>50</v>
      </c>
      <c r="Y176" s="79">
        <f t="shared" si="57"/>
        <v>800</v>
      </c>
      <c r="Z176" s="105">
        <f>50-S176</f>
        <v>0</v>
      </c>
      <c r="AB176" s="79">
        <f t="shared" si="58"/>
        <v>800</v>
      </c>
      <c r="AC176" s="81"/>
      <c r="AD176" s="105">
        <v>-700</v>
      </c>
    </row>
    <row r="177" spans="2:30" ht="12">
      <c r="B177" s="374">
        <v>22.5</v>
      </c>
      <c r="C177" s="376" t="s">
        <v>155</v>
      </c>
      <c r="D177" s="172">
        <v>200</v>
      </c>
      <c r="E177" s="122">
        <v>2390</v>
      </c>
      <c r="F177" s="367">
        <f>SUM(D177:D179)</f>
        <v>1000</v>
      </c>
      <c r="G177" s="215"/>
      <c r="H177" s="216"/>
      <c r="I177" s="216"/>
      <c r="J177" s="87"/>
      <c r="K177" s="88"/>
      <c r="L177" s="88"/>
      <c r="M177" s="70"/>
      <c r="N177" s="70"/>
      <c r="O177" s="70"/>
      <c r="P177" s="70"/>
      <c r="Q177" s="70"/>
      <c r="R177" s="70"/>
      <c r="S177" s="90">
        <f t="shared" si="56"/>
        <v>0</v>
      </c>
      <c r="Y177" s="91">
        <f t="shared" si="57"/>
        <v>200</v>
      </c>
      <c r="Z177" s="110"/>
      <c r="AB177" s="91">
        <f t="shared" si="58"/>
        <v>200</v>
      </c>
      <c r="AD177" s="110">
        <v>-200</v>
      </c>
    </row>
    <row r="178" spans="2:30" ht="12">
      <c r="B178" s="379"/>
      <c r="C178" s="377"/>
      <c r="D178" s="175">
        <v>90</v>
      </c>
      <c r="E178" s="124">
        <v>2264</v>
      </c>
      <c r="F178" s="365"/>
      <c r="G178" s="190"/>
      <c r="H178" s="191"/>
      <c r="I178" s="191"/>
      <c r="J178" s="51"/>
      <c r="K178" s="52"/>
      <c r="L178" s="52"/>
      <c r="M178" s="54"/>
      <c r="N178" s="54"/>
      <c r="O178" s="54"/>
      <c r="P178" s="54"/>
      <c r="Q178" s="54"/>
      <c r="R178" s="54"/>
      <c r="S178" s="55">
        <f t="shared" si="56"/>
        <v>0</v>
      </c>
      <c r="Y178" s="62">
        <f t="shared" si="57"/>
        <v>90</v>
      </c>
      <c r="Z178" s="58"/>
      <c r="AB178" s="62">
        <f t="shared" si="58"/>
        <v>90</v>
      </c>
      <c r="AD178" s="58">
        <v>-90</v>
      </c>
    </row>
    <row r="179" spans="2:30" ht="12.75" thickBot="1">
      <c r="B179" s="375"/>
      <c r="C179" s="378"/>
      <c r="D179" s="205">
        <v>710</v>
      </c>
      <c r="E179" s="179">
        <v>2231</v>
      </c>
      <c r="F179" s="366"/>
      <c r="G179" s="217"/>
      <c r="H179" s="218"/>
      <c r="I179" s="218"/>
      <c r="J179" s="74"/>
      <c r="K179" s="75"/>
      <c r="L179" s="75"/>
      <c r="M179" s="77"/>
      <c r="N179" s="77"/>
      <c r="O179" s="77"/>
      <c r="P179" s="77"/>
      <c r="Q179" s="77"/>
      <c r="R179" s="77"/>
      <c r="S179" s="78">
        <f t="shared" si="56"/>
        <v>0</v>
      </c>
      <c r="Y179" s="79">
        <f t="shared" si="57"/>
        <v>710</v>
      </c>
      <c r="Z179" s="105"/>
      <c r="AB179" s="79">
        <f t="shared" si="58"/>
        <v>710</v>
      </c>
      <c r="AC179" s="81"/>
      <c r="AD179" s="105">
        <v>-710</v>
      </c>
    </row>
    <row r="180" spans="2:30" ht="12.75" customHeight="1" hidden="1">
      <c r="B180" s="106">
        <v>22.6</v>
      </c>
      <c r="C180" s="196" t="s">
        <v>156</v>
      </c>
      <c r="D180" s="172">
        <v>0</v>
      </c>
      <c r="E180" s="122">
        <v>2231</v>
      </c>
      <c r="F180" s="215">
        <v>0</v>
      </c>
      <c r="G180" s="215"/>
      <c r="H180" s="216"/>
      <c r="I180" s="216"/>
      <c r="J180" s="87"/>
      <c r="K180" s="88"/>
      <c r="L180" s="88"/>
      <c r="M180" s="70"/>
      <c r="N180" s="70"/>
      <c r="O180" s="70"/>
      <c r="P180" s="70"/>
      <c r="Q180" s="70"/>
      <c r="R180" s="70"/>
      <c r="S180" s="90">
        <f t="shared" si="56"/>
        <v>0</v>
      </c>
      <c r="Y180" s="91">
        <f t="shared" si="57"/>
        <v>0</v>
      </c>
      <c r="Z180" s="110"/>
      <c r="AB180" s="91">
        <f t="shared" si="58"/>
        <v>0</v>
      </c>
      <c r="AD180" s="110"/>
    </row>
    <row r="181" spans="2:30" ht="12">
      <c r="B181" s="379">
        <v>22.7</v>
      </c>
      <c r="C181" s="377" t="s">
        <v>157</v>
      </c>
      <c r="D181" s="175">
        <f>120-10</f>
        <v>110</v>
      </c>
      <c r="E181" s="124">
        <v>2390</v>
      </c>
      <c r="F181" s="365">
        <f>SUM(D181:D183)</f>
        <v>240</v>
      </c>
      <c r="G181" s="190"/>
      <c r="H181" s="191"/>
      <c r="I181" s="191"/>
      <c r="J181" s="51"/>
      <c r="K181" s="52"/>
      <c r="L181" s="52"/>
      <c r="M181" s="54"/>
      <c r="N181" s="54"/>
      <c r="O181" s="54"/>
      <c r="P181" s="54"/>
      <c r="Q181" s="54"/>
      <c r="R181" s="54"/>
      <c r="S181" s="55">
        <f t="shared" si="56"/>
        <v>0</v>
      </c>
      <c r="Y181" s="62">
        <f t="shared" si="57"/>
        <v>110</v>
      </c>
      <c r="Z181" s="58"/>
      <c r="AB181" s="62">
        <f t="shared" si="58"/>
        <v>110</v>
      </c>
      <c r="AD181" s="58">
        <v>-110</v>
      </c>
    </row>
    <row r="182" spans="2:30" ht="11.25" customHeight="1">
      <c r="B182" s="379"/>
      <c r="C182" s="377"/>
      <c r="D182" s="175">
        <f>60-10</f>
        <v>50</v>
      </c>
      <c r="E182" s="124">
        <v>2264</v>
      </c>
      <c r="F182" s="365"/>
      <c r="G182" s="190"/>
      <c r="H182" s="191"/>
      <c r="I182" s="191"/>
      <c r="J182" s="51"/>
      <c r="K182" s="52"/>
      <c r="L182" s="52"/>
      <c r="M182" s="54"/>
      <c r="N182" s="54"/>
      <c r="O182" s="54"/>
      <c r="P182" s="54"/>
      <c r="Q182" s="54"/>
      <c r="R182" s="54"/>
      <c r="S182" s="55">
        <f t="shared" si="56"/>
        <v>0</v>
      </c>
      <c r="Y182" s="62">
        <f t="shared" si="57"/>
        <v>50</v>
      </c>
      <c r="Z182" s="58"/>
      <c r="AB182" s="62">
        <f t="shared" si="58"/>
        <v>50</v>
      </c>
      <c r="AD182" s="58">
        <v>-50</v>
      </c>
    </row>
    <row r="183" spans="2:30" ht="12">
      <c r="B183" s="379"/>
      <c r="C183" s="377"/>
      <c r="D183" s="175">
        <v>80</v>
      </c>
      <c r="E183" s="124">
        <v>2231</v>
      </c>
      <c r="F183" s="365"/>
      <c r="G183" s="190"/>
      <c r="H183" s="191"/>
      <c r="I183" s="191"/>
      <c r="J183" s="51"/>
      <c r="K183" s="52"/>
      <c r="L183" s="52"/>
      <c r="M183" s="54"/>
      <c r="N183" s="54"/>
      <c r="O183" s="54"/>
      <c r="P183" s="54"/>
      <c r="Q183" s="54"/>
      <c r="R183" s="54"/>
      <c r="S183" s="55">
        <f t="shared" si="56"/>
        <v>0</v>
      </c>
      <c r="Y183" s="62">
        <f t="shared" si="57"/>
        <v>80</v>
      </c>
      <c r="Z183" s="58"/>
      <c r="AB183" s="62">
        <f t="shared" si="58"/>
        <v>80</v>
      </c>
      <c r="AD183" s="58">
        <v>-80</v>
      </c>
    </row>
    <row r="184" spans="2:30" ht="12">
      <c r="B184" s="304">
        <v>23</v>
      </c>
      <c r="C184" s="199" t="s">
        <v>158</v>
      </c>
      <c r="D184" s="214">
        <f>SUM(D185:D186)</f>
        <v>91</v>
      </c>
      <c r="E184" s="199"/>
      <c r="F184" s="214">
        <f aca="true" t="shared" si="59" ref="F184:S184">SUM(F185:F186)</f>
        <v>91</v>
      </c>
      <c r="G184" s="214">
        <f t="shared" si="59"/>
        <v>0</v>
      </c>
      <c r="H184" s="214">
        <f t="shared" si="59"/>
        <v>0</v>
      </c>
      <c r="I184" s="214">
        <f t="shared" si="59"/>
        <v>90.91999999999999</v>
      </c>
      <c r="J184" s="214">
        <f t="shared" si="59"/>
        <v>0</v>
      </c>
      <c r="K184" s="214">
        <f t="shared" si="59"/>
        <v>0</v>
      </c>
      <c r="L184" s="214">
        <f t="shared" si="59"/>
        <v>0</v>
      </c>
      <c r="M184" s="214">
        <f t="shared" si="59"/>
        <v>0</v>
      </c>
      <c r="N184" s="214">
        <f t="shared" si="59"/>
        <v>0</v>
      </c>
      <c r="O184" s="214">
        <f t="shared" si="59"/>
        <v>0</v>
      </c>
      <c r="P184" s="214">
        <f t="shared" si="59"/>
        <v>0</v>
      </c>
      <c r="Q184" s="214">
        <f t="shared" si="59"/>
        <v>0</v>
      </c>
      <c r="R184" s="214">
        <f t="shared" si="59"/>
        <v>0</v>
      </c>
      <c r="S184" s="214">
        <f t="shared" si="59"/>
        <v>90.91999999999999</v>
      </c>
      <c r="T184" s="34"/>
      <c r="U184" s="34"/>
      <c r="V184" s="34"/>
      <c r="W184" s="34"/>
      <c r="X184" s="34"/>
      <c r="Y184" s="308">
        <f>SUM(Y185:Y186)</f>
        <v>0.0800000000000125</v>
      </c>
      <c r="Z184" s="308">
        <f>SUM(Z185:Z186)</f>
        <v>0</v>
      </c>
      <c r="AA184" s="177"/>
      <c r="AB184" s="308">
        <f>SUM(AB185:AB186)</f>
        <v>0.0800000000000125</v>
      </c>
      <c r="AC184" s="308">
        <f>SUM(AC185:AC186)</f>
        <v>0</v>
      </c>
      <c r="AD184" s="308">
        <f>SUM(AD185:AD186)</f>
        <v>0</v>
      </c>
    </row>
    <row r="185" spans="2:30" ht="22.5" customHeight="1" hidden="1">
      <c r="B185" s="219">
        <v>23.1</v>
      </c>
      <c r="C185" s="18" t="s">
        <v>159</v>
      </c>
      <c r="D185" s="100">
        <v>0</v>
      </c>
      <c r="E185" s="18"/>
      <c r="F185" s="100">
        <v>0</v>
      </c>
      <c r="G185" s="100"/>
      <c r="H185" s="100"/>
      <c r="I185" s="100"/>
      <c r="J185" s="51"/>
      <c r="K185" s="124"/>
      <c r="L185" s="51"/>
      <c r="M185" s="51"/>
      <c r="N185" s="51"/>
      <c r="O185" s="51"/>
      <c r="P185" s="51"/>
      <c r="Q185" s="51"/>
      <c r="R185" s="51"/>
      <c r="S185" s="315">
        <f>SUM(G185:R185)</f>
        <v>0</v>
      </c>
      <c r="T185" s="34"/>
      <c r="U185" s="34"/>
      <c r="V185" s="34"/>
      <c r="W185" s="34"/>
      <c r="X185" s="34"/>
      <c r="Y185" s="62">
        <f>D185-S185</f>
        <v>0</v>
      </c>
      <c r="Z185" s="62"/>
      <c r="AA185" s="177"/>
      <c r="AB185" s="62">
        <f>D185-S185-Z185</f>
        <v>0</v>
      </c>
      <c r="AC185" s="34"/>
      <c r="AD185" s="62"/>
    </row>
    <row r="186" spans="2:30" ht="14.25" customHeight="1">
      <c r="B186" s="252">
        <v>23.2</v>
      </c>
      <c r="C186" s="228" t="s">
        <v>160</v>
      </c>
      <c r="D186" s="175">
        <f>100-9</f>
        <v>91</v>
      </c>
      <c r="E186" s="124">
        <v>2390</v>
      </c>
      <c r="F186" s="100">
        <f>D186</f>
        <v>91</v>
      </c>
      <c r="G186" s="100"/>
      <c r="H186" s="100"/>
      <c r="I186" s="100">
        <f>27+45.48+18.44</f>
        <v>90.91999999999999</v>
      </c>
      <c r="J186" s="51"/>
      <c r="K186" s="124"/>
      <c r="L186" s="124"/>
      <c r="M186" s="51"/>
      <c r="N186" s="51"/>
      <c r="O186" s="51"/>
      <c r="P186" s="51"/>
      <c r="Q186" s="51"/>
      <c r="R186" s="51"/>
      <c r="S186" s="315">
        <f>SUM(G186:R186)</f>
        <v>90.91999999999999</v>
      </c>
      <c r="T186" s="34"/>
      <c r="U186" s="34"/>
      <c r="V186" s="34"/>
      <c r="W186" s="34"/>
      <c r="X186" s="34"/>
      <c r="Y186" s="62">
        <f>D186-S186</f>
        <v>0.0800000000000125</v>
      </c>
      <c r="Z186" s="62"/>
      <c r="AA186" s="177"/>
      <c r="AB186" s="62">
        <f>D186-S186-Z186</f>
        <v>0.0800000000000125</v>
      </c>
      <c r="AC186" s="34"/>
      <c r="AD186" s="62"/>
    </row>
    <row r="187" spans="2:30" ht="12">
      <c r="B187" s="304">
        <v>24</v>
      </c>
      <c r="C187" s="199" t="s">
        <v>161</v>
      </c>
      <c r="D187" s="214">
        <f>SUM(D188:D204)</f>
        <v>3802</v>
      </c>
      <c r="E187" s="199"/>
      <c r="F187" s="214">
        <f aca="true" t="shared" si="60" ref="F187:S187">SUM(F188:F204)</f>
        <v>3802</v>
      </c>
      <c r="G187" s="214">
        <f t="shared" si="60"/>
        <v>0</v>
      </c>
      <c r="H187" s="214">
        <f t="shared" si="60"/>
        <v>192.79</v>
      </c>
      <c r="I187" s="214">
        <f t="shared" si="60"/>
        <v>2387.06</v>
      </c>
      <c r="J187" s="214">
        <f t="shared" si="60"/>
        <v>272.46</v>
      </c>
      <c r="K187" s="214">
        <f t="shared" si="60"/>
        <v>715.88</v>
      </c>
      <c r="L187" s="214">
        <f t="shared" si="60"/>
        <v>0</v>
      </c>
      <c r="M187" s="214">
        <f t="shared" si="60"/>
        <v>180</v>
      </c>
      <c r="N187" s="214">
        <f t="shared" si="60"/>
        <v>0</v>
      </c>
      <c r="O187" s="214">
        <f t="shared" si="60"/>
        <v>0</v>
      </c>
      <c r="P187" s="214">
        <f t="shared" si="60"/>
        <v>0</v>
      </c>
      <c r="Q187" s="214">
        <f t="shared" si="60"/>
        <v>0</v>
      </c>
      <c r="R187" s="214">
        <f t="shared" si="60"/>
        <v>0</v>
      </c>
      <c r="S187" s="214">
        <f t="shared" si="60"/>
        <v>3748.19</v>
      </c>
      <c r="T187" s="34"/>
      <c r="U187" s="34"/>
      <c r="V187" s="34"/>
      <c r="W187" s="34"/>
      <c r="X187" s="34"/>
      <c r="Y187" s="308">
        <f>SUM(Y188:Y204)</f>
        <v>53.81</v>
      </c>
      <c r="Z187" s="308">
        <f>SUM(Z188:Z204)</f>
        <v>90</v>
      </c>
      <c r="AA187" s="177"/>
      <c r="AB187" s="308">
        <f>SUM(AB188:AB204)</f>
        <v>-36.19</v>
      </c>
      <c r="AC187" s="308">
        <f>SUM(AC188:AC204)</f>
        <v>0</v>
      </c>
      <c r="AD187" s="308">
        <f>SUM(AD188:AD204)</f>
        <v>257</v>
      </c>
    </row>
    <row r="188" spans="2:30" ht="12">
      <c r="B188" s="379">
        <v>24.1</v>
      </c>
      <c r="C188" s="370" t="s">
        <v>162</v>
      </c>
      <c r="D188" s="212">
        <f>90-20</f>
        <v>70</v>
      </c>
      <c r="E188" s="124">
        <v>2264</v>
      </c>
      <c r="F188" s="365">
        <f>SUM(D188:D189)</f>
        <v>220</v>
      </c>
      <c r="G188" s="190"/>
      <c r="H188" s="191"/>
      <c r="I188" s="191"/>
      <c r="J188" s="51"/>
      <c r="K188" s="52"/>
      <c r="L188" s="54"/>
      <c r="M188" s="54"/>
      <c r="N188" s="54"/>
      <c r="O188" s="54"/>
      <c r="P188" s="54"/>
      <c r="Q188" s="54"/>
      <c r="R188" s="54"/>
      <c r="S188" s="55">
        <f aca="true" t="shared" si="61" ref="S188:S204">SUM(G188:R188)</f>
        <v>0</v>
      </c>
      <c r="Y188" s="62">
        <f aca="true" t="shared" si="62" ref="Y188:Y204">D188-S188</f>
        <v>70</v>
      </c>
      <c r="Z188" s="58"/>
      <c r="AB188" s="58">
        <f aca="true" t="shared" si="63" ref="AB188:AB204">D188-S188-Z188</f>
        <v>70</v>
      </c>
      <c r="AD188" s="58"/>
    </row>
    <row r="189" spans="2:30" ht="12.75" thickBot="1">
      <c r="B189" s="375"/>
      <c r="C189" s="371"/>
      <c r="D189" s="220">
        <v>150</v>
      </c>
      <c r="E189" s="179">
        <v>2264</v>
      </c>
      <c r="F189" s="366"/>
      <c r="G189" s="217"/>
      <c r="H189" s="218"/>
      <c r="I189" s="218"/>
      <c r="J189" s="74"/>
      <c r="K189" s="75"/>
      <c r="L189" s="75"/>
      <c r="M189" s="77"/>
      <c r="N189" s="77"/>
      <c r="O189" s="77"/>
      <c r="P189" s="77"/>
      <c r="Q189" s="77"/>
      <c r="R189" s="77"/>
      <c r="S189" s="78">
        <f t="shared" si="61"/>
        <v>0</v>
      </c>
      <c r="Y189" s="79">
        <f t="shared" si="62"/>
        <v>150</v>
      </c>
      <c r="Z189" s="105"/>
      <c r="AB189" s="105">
        <f t="shared" si="63"/>
        <v>150</v>
      </c>
      <c r="AC189" s="81"/>
      <c r="AD189" s="105"/>
    </row>
    <row r="190" spans="2:30" ht="11.25" hidden="1">
      <c r="B190" s="106">
        <v>24.2</v>
      </c>
      <c r="C190" s="128" t="s">
        <v>163</v>
      </c>
      <c r="D190" s="221">
        <v>0</v>
      </c>
      <c r="E190" s="122">
        <v>2390</v>
      </c>
      <c r="F190" s="215">
        <v>0</v>
      </c>
      <c r="G190" s="215"/>
      <c r="H190" s="216"/>
      <c r="I190" s="216"/>
      <c r="J190" s="87"/>
      <c r="K190" s="88"/>
      <c r="L190" s="88"/>
      <c r="M190" s="70"/>
      <c r="N190" s="70"/>
      <c r="O190" s="70"/>
      <c r="P190" s="70"/>
      <c r="Q190" s="70"/>
      <c r="R190" s="70"/>
      <c r="S190" s="90">
        <f t="shared" si="61"/>
        <v>0</v>
      </c>
      <c r="Y190" s="91">
        <f t="shared" si="62"/>
        <v>0</v>
      </c>
      <c r="Z190" s="110"/>
      <c r="AB190" s="110">
        <f t="shared" si="63"/>
        <v>0</v>
      </c>
      <c r="AD190" s="110"/>
    </row>
    <row r="191" spans="2:30" ht="12">
      <c r="B191" s="379">
        <v>24.3</v>
      </c>
      <c r="C191" s="324" t="s">
        <v>164</v>
      </c>
      <c r="D191" s="175">
        <f>250+200-100</f>
        <v>350</v>
      </c>
      <c r="E191" s="124">
        <v>2390</v>
      </c>
      <c r="F191" s="365">
        <f>SUM(D191:D192)</f>
        <v>400</v>
      </c>
      <c r="G191" s="190"/>
      <c r="H191" s="191"/>
      <c r="I191" s="191">
        <f>32.05+93.8+11.21</f>
        <v>137.06</v>
      </c>
      <c r="J191" s="222">
        <f>7.2+146.69</f>
        <v>153.89</v>
      </c>
      <c r="K191" s="52"/>
      <c r="L191" s="52"/>
      <c r="M191" s="54"/>
      <c r="N191" s="54"/>
      <c r="O191" s="54"/>
      <c r="P191" s="54"/>
      <c r="Q191" s="54"/>
      <c r="R191" s="54"/>
      <c r="S191" s="55">
        <f t="shared" si="61"/>
        <v>290.95</v>
      </c>
      <c r="Y191" s="62">
        <f t="shared" si="62"/>
        <v>59.05000000000001</v>
      </c>
      <c r="Z191" s="58"/>
      <c r="AB191" s="62">
        <f t="shared" si="63"/>
        <v>59.05000000000001</v>
      </c>
      <c r="AD191" s="58">
        <v>-59</v>
      </c>
    </row>
    <row r="192" spans="2:30" ht="12.75" thickBot="1">
      <c r="B192" s="375"/>
      <c r="C192" s="325"/>
      <c r="D192" s="205">
        <v>50</v>
      </c>
      <c r="E192" s="179">
        <v>2264</v>
      </c>
      <c r="F192" s="366"/>
      <c r="G192" s="217"/>
      <c r="H192" s="218"/>
      <c r="I192" s="218"/>
      <c r="J192" s="74">
        <f>50</f>
        <v>50</v>
      </c>
      <c r="K192" s="75"/>
      <c r="L192" s="75"/>
      <c r="M192" s="77"/>
      <c r="N192" s="77"/>
      <c r="O192" s="77"/>
      <c r="P192" s="77"/>
      <c r="Q192" s="77"/>
      <c r="R192" s="77"/>
      <c r="S192" s="78">
        <f t="shared" si="61"/>
        <v>50</v>
      </c>
      <c r="Y192" s="79">
        <f t="shared" si="62"/>
        <v>0</v>
      </c>
      <c r="Z192" s="105"/>
      <c r="AB192" s="79">
        <f t="shared" si="63"/>
        <v>0</v>
      </c>
      <c r="AC192" s="81"/>
      <c r="AD192" s="105"/>
    </row>
    <row r="193" spans="2:30" ht="12">
      <c r="B193" s="374">
        <v>24.4</v>
      </c>
      <c r="C193" s="328" t="s">
        <v>165</v>
      </c>
      <c r="D193" s="172">
        <v>50</v>
      </c>
      <c r="E193" s="122">
        <v>2269</v>
      </c>
      <c r="F193" s="367">
        <f>D193+D194+D196+D197</f>
        <v>270</v>
      </c>
      <c r="G193" s="215"/>
      <c r="H193" s="216"/>
      <c r="I193" s="216"/>
      <c r="J193" s="87"/>
      <c r="K193" s="88"/>
      <c r="L193" s="88"/>
      <c r="M193" s="70">
        <v>50</v>
      </c>
      <c r="N193" s="70"/>
      <c r="O193" s="70"/>
      <c r="P193" s="70"/>
      <c r="Q193" s="70"/>
      <c r="R193" s="70"/>
      <c r="S193" s="90">
        <f t="shared" si="61"/>
        <v>50</v>
      </c>
      <c r="Y193" s="91">
        <f t="shared" si="62"/>
        <v>0</v>
      </c>
      <c r="Z193" s="110">
        <f>50-S193</f>
        <v>0</v>
      </c>
      <c r="AB193" s="91">
        <f t="shared" si="63"/>
        <v>0</v>
      </c>
      <c r="AD193" s="110"/>
    </row>
    <row r="194" spans="2:30" ht="12.75" customHeight="1">
      <c r="B194" s="379"/>
      <c r="C194" s="324"/>
      <c r="D194" s="175">
        <f>100-10</f>
        <v>90</v>
      </c>
      <c r="E194" s="124">
        <v>2264</v>
      </c>
      <c r="F194" s="365"/>
      <c r="G194" s="190"/>
      <c r="H194" s="191"/>
      <c r="I194" s="191"/>
      <c r="J194" s="51"/>
      <c r="K194" s="52"/>
      <c r="L194" s="52"/>
      <c r="M194" s="54">
        <v>90</v>
      </c>
      <c r="N194" s="54"/>
      <c r="O194" s="54"/>
      <c r="P194" s="54"/>
      <c r="Q194" s="54"/>
      <c r="R194" s="54"/>
      <c r="S194" s="55">
        <f t="shared" si="61"/>
        <v>90</v>
      </c>
      <c r="Y194" s="62">
        <f t="shared" si="62"/>
        <v>0</v>
      </c>
      <c r="Z194" s="58">
        <f>90-S194</f>
        <v>0</v>
      </c>
      <c r="AB194" s="62">
        <f>D194-S194-Z194</f>
        <v>0</v>
      </c>
      <c r="AD194" s="58"/>
    </row>
    <row r="195" spans="2:30" ht="12.75" customHeight="1">
      <c r="B195" s="379"/>
      <c r="C195" s="324"/>
      <c r="D195" s="175"/>
      <c r="E195" s="124">
        <v>2279</v>
      </c>
      <c r="F195" s="365"/>
      <c r="G195" s="190"/>
      <c r="H195" s="191"/>
      <c r="I195" s="191"/>
      <c r="J195" s="51"/>
      <c r="K195" s="52"/>
      <c r="L195" s="52"/>
      <c r="M195" s="54">
        <v>40</v>
      </c>
      <c r="N195" s="54"/>
      <c r="O195" s="54"/>
      <c r="P195" s="54"/>
      <c r="Q195" s="54"/>
      <c r="R195" s="54"/>
      <c r="S195" s="55">
        <f t="shared" si="61"/>
        <v>40</v>
      </c>
      <c r="Y195" s="62">
        <f t="shared" si="62"/>
        <v>-40</v>
      </c>
      <c r="Z195" s="58">
        <v>0</v>
      </c>
      <c r="AB195" s="62">
        <f>D195-S195-Z195</f>
        <v>-40</v>
      </c>
      <c r="AD195" s="58"/>
    </row>
    <row r="196" spans="2:30" ht="12.75" customHeight="1">
      <c r="B196" s="379"/>
      <c r="C196" s="324"/>
      <c r="D196" s="175">
        <f>50-10</f>
        <v>40</v>
      </c>
      <c r="E196" s="124">
        <v>2341</v>
      </c>
      <c r="F196" s="365"/>
      <c r="G196" s="190"/>
      <c r="H196" s="191"/>
      <c r="I196" s="191"/>
      <c r="J196" s="51"/>
      <c r="K196" s="52"/>
      <c r="L196" s="52"/>
      <c r="M196" s="54"/>
      <c r="N196" s="54"/>
      <c r="O196" s="54"/>
      <c r="P196" s="54"/>
      <c r="Q196" s="54"/>
      <c r="R196" s="54"/>
      <c r="S196" s="55">
        <f t="shared" si="61"/>
        <v>0</v>
      </c>
      <c r="Y196" s="62">
        <f t="shared" si="62"/>
        <v>40</v>
      </c>
      <c r="Z196" s="58"/>
      <c r="AB196" s="62">
        <f t="shared" si="63"/>
        <v>40</v>
      </c>
      <c r="AD196" s="58"/>
    </row>
    <row r="197" spans="2:30" ht="13.5" customHeight="1" thickBot="1">
      <c r="B197" s="375"/>
      <c r="C197" s="325"/>
      <c r="D197" s="205">
        <f>100-10</f>
        <v>90</v>
      </c>
      <c r="E197" s="179">
        <v>2352</v>
      </c>
      <c r="F197" s="366"/>
      <c r="G197" s="217"/>
      <c r="H197" s="218"/>
      <c r="I197" s="218"/>
      <c r="J197" s="74"/>
      <c r="K197" s="75"/>
      <c r="L197" s="75"/>
      <c r="M197" s="77"/>
      <c r="N197" s="77"/>
      <c r="O197" s="77"/>
      <c r="P197" s="77"/>
      <c r="Q197" s="77"/>
      <c r="R197" s="77"/>
      <c r="S197" s="78">
        <f t="shared" si="61"/>
        <v>0</v>
      </c>
      <c r="Y197" s="79">
        <f t="shared" si="62"/>
        <v>90</v>
      </c>
      <c r="Z197" s="105">
        <f>90-S197</f>
        <v>90</v>
      </c>
      <c r="AB197" s="79">
        <f t="shared" si="63"/>
        <v>0</v>
      </c>
      <c r="AC197" s="81"/>
      <c r="AD197" s="105"/>
    </row>
    <row r="198" spans="2:30" ht="12.75" customHeight="1" hidden="1">
      <c r="B198" s="106">
        <v>24.5</v>
      </c>
      <c r="C198" s="128" t="s">
        <v>166</v>
      </c>
      <c r="D198" s="172">
        <v>0</v>
      </c>
      <c r="E198" s="122"/>
      <c r="F198" s="215">
        <v>0</v>
      </c>
      <c r="G198" s="215"/>
      <c r="H198" s="216"/>
      <c r="I198" s="216"/>
      <c r="J198" s="87"/>
      <c r="K198" s="88"/>
      <c r="L198" s="88"/>
      <c r="M198" s="70"/>
      <c r="N198" s="70"/>
      <c r="O198" s="70"/>
      <c r="P198" s="70"/>
      <c r="Q198" s="70"/>
      <c r="R198" s="70"/>
      <c r="S198" s="90">
        <f t="shared" si="61"/>
        <v>0</v>
      </c>
      <c r="Y198" s="91">
        <f t="shared" si="62"/>
        <v>0</v>
      </c>
      <c r="Z198" s="110"/>
      <c r="AB198" s="91">
        <f t="shared" si="63"/>
        <v>0</v>
      </c>
      <c r="AD198" s="110"/>
    </row>
    <row r="199" spans="2:30" ht="12.75" customHeight="1" thickBot="1">
      <c r="B199" s="102">
        <v>24.6</v>
      </c>
      <c r="C199" s="126" t="s">
        <v>167</v>
      </c>
      <c r="D199" s="205">
        <v>1500</v>
      </c>
      <c r="E199" s="179">
        <v>2279</v>
      </c>
      <c r="F199" s="217">
        <f>D199</f>
        <v>1500</v>
      </c>
      <c r="G199" s="217"/>
      <c r="H199" s="218"/>
      <c r="I199" s="218">
        <v>1500</v>
      </c>
      <c r="J199" s="74"/>
      <c r="K199" s="75"/>
      <c r="L199" s="75"/>
      <c r="M199" s="77"/>
      <c r="N199" s="77"/>
      <c r="O199" s="77"/>
      <c r="P199" s="77"/>
      <c r="Q199" s="77"/>
      <c r="R199" s="77"/>
      <c r="S199" s="78">
        <f t="shared" si="61"/>
        <v>1500</v>
      </c>
      <c r="T199" s="81"/>
      <c r="U199" s="81"/>
      <c r="V199" s="81"/>
      <c r="W199" s="81"/>
      <c r="X199" s="81"/>
      <c r="Y199" s="79">
        <f t="shared" si="62"/>
        <v>0</v>
      </c>
      <c r="Z199" s="105"/>
      <c r="AA199" s="223"/>
      <c r="AB199" s="79">
        <f t="shared" si="63"/>
        <v>0</v>
      </c>
      <c r="AC199" s="81"/>
      <c r="AD199" s="105"/>
    </row>
    <row r="200" spans="2:30" ht="12">
      <c r="B200" s="385">
        <v>24.7</v>
      </c>
      <c r="C200" s="391" t="s">
        <v>168</v>
      </c>
      <c r="D200" s="225">
        <f>600-600-466</f>
        <v>-466</v>
      </c>
      <c r="E200" s="122">
        <v>2231</v>
      </c>
      <c r="F200" s="362">
        <f>SUM(D200:D202)</f>
        <v>400</v>
      </c>
      <c r="G200" s="108"/>
      <c r="H200" s="109"/>
      <c r="I200" s="109"/>
      <c r="J200" s="109"/>
      <c r="K200" s="108"/>
      <c r="L200" s="108"/>
      <c r="M200" s="108"/>
      <c r="N200" s="108"/>
      <c r="O200" s="108"/>
      <c r="P200" s="108"/>
      <c r="Q200" s="70"/>
      <c r="R200" s="70"/>
      <c r="S200" s="90">
        <f t="shared" si="61"/>
        <v>0</v>
      </c>
      <c r="Y200" s="91">
        <f t="shared" si="62"/>
        <v>-466</v>
      </c>
      <c r="Z200" s="110"/>
      <c r="AB200" s="91">
        <f t="shared" si="63"/>
        <v>-466</v>
      </c>
      <c r="AD200" s="110">
        <v>466</v>
      </c>
    </row>
    <row r="201" spans="2:30" ht="12.75" customHeight="1">
      <c r="B201" s="385"/>
      <c r="C201" s="391"/>
      <c r="D201" s="175">
        <f>200+466</f>
        <v>666</v>
      </c>
      <c r="E201" s="124">
        <v>2390</v>
      </c>
      <c r="F201" s="362"/>
      <c r="G201" s="99"/>
      <c r="H201" s="100"/>
      <c r="I201" s="100"/>
      <c r="J201" s="100"/>
      <c r="K201" s="99">
        <f>102.49+200+107.69+50+205.7</f>
        <v>665.88</v>
      </c>
      <c r="L201" s="99"/>
      <c r="M201" s="99"/>
      <c r="N201" s="99"/>
      <c r="O201" s="99"/>
      <c r="P201" s="99"/>
      <c r="Q201" s="54"/>
      <c r="R201" s="54"/>
      <c r="S201" s="55">
        <f t="shared" si="61"/>
        <v>665.88</v>
      </c>
      <c r="Y201" s="62">
        <f t="shared" si="62"/>
        <v>0.12000000000000455</v>
      </c>
      <c r="Z201" s="58"/>
      <c r="AB201" s="62">
        <f t="shared" si="63"/>
        <v>0.12000000000000455</v>
      </c>
      <c r="AD201" s="58"/>
    </row>
    <row r="202" spans="2:30" ht="13.5" customHeight="1" thickBot="1">
      <c r="B202" s="386"/>
      <c r="C202" s="392"/>
      <c r="D202" s="205">
        <v>200</v>
      </c>
      <c r="E202" s="179">
        <v>2264</v>
      </c>
      <c r="F202" s="405"/>
      <c r="G202" s="103"/>
      <c r="H202" s="104"/>
      <c r="I202" s="104"/>
      <c r="J202" s="104"/>
      <c r="K202" s="103">
        <v>50</v>
      </c>
      <c r="L202" s="103"/>
      <c r="M202" s="103"/>
      <c r="N202" s="103"/>
      <c r="O202" s="103"/>
      <c r="P202" s="103"/>
      <c r="Q202" s="77"/>
      <c r="R202" s="77"/>
      <c r="S202" s="78">
        <f t="shared" si="61"/>
        <v>50</v>
      </c>
      <c r="Y202" s="79">
        <f t="shared" si="62"/>
        <v>150</v>
      </c>
      <c r="Z202" s="105"/>
      <c r="AB202" s="79">
        <f t="shared" si="63"/>
        <v>150</v>
      </c>
      <c r="AC202" s="81"/>
      <c r="AD202" s="105">
        <v>-150</v>
      </c>
    </row>
    <row r="203" spans="2:30" ht="12">
      <c r="B203" s="226">
        <v>24.8</v>
      </c>
      <c r="C203" s="227" t="s">
        <v>169</v>
      </c>
      <c r="D203" s="172">
        <f>262</f>
        <v>262</v>
      </c>
      <c r="E203" s="122">
        <v>2390</v>
      </c>
      <c r="F203" s="229">
        <f>D203</f>
        <v>262</v>
      </c>
      <c r="G203" s="229"/>
      <c r="H203" s="28">
        <v>192.79</v>
      </c>
      <c r="I203" s="230"/>
      <c r="J203" s="173">
        <f>28.21+28.21+12.15</f>
        <v>68.57000000000001</v>
      </c>
      <c r="K203" s="122"/>
      <c r="L203" s="122"/>
      <c r="M203" s="87"/>
      <c r="N203" s="87"/>
      <c r="O203" s="87"/>
      <c r="P203" s="87"/>
      <c r="Q203" s="87"/>
      <c r="R203" s="87"/>
      <c r="S203" s="176">
        <f>SUM(G203:R203)</f>
        <v>261.36</v>
      </c>
      <c r="Y203" s="91">
        <f>D203-S203</f>
        <v>0.6399999999999864</v>
      </c>
      <c r="Z203" s="110"/>
      <c r="AB203" s="231">
        <f>D203-S203-Z203</f>
        <v>0.6399999999999864</v>
      </c>
      <c r="AD203" s="110"/>
    </row>
    <row r="204" spans="2:30" ht="22.5" customHeight="1">
      <c r="B204" s="202">
        <v>24.9</v>
      </c>
      <c r="C204" s="98" t="s">
        <v>170</v>
      </c>
      <c r="D204" s="175">
        <f>750-750+750</f>
        <v>750</v>
      </c>
      <c r="E204" s="124">
        <v>2261</v>
      </c>
      <c r="F204" s="232">
        <f>D204</f>
        <v>750</v>
      </c>
      <c r="G204" s="232"/>
      <c r="H204" s="28"/>
      <c r="I204" s="28">
        <v>750</v>
      </c>
      <c r="J204" s="51"/>
      <c r="K204" s="52"/>
      <c r="L204" s="52"/>
      <c r="M204" s="54"/>
      <c r="N204" s="54"/>
      <c r="O204" s="54"/>
      <c r="P204" s="54"/>
      <c r="Q204" s="54"/>
      <c r="R204" s="54"/>
      <c r="S204" s="55">
        <f t="shared" si="61"/>
        <v>750</v>
      </c>
      <c r="Y204" s="62">
        <f t="shared" si="62"/>
        <v>0</v>
      </c>
      <c r="Z204" s="58"/>
      <c r="AB204" s="58">
        <f t="shared" si="63"/>
        <v>0</v>
      </c>
      <c r="AD204" s="58"/>
    </row>
    <row r="205" spans="2:30" ht="12">
      <c r="B205" s="304">
        <v>25</v>
      </c>
      <c r="C205" s="199" t="s">
        <v>171</v>
      </c>
      <c r="D205" s="214">
        <f>SUM(D206:D211)</f>
        <v>1461</v>
      </c>
      <c r="E205" s="199"/>
      <c r="F205" s="214">
        <f aca="true" t="shared" si="64" ref="F205:S205">SUM(F206:F211)</f>
        <v>1461</v>
      </c>
      <c r="G205" s="214">
        <f t="shared" si="64"/>
        <v>0</v>
      </c>
      <c r="H205" s="214">
        <f t="shared" si="64"/>
        <v>240.67</v>
      </c>
      <c r="I205" s="214">
        <f t="shared" si="64"/>
        <v>0</v>
      </c>
      <c r="J205" s="214">
        <f t="shared" si="64"/>
        <v>349.99</v>
      </c>
      <c r="K205" s="214">
        <f t="shared" si="64"/>
        <v>0</v>
      </c>
      <c r="L205" s="214">
        <f t="shared" si="64"/>
        <v>0</v>
      </c>
      <c r="M205" s="214">
        <f t="shared" si="64"/>
        <v>0</v>
      </c>
      <c r="N205" s="214">
        <f t="shared" si="64"/>
        <v>0</v>
      </c>
      <c r="O205" s="214">
        <f t="shared" si="64"/>
        <v>0</v>
      </c>
      <c r="P205" s="214">
        <f t="shared" si="64"/>
        <v>0</v>
      </c>
      <c r="Q205" s="214">
        <f t="shared" si="64"/>
        <v>0</v>
      </c>
      <c r="R205" s="214">
        <f t="shared" si="64"/>
        <v>0</v>
      </c>
      <c r="S205" s="214">
        <f t="shared" si="64"/>
        <v>590.66</v>
      </c>
      <c r="T205" s="34"/>
      <c r="U205" s="34"/>
      <c r="V205" s="34"/>
      <c r="W205" s="34"/>
      <c r="X205" s="34"/>
      <c r="Y205" s="308">
        <f>SUM(Y206:Y211)</f>
        <v>870.34</v>
      </c>
      <c r="Z205" s="308">
        <f>SUM(Z206:Z211)</f>
        <v>0</v>
      </c>
      <c r="AA205" s="177"/>
      <c r="AB205" s="308">
        <f>SUM(AB206:AB211)</f>
        <v>870.34</v>
      </c>
      <c r="AC205" s="308">
        <f>SUM(AC206:AC211)</f>
        <v>0</v>
      </c>
      <c r="AD205" s="308">
        <f>SUM(AD206:AD211)</f>
        <v>-140</v>
      </c>
    </row>
    <row r="206" spans="2:30" ht="24">
      <c r="B206" s="202">
        <v>25.1</v>
      </c>
      <c r="C206" s="98" t="s">
        <v>172</v>
      </c>
      <c r="D206" s="100">
        <f>280-30</f>
        <v>250</v>
      </c>
      <c r="E206" s="18">
        <v>2390</v>
      </c>
      <c r="F206" s="99">
        <f aca="true" t="shared" si="65" ref="F206:F211">D206</f>
        <v>250</v>
      </c>
      <c r="G206" s="99"/>
      <c r="H206" s="100"/>
      <c r="I206" s="100"/>
      <c r="J206" s="51"/>
      <c r="K206" s="52"/>
      <c r="L206" s="54"/>
      <c r="M206" s="54"/>
      <c r="N206" s="54"/>
      <c r="O206" s="54"/>
      <c r="P206" s="54"/>
      <c r="Q206" s="54"/>
      <c r="R206" s="54"/>
      <c r="S206" s="55">
        <f aca="true" t="shared" si="66" ref="S206:S211">SUM(G206:R206)</f>
        <v>0</v>
      </c>
      <c r="Y206" s="62">
        <f aca="true" t="shared" si="67" ref="Y206:Y211">D206-S206</f>
        <v>250</v>
      </c>
      <c r="Z206" s="58"/>
      <c r="AB206" s="62">
        <f aca="true" t="shared" si="68" ref="AB206:AB211">D206-S206-Z206</f>
        <v>250</v>
      </c>
      <c r="AD206" s="58">
        <v>-50</v>
      </c>
    </row>
    <row r="207" spans="2:30" ht="24">
      <c r="B207" s="97">
        <v>25.2</v>
      </c>
      <c r="C207" s="125" t="s">
        <v>173</v>
      </c>
      <c r="D207" s="175">
        <f>240-240+241</f>
        <v>241</v>
      </c>
      <c r="E207" s="124">
        <v>2390</v>
      </c>
      <c r="F207" s="99">
        <f t="shared" si="65"/>
        <v>241</v>
      </c>
      <c r="G207" s="99"/>
      <c r="H207" s="100">
        <f>240.67</f>
        <v>240.67</v>
      </c>
      <c r="I207" s="100"/>
      <c r="J207" s="51"/>
      <c r="K207" s="52"/>
      <c r="L207" s="52"/>
      <c r="M207" s="54"/>
      <c r="N207" s="54"/>
      <c r="O207" s="54"/>
      <c r="P207" s="54"/>
      <c r="Q207" s="54"/>
      <c r="R207" s="54"/>
      <c r="S207" s="55">
        <f t="shared" si="66"/>
        <v>240.67</v>
      </c>
      <c r="Y207" s="62">
        <f t="shared" si="67"/>
        <v>0.3300000000000125</v>
      </c>
      <c r="Z207" s="58"/>
      <c r="AB207" s="62">
        <f t="shared" si="68"/>
        <v>0.3300000000000125</v>
      </c>
      <c r="AD207" s="58"/>
    </row>
    <row r="208" spans="2:30" ht="12">
      <c r="B208" s="97">
        <v>25.3</v>
      </c>
      <c r="C208" s="125" t="s">
        <v>174</v>
      </c>
      <c r="D208" s="175">
        <f>320+30</f>
        <v>350</v>
      </c>
      <c r="E208" s="124">
        <v>2390</v>
      </c>
      <c r="F208" s="99">
        <f t="shared" si="65"/>
        <v>350</v>
      </c>
      <c r="G208" s="99"/>
      <c r="H208" s="100"/>
      <c r="I208" s="100"/>
      <c r="J208" s="51">
        <f>349.99</f>
        <v>349.99</v>
      </c>
      <c r="K208" s="52"/>
      <c r="L208" s="52"/>
      <c r="M208" s="54"/>
      <c r="N208" s="54"/>
      <c r="O208" s="54"/>
      <c r="P208" s="54"/>
      <c r="Q208" s="54"/>
      <c r="R208" s="54"/>
      <c r="S208" s="55">
        <f t="shared" si="66"/>
        <v>349.99</v>
      </c>
      <c r="Y208" s="62">
        <f t="shared" si="67"/>
        <v>0.009999999999990905</v>
      </c>
      <c r="Z208" s="58"/>
      <c r="AB208" s="62">
        <f t="shared" si="68"/>
        <v>0.009999999999990905</v>
      </c>
      <c r="AD208" s="58"/>
    </row>
    <row r="209" spans="2:30" ht="22.5">
      <c r="B209" s="97">
        <v>25.4</v>
      </c>
      <c r="C209" s="59" t="s">
        <v>175</v>
      </c>
      <c r="D209" s="175">
        <f>220-20</f>
        <v>200</v>
      </c>
      <c r="E209" s="124">
        <v>2390</v>
      </c>
      <c r="F209" s="99">
        <f t="shared" si="65"/>
        <v>200</v>
      </c>
      <c r="G209" s="99"/>
      <c r="H209" s="100"/>
      <c r="I209" s="100"/>
      <c r="J209" s="51"/>
      <c r="K209" s="52"/>
      <c r="L209" s="52"/>
      <c r="M209" s="54"/>
      <c r="N209" s="54"/>
      <c r="O209" s="54"/>
      <c r="P209" s="54"/>
      <c r="Q209" s="54"/>
      <c r="R209" s="54"/>
      <c r="S209" s="55">
        <f t="shared" si="66"/>
        <v>0</v>
      </c>
      <c r="Y209" s="62">
        <f t="shared" si="67"/>
        <v>200</v>
      </c>
      <c r="Z209" s="58"/>
      <c r="AB209" s="62">
        <f t="shared" si="68"/>
        <v>200</v>
      </c>
      <c r="AD209" s="58">
        <v>-20</v>
      </c>
    </row>
    <row r="210" spans="2:30" ht="22.5">
      <c r="B210" s="97">
        <v>25.5</v>
      </c>
      <c r="C210" s="59" t="s">
        <v>176</v>
      </c>
      <c r="D210" s="175">
        <f>220-20</f>
        <v>200</v>
      </c>
      <c r="E210" s="124">
        <v>2390</v>
      </c>
      <c r="F210" s="99">
        <f t="shared" si="65"/>
        <v>200</v>
      </c>
      <c r="G210" s="99"/>
      <c r="H210" s="100"/>
      <c r="I210" s="100"/>
      <c r="J210" s="51"/>
      <c r="K210" s="52"/>
      <c r="L210" s="52"/>
      <c r="M210" s="54"/>
      <c r="N210" s="54"/>
      <c r="O210" s="54"/>
      <c r="P210" s="54"/>
      <c r="Q210" s="54"/>
      <c r="R210" s="54"/>
      <c r="S210" s="55">
        <f t="shared" si="66"/>
        <v>0</v>
      </c>
      <c r="Y210" s="62">
        <f t="shared" si="67"/>
        <v>200</v>
      </c>
      <c r="Z210" s="58"/>
      <c r="AB210" s="62">
        <f t="shared" si="68"/>
        <v>200</v>
      </c>
      <c r="AD210" s="58">
        <v>-20</v>
      </c>
    </row>
    <row r="211" spans="2:30" ht="24">
      <c r="B211" s="97">
        <v>25.6</v>
      </c>
      <c r="C211" s="125" t="s">
        <v>177</v>
      </c>
      <c r="D211" s="175">
        <f>240-20</f>
        <v>220</v>
      </c>
      <c r="E211" s="124">
        <v>2390</v>
      </c>
      <c r="F211" s="99">
        <f t="shared" si="65"/>
        <v>220</v>
      </c>
      <c r="G211" s="99"/>
      <c r="H211" s="100"/>
      <c r="I211" s="100"/>
      <c r="J211" s="51"/>
      <c r="K211" s="52"/>
      <c r="L211" s="52"/>
      <c r="M211" s="54"/>
      <c r="N211" s="54"/>
      <c r="O211" s="54"/>
      <c r="P211" s="54"/>
      <c r="Q211" s="54"/>
      <c r="R211" s="54"/>
      <c r="S211" s="55">
        <f t="shared" si="66"/>
        <v>0</v>
      </c>
      <c r="Y211" s="62">
        <f t="shared" si="67"/>
        <v>220</v>
      </c>
      <c r="Z211" s="58"/>
      <c r="AB211" s="62">
        <f t="shared" si="68"/>
        <v>220</v>
      </c>
      <c r="AD211" s="58">
        <v>-50</v>
      </c>
    </row>
    <row r="212" spans="1:30" ht="12">
      <c r="A212" s="213"/>
      <c r="B212" s="304">
        <v>26</v>
      </c>
      <c r="C212" s="199" t="s">
        <v>178</v>
      </c>
      <c r="D212" s="214">
        <f>SUM(D213:D220)</f>
        <v>2592</v>
      </c>
      <c r="E212" s="199"/>
      <c r="F212" s="214">
        <f aca="true" t="shared" si="69" ref="F212:S212">SUM(F213:F220)</f>
        <v>2592</v>
      </c>
      <c r="G212" s="214">
        <f t="shared" si="69"/>
        <v>0</v>
      </c>
      <c r="H212" s="214">
        <f t="shared" si="69"/>
        <v>0</v>
      </c>
      <c r="I212" s="214">
        <f t="shared" si="69"/>
        <v>156.43</v>
      </c>
      <c r="J212" s="214">
        <f t="shared" si="69"/>
        <v>0</v>
      </c>
      <c r="K212" s="214">
        <f t="shared" si="69"/>
        <v>220</v>
      </c>
      <c r="L212" s="214">
        <f t="shared" si="69"/>
        <v>0</v>
      </c>
      <c r="M212" s="214">
        <f t="shared" si="69"/>
        <v>0</v>
      </c>
      <c r="N212" s="214">
        <f t="shared" si="69"/>
        <v>0</v>
      </c>
      <c r="O212" s="214">
        <f t="shared" si="69"/>
        <v>0</v>
      </c>
      <c r="P212" s="214">
        <f t="shared" si="69"/>
        <v>0</v>
      </c>
      <c r="Q212" s="214">
        <f t="shared" si="69"/>
        <v>0</v>
      </c>
      <c r="R212" s="214">
        <f t="shared" si="69"/>
        <v>0</v>
      </c>
      <c r="S212" s="214">
        <f t="shared" si="69"/>
        <v>376.43</v>
      </c>
      <c r="T212" s="34"/>
      <c r="U212" s="34"/>
      <c r="V212" s="34"/>
      <c r="W212" s="34"/>
      <c r="X212" s="34"/>
      <c r="Y212" s="308">
        <f>SUM(Y213:Y220)</f>
        <v>2215.5699999999997</v>
      </c>
      <c r="Z212" s="308">
        <f>SUM(Z213:Z220)</f>
        <v>1710</v>
      </c>
      <c r="AA212" s="177"/>
      <c r="AB212" s="308">
        <f>SUM(AB213:AB220)</f>
        <v>505.57</v>
      </c>
      <c r="AC212" s="308">
        <f>SUM(AC213:AC220)</f>
        <v>0</v>
      </c>
      <c r="AD212" s="308">
        <f>SUM(AD213:AD220)</f>
        <v>-356</v>
      </c>
    </row>
    <row r="213" spans="2:31" ht="24.75" thickBot="1">
      <c r="B213" s="102">
        <v>26.1</v>
      </c>
      <c r="C213" s="210" t="s">
        <v>179</v>
      </c>
      <c r="D213" s="104">
        <f>1900-190</f>
        <v>1710</v>
      </c>
      <c r="E213" s="233">
        <v>2279</v>
      </c>
      <c r="F213" s="104">
        <f>D213</f>
        <v>1710</v>
      </c>
      <c r="G213" s="103"/>
      <c r="H213" s="104"/>
      <c r="I213" s="104"/>
      <c r="J213" s="74"/>
      <c r="K213" s="75"/>
      <c r="L213" s="77"/>
      <c r="M213" s="77"/>
      <c r="N213" s="77"/>
      <c r="O213" s="77"/>
      <c r="P213" s="77"/>
      <c r="Q213" s="77"/>
      <c r="R213" s="77"/>
      <c r="S213" s="78">
        <f aca="true" t="shared" si="70" ref="S213:S220">SUM(G213:R213)</f>
        <v>0</v>
      </c>
      <c r="Y213" s="79">
        <f aca="true" t="shared" si="71" ref="Y213:Y220">D213-S213</f>
        <v>1710</v>
      </c>
      <c r="Z213" s="105">
        <f>1710-S213</f>
        <v>1710</v>
      </c>
      <c r="AB213" s="105">
        <f aca="true" t="shared" si="72" ref="AB213:AB220">D213-S213-Z213</f>
        <v>0</v>
      </c>
      <c r="AC213" s="81"/>
      <c r="AD213" s="105"/>
      <c r="AE213" s="39" t="s">
        <v>180</v>
      </c>
    </row>
    <row r="214" spans="2:30" ht="12">
      <c r="B214" s="374">
        <v>26.2</v>
      </c>
      <c r="C214" s="376" t="s">
        <v>181</v>
      </c>
      <c r="D214" s="172">
        <f>190-20</f>
        <v>170</v>
      </c>
      <c r="E214" s="122">
        <v>2390</v>
      </c>
      <c r="F214" s="380">
        <f>SUM(D214:D215)</f>
        <v>250</v>
      </c>
      <c r="G214" s="108"/>
      <c r="H214" s="109"/>
      <c r="I214" s="109"/>
      <c r="J214" s="87"/>
      <c r="K214" s="88"/>
      <c r="L214" s="88"/>
      <c r="M214" s="70"/>
      <c r="N214" s="70"/>
      <c r="O214" s="70"/>
      <c r="P214" s="70"/>
      <c r="Q214" s="70"/>
      <c r="R214" s="70"/>
      <c r="S214" s="90">
        <f t="shared" si="70"/>
        <v>0</v>
      </c>
      <c r="Y214" s="91">
        <f t="shared" si="71"/>
        <v>170</v>
      </c>
      <c r="Z214" s="110"/>
      <c r="AB214" s="91">
        <f t="shared" si="72"/>
        <v>170</v>
      </c>
      <c r="AD214" s="110">
        <v>-170</v>
      </c>
    </row>
    <row r="215" spans="2:30" ht="12.75" thickBot="1">
      <c r="B215" s="375"/>
      <c r="C215" s="378"/>
      <c r="D215" s="205">
        <f>90-10</f>
        <v>80</v>
      </c>
      <c r="E215" s="179">
        <v>2261</v>
      </c>
      <c r="F215" s="360"/>
      <c r="G215" s="103"/>
      <c r="H215" s="104"/>
      <c r="I215" s="104"/>
      <c r="J215" s="74"/>
      <c r="K215" s="75"/>
      <c r="L215" s="75"/>
      <c r="M215" s="77"/>
      <c r="N215" s="77"/>
      <c r="O215" s="77"/>
      <c r="P215" s="77"/>
      <c r="Q215" s="77"/>
      <c r="R215" s="77"/>
      <c r="S215" s="78">
        <f t="shared" si="70"/>
        <v>0</v>
      </c>
      <c r="Y215" s="79">
        <f t="shared" si="71"/>
        <v>80</v>
      </c>
      <c r="Z215" s="105"/>
      <c r="AB215" s="79">
        <f t="shared" si="72"/>
        <v>80</v>
      </c>
      <c r="AC215" s="81"/>
      <c r="AD215" s="105">
        <v>-80</v>
      </c>
    </row>
    <row r="216" spans="2:30" ht="12">
      <c r="B216" s="374">
        <v>26.3</v>
      </c>
      <c r="C216" s="376" t="s">
        <v>182</v>
      </c>
      <c r="D216" s="172">
        <f>190-28</f>
        <v>162</v>
      </c>
      <c r="E216" s="122">
        <v>2390</v>
      </c>
      <c r="F216" s="380">
        <f>SUM(D216:D217)</f>
        <v>162</v>
      </c>
      <c r="G216" s="108"/>
      <c r="H216" s="109"/>
      <c r="I216" s="109">
        <f>68.22+88.21</f>
        <v>156.43</v>
      </c>
      <c r="J216" s="87"/>
      <c r="K216" s="88"/>
      <c r="L216" s="88"/>
      <c r="M216" s="70"/>
      <c r="N216" s="70"/>
      <c r="O216" s="70"/>
      <c r="P216" s="70"/>
      <c r="Q216" s="70"/>
      <c r="R216" s="70"/>
      <c r="S216" s="90">
        <f t="shared" si="70"/>
        <v>156.43</v>
      </c>
      <c r="Y216" s="91">
        <f t="shared" si="71"/>
        <v>5.569999999999993</v>
      </c>
      <c r="Z216" s="110"/>
      <c r="AB216" s="91">
        <f t="shared" si="72"/>
        <v>5.569999999999993</v>
      </c>
      <c r="AD216" s="110">
        <v>-6</v>
      </c>
    </row>
    <row r="217" spans="2:30" ht="12.75" thickBot="1">
      <c r="B217" s="375"/>
      <c r="C217" s="378"/>
      <c r="D217" s="205">
        <f>90-90</f>
        <v>0</v>
      </c>
      <c r="E217" s="179">
        <v>2261</v>
      </c>
      <c r="F217" s="360"/>
      <c r="G217" s="103"/>
      <c r="H217" s="104"/>
      <c r="I217" s="104"/>
      <c r="J217" s="74"/>
      <c r="K217" s="75"/>
      <c r="L217" s="75"/>
      <c r="M217" s="77"/>
      <c r="N217" s="77"/>
      <c r="O217" s="77"/>
      <c r="P217" s="77"/>
      <c r="Q217" s="77"/>
      <c r="R217" s="77"/>
      <c r="S217" s="78">
        <f t="shared" si="70"/>
        <v>0</v>
      </c>
      <c r="T217" s="81"/>
      <c r="U217" s="81"/>
      <c r="V217" s="81"/>
      <c r="W217" s="81"/>
      <c r="X217" s="81"/>
      <c r="Y217" s="79">
        <f t="shared" si="71"/>
        <v>0</v>
      </c>
      <c r="Z217" s="105"/>
      <c r="AA217" s="223"/>
      <c r="AB217" s="79">
        <f t="shared" si="72"/>
        <v>0</v>
      </c>
      <c r="AC217" s="81"/>
      <c r="AD217" s="105"/>
    </row>
    <row r="218" spans="2:30" ht="12">
      <c r="B218" s="374">
        <v>26.4</v>
      </c>
      <c r="C218" s="376" t="s">
        <v>183</v>
      </c>
      <c r="D218" s="172">
        <f>190-20</f>
        <v>170</v>
      </c>
      <c r="E218" s="122">
        <v>2390</v>
      </c>
      <c r="F218" s="380">
        <f>SUM(D218:D219)</f>
        <v>250</v>
      </c>
      <c r="G218" s="108"/>
      <c r="H218" s="109"/>
      <c r="I218" s="109"/>
      <c r="J218" s="87"/>
      <c r="K218" s="88"/>
      <c r="L218" s="88"/>
      <c r="M218" s="70"/>
      <c r="N218" s="70"/>
      <c r="O218" s="70"/>
      <c r="P218" s="70"/>
      <c r="Q218" s="70"/>
      <c r="R218" s="70"/>
      <c r="S218" s="90">
        <f t="shared" si="70"/>
        <v>0</v>
      </c>
      <c r="Y218" s="91">
        <f t="shared" si="71"/>
        <v>170</v>
      </c>
      <c r="Z218" s="110"/>
      <c r="AB218" s="91">
        <f t="shared" si="72"/>
        <v>170</v>
      </c>
      <c r="AD218" s="110">
        <v>-70</v>
      </c>
    </row>
    <row r="219" spans="2:30" ht="12">
      <c r="B219" s="379"/>
      <c r="C219" s="377"/>
      <c r="D219" s="175">
        <f>90-10</f>
        <v>80</v>
      </c>
      <c r="E219" s="124">
        <v>2261</v>
      </c>
      <c r="F219" s="381"/>
      <c r="G219" s="99"/>
      <c r="H219" s="100"/>
      <c r="I219" s="100"/>
      <c r="J219" s="51"/>
      <c r="K219" s="52"/>
      <c r="L219" s="52"/>
      <c r="M219" s="54"/>
      <c r="N219" s="54"/>
      <c r="O219" s="54"/>
      <c r="P219" s="54"/>
      <c r="Q219" s="54"/>
      <c r="R219" s="54"/>
      <c r="S219" s="55">
        <f t="shared" si="70"/>
        <v>0</v>
      </c>
      <c r="Y219" s="62">
        <f t="shared" si="71"/>
        <v>80</v>
      </c>
      <c r="Z219" s="58"/>
      <c r="AB219" s="62">
        <f t="shared" si="72"/>
        <v>80</v>
      </c>
      <c r="AD219" s="58">
        <v>-30</v>
      </c>
    </row>
    <row r="220" spans="2:30" ht="24">
      <c r="B220" s="106">
        <v>26.5</v>
      </c>
      <c r="C220" s="196" t="s">
        <v>184</v>
      </c>
      <c r="D220" s="172">
        <f>220</f>
        <v>220</v>
      </c>
      <c r="E220" s="122">
        <v>2262</v>
      </c>
      <c r="F220" s="109">
        <f>D220</f>
        <v>220</v>
      </c>
      <c r="G220" s="108"/>
      <c r="H220" s="109"/>
      <c r="I220" s="109"/>
      <c r="J220" s="87"/>
      <c r="K220" s="88">
        <f>220</f>
        <v>220</v>
      </c>
      <c r="L220" s="88"/>
      <c r="M220" s="70"/>
      <c r="N220" s="70"/>
      <c r="O220" s="70"/>
      <c r="P220" s="70"/>
      <c r="Q220" s="70"/>
      <c r="R220" s="70"/>
      <c r="S220" s="55">
        <f t="shared" si="70"/>
        <v>220</v>
      </c>
      <c r="Y220" s="62">
        <f t="shared" si="71"/>
        <v>0</v>
      </c>
      <c r="Z220" s="58"/>
      <c r="AB220" s="62">
        <f t="shared" si="72"/>
        <v>0</v>
      </c>
      <c r="AD220" s="58"/>
    </row>
    <row r="221" spans="1:30" ht="12.75" customHeight="1">
      <c r="A221" s="213"/>
      <c r="B221" s="304">
        <v>27</v>
      </c>
      <c r="C221" s="199" t="s">
        <v>185</v>
      </c>
      <c r="D221" s="214">
        <f>SUM(D222:D223)</f>
        <v>8550</v>
      </c>
      <c r="E221" s="199"/>
      <c r="F221" s="214">
        <f aca="true" t="shared" si="73" ref="F221:S221">SUM(F222:F223)</f>
        <v>8550</v>
      </c>
      <c r="G221" s="214">
        <f t="shared" si="73"/>
        <v>0</v>
      </c>
      <c r="H221" s="214">
        <f t="shared" si="73"/>
        <v>0</v>
      </c>
      <c r="I221" s="214">
        <f t="shared" si="73"/>
        <v>0</v>
      </c>
      <c r="J221" s="214">
        <f t="shared" si="73"/>
        <v>0</v>
      </c>
      <c r="K221" s="214">
        <f t="shared" si="73"/>
        <v>0</v>
      </c>
      <c r="L221" s="214">
        <f t="shared" si="73"/>
        <v>0</v>
      </c>
      <c r="M221" s="214">
        <f t="shared" si="73"/>
        <v>0</v>
      </c>
      <c r="N221" s="214">
        <f t="shared" si="73"/>
        <v>0</v>
      </c>
      <c r="O221" s="214">
        <f t="shared" si="73"/>
        <v>0</v>
      </c>
      <c r="P221" s="214">
        <f t="shared" si="73"/>
        <v>0</v>
      </c>
      <c r="Q221" s="214">
        <f t="shared" si="73"/>
        <v>0</v>
      </c>
      <c r="R221" s="214">
        <f t="shared" si="73"/>
        <v>0</v>
      </c>
      <c r="S221" s="214">
        <f t="shared" si="73"/>
        <v>0</v>
      </c>
      <c r="T221" s="34"/>
      <c r="U221" s="34"/>
      <c r="V221" s="34"/>
      <c r="W221" s="34"/>
      <c r="X221" s="34"/>
      <c r="Y221" s="308">
        <f>SUM(Y222:Y223)</f>
        <v>8550</v>
      </c>
      <c r="Z221" s="308">
        <f>SUM(Z222:Z223)</f>
        <v>0</v>
      </c>
      <c r="AA221" s="177"/>
      <c r="AB221" s="308">
        <f>SUM(AB222:AB223)</f>
        <v>8550</v>
      </c>
      <c r="AC221" s="308">
        <f>SUM(AC222:AC223)</f>
        <v>0</v>
      </c>
      <c r="AD221" s="308">
        <f>SUM(AD222:AD223)</f>
        <v>-8550</v>
      </c>
    </row>
    <row r="222" spans="2:30" ht="12">
      <c r="B222" s="252">
        <v>27.1</v>
      </c>
      <c r="C222" s="228" t="s">
        <v>186</v>
      </c>
      <c r="D222" s="175">
        <f>9500-950</f>
        <v>8550</v>
      </c>
      <c r="E222" s="124">
        <v>2279</v>
      </c>
      <c r="F222" s="100">
        <f>D222</f>
        <v>8550</v>
      </c>
      <c r="G222" s="100"/>
      <c r="H222" s="100"/>
      <c r="I222" s="100"/>
      <c r="J222" s="51"/>
      <c r="K222" s="124"/>
      <c r="L222" s="53"/>
      <c r="M222" s="51"/>
      <c r="N222" s="51"/>
      <c r="O222" s="51"/>
      <c r="P222" s="51"/>
      <c r="Q222" s="51"/>
      <c r="R222" s="51"/>
      <c r="S222" s="315">
        <f>SUM(G222:R222)</f>
        <v>0</v>
      </c>
      <c r="T222" s="34"/>
      <c r="U222" s="34"/>
      <c r="V222" s="34"/>
      <c r="W222" s="34"/>
      <c r="X222" s="34"/>
      <c r="Y222" s="62">
        <f>D222-S222</f>
        <v>8550</v>
      </c>
      <c r="Z222" s="62"/>
      <c r="AA222" s="177"/>
      <c r="AB222" s="62">
        <f>D222-S222-Z222</f>
        <v>8550</v>
      </c>
      <c r="AC222" s="34"/>
      <c r="AD222" s="62">
        <v>-8550</v>
      </c>
    </row>
    <row r="223" spans="2:30" ht="12.75" customHeight="1" hidden="1">
      <c r="B223" s="252">
        <v>27.2</v>
      </c>
      <c r="C223" s="228" t="s">
        <v>187</v>
      </c>
      <c r="D223" s="175">
        <v>0</v>
      </c>
      <c r="E223" s="124"/>
      <c r="F223" s="100">
        <v>0</v>
      </c>
      <c r="G223" s="100"/>
      <c r="H223" s="100"/>
      <c r="I223" s="100"/>
      <c r="J223" s="51"/>
      <c r="K223" s="124"/>
      <c r="L223" s="53"/>
      <c r="M223" s="51"/>
      <c r="N223" s="51"/>
      <c r="O223" s="51"/>
      <c r="P223" s="51"/>
      <c r="Q223" s="51"/>
      <c r="R223" s="51"/>
      <c r="S223" s="315">
        <f>SUM(G223:R223)</f>
        <v>0</v>
      </c>
      <c r="T223" s="34"/>
      <c r="U223" s="34"/>
      <c r="V223" s="34"/>
      <c r="W223" s="34"/>
      <c r="X223" s="34"/>
      <c r="Y223" s="62">
        <f>D223-S223</f>
        <v>0</v>
      </c>
      <c r="Z223" s="62"/>
      <c r="AA223" s="177"/>
      <c r="AB223" s="62">
        <f>D223-S223-Z223</f>
        <v>0</v>
      </c>
      <c r="AC223" s="34"/>
      <c r="AD223" s="62"/>
    </row>
    <row r="224" spans="1:30" ht="45" customHeight="1">
      <c r="A224" s="213"/>
      <c r="B224" s="382" t="s">
        <v>188</v>
      </c>
      <c r="C224" s="382"/>
      <c r="D224" s="214">
        <f>SUM(D225:D285)</f>
        <v>163330</v>
      </c>
      <c r="E224" s="317"/>
      <c r="F224" s="214">
        <f aca="true" t="shared" si="74" ref="F224:AA224">SUM(F225:F285)</f>
        <v>163330</v>
      </c>
      <c r="G224" s="214">
        <f t="shared" si="74"/>
        <v>570</v>
      </c>
      <c r="H224" s="214">
        <f t="shared" si="74"/>
        <v>1090.26</v>
      </c>
      <c r="I224" s="214">
        <f t="shared" si="74"/>
        <v>28234.04</v>
      </c>
      <c r="J224" s="214">
        <f t="shared" si="74"/>
        <v>39202.51</v>
      </c>
      <c r="K224" s="214">
        <f t="shared" si="74"/>
        <v>5487.25</v>
      </c>
      <c r="L224" s="214">
        <f t="shared" si="74"/>
        <v>3580.02</v>
      </c>
      <c r="M224" s="214">
        <f>SUM(M225:M284)</f>
        <v>24000.23</v>
      </c>
      <c r="N224" s="214">
        <f t="shared" si="74"/>
        <v>0</v>
      </c>
      <c r="O224" s="214">
        <f t="shared" si="74"/>
        <v>0</v>
      </c>
      <c r="P224" s="214">
        <f t="shared" si="74"/>
        <v>0</v>
      </c>
      <c r="Q224" s="214">
        <f t="shared" si="74"/>
        <v>0</v>
      </c>
      <c r="R224" s="214">
        <f t="shared" si="74"/>
        <v>0</v>
      </c>
      <c r="S224" s="214">
        <f t="shared" si="74"/>
        <v>102164.31000000001</v>
      </c>
      <c r="T224" s="214">
        <f t="shared" si="74"/>
        <v>0</v>
      </c>
      <c r="U224" s="214">
        <f t="shared" si="74"/>
        <v>0</v>
      </c>
      <c r="V224" s="214">
        <f t="shared" si="74"/>
        <v>0</v>
      </c>
      <c r="W224" s="214">
        <f t="shared" si="74"/>
        <v>0</v>
      </c>
      <c r="X224" s="214">
        <f t="shared" si="74"/>
        <v>0</v>
      </c>
      <c r="Y224" s="308">
        <f t="shared" si="74"/>
        <v>61165.69</v>
      </c>
      <c r="Z224" s="308">
        <f t="shared" si="74"/>
        <v>38013.34</v>
      </c>
      <c r="AA224" s="308">
        <f t="shared" si="74"/>
        <v>0</v>
      </c>
      <c r="AB224" s="308">
        <f>SUM(AB225:AB285)</f>
        <v>23152.350000000002</v>
      </c>
      <c r="AC224" s="308">
        <f>SUM(AC225:AC285)</f>
        <v>0</v>
      </c>
      <c r="AD224" s="308">
        <f>SUM(AD225:AD285)</f>
        <v>-20661</v>
      </c>
    </row>
    <row r="225" spans="2:31" ht="24">
      <c r="B225" s="97">
        <v>1</v>
      </c>
      <c r="C225" s="197" t="s">
        <v>189</v>
      </c>
      <c r="D225" s="124">
        <v>22800</v>
      </c>
      <c r="E225" s="124">
        <v>2279</v>
      </c>
      <c r="F225" s="99">
        <f>D225</f>
        <v>22800</v>
      </c>
      <c r="G225" s="99"/>
      <c r="H225" s="100"/>
      <c r="I225" s="100">
        <v>22800</v>
      </c>
      <c r="J225" s="51"/>
      <c r="K225" s="52"/>
      <c r="L225" s="54"/>
      <c r="M225" s="54"/>
      <c r="N225" s="54"/>
      <c r="O225" s="54"/>
      <c r="P225" s="54"/>
      <c r="Q225" s="54"/>
      <c r="R225" s="54"/>
      <c r="S225" s="55">
        <f aca="true" t="shared" si="75" ref="S225:S248">SUM(G225:R225)</f>
        <v>22800</v>
      </c>
      <c r="Y225" s="62">
        <f aca="true" t="shared" si="76" ref="Y225:Y242">D225-S225</f>
        <v>0</v>
      </c>
      <c r="Z225" s="58">
        <f>22800-S225</f>
        <v>0</v>
      </c>
      <c r="AB225" s="58">
        <f aca="true" t="shared" si="77" ref="AB225:AB242">D225-S225-Z225</f>
        <v>0</v>
      </c>
      <c r="AD225" s="58"/>
      <c r="AE225" s="234"/>
    </row>
    <row r="226" spans="2:31" ht="24">
      <c r="B226" s="97">
        <v>2</v>
      </c>
      <c r="C226" s="197" t="s">
        <v>190</v>
      </c>
      <c r="D226" s="124">
        <v>22800</v>
      </c>
      <c r="E226" s="124">
        <v>2279</v>
      </c>
      <c r="F226" s="99">
        <f>D226</f>
        <v>22800</v>
      </c>
      <c r="G226" s="99"/>
      <c r="H226" s="100"/>
      <c r="I226" s="100"/>
      <c r="J226" s="191">
        <f>5700</f>
        <v>5700</v>
      </c>
      <c r="K226" s="52"/>
      <c r="L226" s="54"/>
      <c r="M226" s="54">
        <v>5700</v>
      </c>
      <c r="N226" s="54"/>
      <c r="O226" s="54"/>
      <c r="P226" s="54"/>
      <c r="Q226" s="54"/>
      <c r="R226" s="54"/>
      <c r="S226" s="55">
        <f t="shared" si="75"/>
        <v>11400</v>
      </c>
      <c r="Y226" s="62">
        <f t="shared" si="76"/>
        <v>11400</v>
      </c>
      <c r="Z226" s="58">
        <f>22800-S226</f>
        <v>11400</v>
      </c>
      <c r="AB226" s="58">
        <f t="shared" si="77"/>
        <v>0</v>
      </c>
      <c r="AD226" s="58"/>
      <c r="AE226" s="234"/>
    </row>
    <row r="227" spans="2:30" ht="24.75" thickBot="1">
      <c r="B227" s="96">
        <v>3</v>
      </c>
      <c r="C227" s="235" t="s">
        <v>191</v>
      </c>
      <c r="D227" s="179">
        <v>20900</v>
      </c>
      <c r="E227" s="179">
        <v>2279</v>
      </c>
      <c r="F227" s="103">
        <f>D227</f>
        <v>20900</v>
      </c>
      <c r="G227" s="218"/>
      <c r="H227" s="218"/>
      <c r="I227" s="218"/>
      <c r="J227" s="74">
        <f>4180</f>
        <v>4180</v>
      </c>
      <c r="K227" s="75">
        <f>4180</f>
        <v>4180</v>
      </c>
      <c r="L227" s="77"/>
      <c r="M227" s="77">
        <v>4180</v>
      </c>
      <c r="N227" s="77"/>
      <c r="O227" s="77"/>
      <c r="P227" s="77"/>
      <c r="Q227" s="77"/>
      <c r="R227" s="77"/>
      <c r="S227" s="78">
        <f t="shared" si="75"/>
        <v>12540</v>
      </c>
      <c r="Y227" s="79">
        <f t="shared" si="76"/>
        <v>8360</v>
      </c>
      <c r="Z227" s="105">
        <f>20900-S227</f>
        <v>8360</v>
      </c>
      <c r="AB227" s="79">
        <f t="shared" si="77"/>
        <v>0</v>
      </c>
      <c r="AC227" s="81"/>
      <c r="AD227" s="105"/>
    </row>
    <row r="228" spans="2:30" ht="11.25" customHeight="1">
      <c r="B228" s="374">
        <v>4</v>
      </c>
      <c r="C228" s="388" t="s">
        <v>192</v>
      </c>
      <c r="D228" s="84">
        <f>1000-638</f>
        <v>362</v>
      </c>
      <c r="E228" s="122">
        <v>2231</v>
      </c>
      <c r="F228" s="367">
        <f>SUM(D228:D233)</f>
        <v>8056</v>
      </c>
      <c r="G228" s="215"/>
      <c r="H228" s="216"/>
      <c r="I228" s="216">
        <v>241.2</v>
      </c>
      <c r="J228" s="87">
        <f>120</f>
        <v>120</v>
      </c>
      <c r="K228" s="174"/>
      <c r="L228" s="87"/>
      <c r="M228" s="70"/>
      <c r="N228" s="70"/>
      <c r="O228" s="70"/>
      <c r="P228" s="70"/>
      <c r="Q228" s="70"/>
      <c r="R228" s="70"/>
      <c r="S228" s="90">
        <f t="shared" si="75"/>
        <v>361.2</v>
      </c>
      <c r="Y228" s="91">
        <f t="shared" si="76"/>
        <v>0.8000000000000114</v>
      </c>
      <c r="Z228" s="110"/>
      <c r="AB228" s="231">
        <f t="shared" si="77"/>
        <v>0.8000000000000114</v>
      </c>
      <c r="AD228" s="110"/>
    </row>
    <row r="229" spans="2:30" ht="12">
      <c r="B229" s="374"/>
      <c r="C229" s="388"/>
      <c r="D229" s="84">
        <f>638</f>
        <v>638</v>
      </c>
      <c r="E229" s="122">
        <v>2363</v>
      </c>
      <c r="F229" s="367"/>
      <c r="G229" s="215"/>
      <c r="H229" s="216"/>
      <c r="I229" s="216"/>
      <c r="J229" s="87"/>
      <c r="K229" s="174"/>
      <c r="L229" s="173">
        <v>102.1</v>
      </c>
      <c r="M229" s="70"/>
      <c r="N229" s="70"/>
      <c r="O229" s="70"/>
      <c r="P229" s="70"/>
      <c r="Q229" s="70"/>
      <c r="R229" s="70"/>
      <c r="S229" s="55">
        <f t="shared" si="75"/>
        <v>102.1</v>
      </c>
      <c r="Y229" s="62">
        <f>D229-S229</f>
        <v>535.9</v>
      </c>
      <c r="Z229" s="58"/>
      <c r="AB229" s="62">
        <f>D229-S229-Z229</f>
        <v>535.9</v>
      </c>
      <c r="AD229" s="58">
        <v>-536</v>
      </c>
    </row>
    <row r="230" spans="2:30" ht="12">
      <c r="B230" s="379"/>
      <c r="C230" s="389"/>
      <c r="D230" s="61">
        <f>2500-500</f>
        <v>2000</v>
      </c>
      <c r="E230" s="124">
        <v>2261</v>
      </c>
      <c r="F230" s="365"/>
      <c r="G230" s="190"/>
      <c r="H230" s="191"/>
      <c r="I230" s="191"/>
      <c r="J230" s="191">
        <f>117.01+40</f>
        <v>157.01</v>
      </c>
      <c r="K230" s="52"/>
      <c r="L230" s="54"/>
      <c r="M230" s="54">
        <f>100</f>
        <v>100</v>
      </c>
      <c r="N230" s="54"/>
      <c r="O230" s="54"/>
      <c r="P230" s="54"/>
      <c r="Q230" s="54"/>
      <c r="R230" s="54"/>
      <c r="S230" s="55">
        <f t="shared" si="75"/>
        <v>257.01</v>
      </c>
      <c r="Y230" s="62">
        <f t="shared" si="76"/>
        <v>1742.99</v>
      </c>
      <c r="Z230" s="58"/>
      <c r="AB230" s="62">
        <f t="shared" si="77"/>
        <v>1742.99</v>
      </c>
      <c r="AD230" s="58">
        <v>-1743</v>
      </c>
    </row>
    <row r="231" spans="2:30" ht="12">
      <c r="B231" s="379"/>
      <c r="C231" s="389"/>
      <c r="D231" s="61">
        <v>2000</v>
      </c>
      <c r="E231" s="124">
        <v>2262</v>
      </c>
      <c r="F231" s="365"/>
      <c r="G231" s="190"/>
      <c r="H231" s="191">
        <f>20</f>
        <v>20</v>
      </c>
      <c r="I231" s="191">
        <f>119.79+295</f>
        <v>414.79</v>
      </c>
      <c r="J231" s="222">
        <f>442.5+20+295</f>
        <v>757.5</v>
      </c>
      <c r="K231" s="69">
        <f>144.9+35</f>
        <v>179.9</v>
      </c>
      <c r="L231" s="54"/>
      <c r="M231" s="54"/>
      <c r="N231" s="54"/>
      <c r="O231" s="54"/>
      <c r="P231" s="54"/>
      <c r="Q231" s="54"/>
      <c r="R231" s="54"/>
      <c r="S231" s="55">
        <f t="shared" si="75"/>
        <v>1372.19</v>
      </c>
      <c r="Y231" s="62">
        <f t="shared" si="76"/>
        <v>627.81</v>
      </c>
      <c r="Z231" s="58"/>
      <c r="AB231" s="62">
        <f t="shared" si="77"/>
        <v>627.81</v>
      </c>
      <c r="AD231" s="58">
        <v>-628</v>
      </c>
    </row>
    <row r="232" spans="2:30" ht="12">
      <c r="B232" s="379"/>
      <c r="C232" s="389"/>
      <c r="D232" s="61">
        <f>1756+500</f>
        <v>2256</v>
      </c>
      <c r="E232" s="124">
        <v>2279</v>
      </c>
      <c r="F232" s="365"/>
      <c r="G232" s="190"/>
      <c r="H232" s="191">
        <f>140+450</f>
        <v>590</v>
      </c>
      <c r="I232" s="191">
        <f>84+300+72</f>
        <v>456</v>
      </c>
      <c r="J232" s="191">
        <f>180+60+36+136+84+126</f>
        <v>622</v>
      </c>
      <c r="K232" s="52">
        <f>80+30</f>
        <v>110</v>
      </c>
      <c r="L232" s="54"/>
      <c r="M232" s="64">
        <f>456+253.57</f>
        <v>709.5699999999999</v>
      </c>
      <c r="N232" s="54"/>
      <c r="O232" s="54"/>
      <c r="P232" s="54"/>
      <c r="Q232" s="54"/>
      <c r="R232" s="54"/>
      <c r="S232" s="55">
        <f t="shared" si="75"/>
        <v>2487.5699999999997</v>
      </c>
      <c r="Y232" s="171">
        <f t="shared" si="76"/>
        <v>-231.5699999999997</v>
      </c>
      <c r="Z232" s="58"/>
      <c r="AB232" s="114">
        <f t="shared" si="77"/>
        <v>-231.5699999999997</v>
      </c>
      <c r="AD232" s="58">
        <v>232</v>
      </c>
    </row>
    <row r="233" spans="2:31" ht="12.75" thickBot="1">
      <c r="B233" s="387"/>
      <c r="C233" s="390"/>
      <c r="D233" s="236">
        <f>1000-200</f>
        <v>800</v>
      </c>
      <c r="E233" s="136">
        <v>2390</v>
      </c>
      <c r="F233" s="406"/>
      <c r="G233" s="237"/>
      <c r="H233" s="238"/>
      <c r="I233" s="238"/>
      <c r="J233" s="218"/>
      <c r="K233" s="137"/>
      <c r="L233" s="239"/>
      <c r="M233" s="139"/>
      <c r="N233" s="139"/>
      <c r="O233" s="139"/>
      <c r="P233" s="139"/>
      <c r="Q233" s="139"/>
      <c r="R233" s="139"/>
      <c r="S233" s="140">
        <f t="shared" si="75"/>
        <v>0</v>
      </c>
      <c r="Y233" s="65">
        <f t="shared" si="76"/>
        <v>800</v>
      </c>
      <c r="Z233" s="142"/>
      <c r="AB233" s="141">
        <f t="shared" si="77"/>
        <v>800</v>
      </c>
      <c r="AC233" s="36"/>
      <c r="AD233" s="142">
        <v>-800</v>
      </c>
      <c r="AE233" s="240"/>
    </row>
    <row r="234" spans="1:31" ht="36.75" thickBot="1">
      <c r="A234" s="241"/>
      <c r="B234" s="184">
        <v>5</v>
      </c>
      <c r="C234" s="242" t="s">
        <v>193</v>
      </c>
      <c r="D234" s="243">
        <v>20000</v>
      </c>
      <c r="E234" s="244">
        <v>2279</v>
      </c>
      <c r="F234" s="245">
        <f>D234</f>
        <v>20000</v>
      </c>
      <c r="G234" s="245"/>
      <c r="H234" s="246"/>
      <c r="I234" s="246"/>
      <c r="J234" s="216">
        <v>16000</v>
      </c>
      <c r="K234" s="150"/>
      <c r="L234" s="152"/>
      <c r="M234" s="152">
        <v>4000</v>
      </c>
      <c r="N234" s="152"/>
      <c r="O234" s="152"/>
      <c r="P234" s="152"/>
      <c r="Q234" s="152"/>
      <c r="R234" s="152"/>
      <c r="S234" s="153">
        <f t="shared" si="75"/>
        <v>20000</v>
      </c>
      <c r="T234" s="163"/>
      <c r="U234" s="163"/>
      <c r="V234" s="163"/>
      <c r="W234" s="163"/>
      <c r="X234" s="163"/>
      <c r="Y234" s="157">
        <f t="shared" si="76"/>
        <v>0</v>
      </c>
      <c r="Z234" s="247">
        <f>20000-S234</f>
        <v>0</v>
      </c>
      <c r="AA234" s="248"/>
      <c r="AB234" s="154">
        <f t="shared" si="77"/>
        <v>0</v>
      </c>
      <c r="AC234" s="163"/>
      <c r="AD234" s="247"/>
      <c r="AE234" s="240"/>
    </row>
    <row r="235" spans="2:30" ht="22.5" customHeight="1" hidden="1">
      <c r="B235" s="97">
        <v>6</v>
      </c>
      <c r="C235" s="197" t="s">
        <v>194</v>
      </c>
      <c r="D235" s="175">
        <v>0</v>
      </c>
      <c r="E235" s="124">
        <v>2279</v>
      </c>
      <c r="F235" s="190">
        <v>0</v>
      </c>
      <c r="G235" s="190"/>
      <c r="H235" s="191"/>
      <c r="I235" s="191"/>
      <c r="J235" s="191"/>
      <c r="K235" s="52"/>
      <c r="L235" s="54"/>
      <c r="M235" s="54"/>
      <c r="N235" s="54"/>
      <c r="O235" s="54"/>
      <c r="P235" s="54"/>
      <c r="Q235" s="54"/>
      <c r="R235" s="54"/>
      <c r="S235" s="55">
        <f t="shared" si="75"/>
        <v>0</v>
      </c>
      <c r="Y235" s="171">
        <f t="shared" si="76"/>
        <v>0</v>
      </c>
      <c r="Z235" s="58"/>
      <c r="AB235" s="62">
        <f t="shared" si="77"/>
        <v>0</v>
      </c>
      <c r="AD235" s="58"/>
    </row>
    <row r="236" spans="2:30" ht="12.75" customHeight="1" hidden="1">
      <c r="B236" s="379">
        <v>7</v>
      </c>
      <c r="C236" s="377" t="s">
        <v>195</v>
      </c>
      <c r="D236" s="175">
        <v>0</v>
      </c>
      <c r="E236" s="124">
        <v>2279</v>
      </c>
      <c r="F236" s="365">
        <v>0</v>
      </c>
      <c r="G236" s="190"/>
      <c r="H236" s="191"/>
      <c r="I236" s="191"/>
      <c r="J236" s="191"/>
      <c r="K236" s="52"/>
      <c r="L236" s="54"/>
      <c r="M236" s="54"/>
      <c r="N236" s="54"/>
      <c r="O236" s="54"/>
      <c r="P236" s="54"/>
      <c r="Q236" s="54"/>
      <c r="R236" s="54"/>
      <c r="S236" s="55">
        <f t="shared" si="75"/>
        <v>0</v>
      </c>
      <c r="Y236" s="171">
        <f t="shared" si="76"/>
        <v>0</v>
      </c>
      <c r="Z236" s="58"/>
      <c r="AB236" s="62">
        <f t="shared" si="77"/>
        <v>0</v>
      </c>
      <c r="AD236" s="58"/>
    </row>
    <row r="237" spans="2:30" ht="12.75" customHeight="1" hidden="1">
      <c r="B237" s="379"/>
      <c r="C237" s="377"/>
      <c r="D237" s="175">
        <v>0</v>
      </c>
      <c r="E237" s="124">
        <v>2261</v>
      </c>
      <c r="F237" s="365"/>
      <c r="G237" s="190"/>
      <c r="H237" s="191"/>
      <c r="I237" s="191"/>
      <c r="J237" s="238"/>
      <c r="K237" s="52"/>
      <c r="L237" s="54"/>
      <c r="M237" s="54"/>
      <c r="N237" s="54"/>
      <c r="O237" s="54"/>
      <c r="P237" s="54"/>
      <c r="Q237" s="54"/>
      <c r="R237" s="54"/>
      <c r="S237" s="55">
        <f t="shared" si="75"/>
        <v>0</v>
      </c>
      <c r="Y237" s="171">
        <f t="shared" si="76"/>
        <v>0</v>
      </c>
      <c r="Z237" s="58"/>
      <c r="AB237" s="62">
        <f t="shared" si="77"/>
        <v>0</v>
      </c>
      <c r="AD237" s="58"/>
    </row>
    <row r="238" spans="2:30" ht="12">
      <c r="B238" s="97">
        <v>8</v>
      </c>
      <c r="C238" s="197" t="s">
        <v>196</v>
      </c>
      <c r="D238" s="175">
        <f>950-11</f>
        <v>939</v>
      </c>
      <c r="E238" s="124">
        <v>2279</v>
      </c>
      <c r="F238" s="190">
        <f>D238</f>
        <v>939</v>
      </c>
      <c r="G238" s="190"/>
      <c r="H238" s="191"/>
      <c r="I238" s="191">
        <f>439.05</f>
        <v>439.05</v>
      </c>
      <c r="J238" s="249"/>
      <c r="K238" s="52"/>
      <c r="L238" s="64">
        <f>231.92</f>
        <v>231.92</v>
      </c>
      <c r="M238" s="54"/>
      <c r="N238" s="54"/>
      <c r="O238" s="54"/>
      <c r="P238" s="54"/>
      <c r="Q238" s="54"/>
      <c r="R238" s="54"/>
      <c r="S238" s="55">
        <f t="shared" si="75"/>
        <v>670.97</v>
      </c>
      <c r="Y238" s="171">
        <f t="shared" si="76"/>
        <v>268.03</v>
      </c>
      <c r="Z238" s="58"/>
      <c r="AB238" s="62">
        <f t="shared" si="77"/>
        <v>268.03</v>
      </c>
      <c r="AD238" s="58">
        <v>-268</v>
      </c>
    </row>
    <row r="239" spans="2:31" ht="12">
      <c r="B239" s="97">
        <v>9</v>
      </c>
      <c r="C239" s="197" t="s">
        <v>197</v>
      </c>
      <c r="D239" s="175">
        <v>16150</v>
      </c>
      <c r="E239" s="124">
        <v>2279</v>
      </c>
      <c r="F239" s="190">
        <f>D239</f>
        <v>16150</v>
      </c>
      <c r="G239" s="190"/>
      <c r="H239" s="191"/>
      <c r="I239" s="191">
        <v>3230</v>
      </c>
      <c r="J239" s="191">
        <f>3230</f>
        <v>3230</v>
      </c>
      <c r="K239" s="52"/>
      <c r="L239" s="54"/>
      <c r="M239" s="54">
        <v>3230</v>
      </c>
      <c r="N239" s="54"/>
      <c r="O239" s="54"/>
      <c r="P239" s="54"/>
      <c r="Q239" s="54"/>
      <c r="R239" s="54"/>
      <c r="S239" s="55">
        <f t="shared" si="75"/>
        <v>9690</v>
      </c>
      <c r="Y239" s="171">
        <f t="shared" si="76"/>
        <v>6460</v>
      </c>
      <c r="Z239" s="58">
        <f>16150-S239</f>
        <v>6460</v>
      </c>
      <c r="AB239" s="62">
        <f t="shared" si="77"/>
        <v>0</v>
      </c>
      <c r="AD239" s="58"/>
      <c r="AE239" s="234"/>
    </row>
    <row r="240" spans="2:30" ht="12.75" customHeight="1">
      <c r="B240" s="97">
        <v>10</v>
      </c>
      <c r="C240" s="197" t="s">
        <v>198</v>
      </c>
      <c r="D240" s="175">
        <v>12730</v>
      </c>
      <c r="E240" s="124">
        <v>2279</v>
      </c>
      <c r="F240" s="190">
        <f>D240</f>
        <v>12730</v>
      </c>
      <c r="G240" s="190"/>
      <c r="H240" s="191"/>
      <c r="I240" s="191"/>
      <c r="J240" s="191">
        <f>2546</f>
        <v>2546</v>
      </c>
      <c r="K240" s="52"/>
      <c r="L240" s="54">
        <f>2546</f>
        <v>2546</v>
      </c>
      <c r="M240" s="54">
        <v>2546</v>
      </c>
      <c r="N240" s="54"/>
      <c r="O240" s="54"/>
      <c r="P240" s="54"/>
      <c r="Q240" s="54"/>
      <c r="R240" s="54"/>
      <c r="S240" s="55">
        <f t="shared" si="75"/>
        <v>7638</v>
      </c>
      <c r="Y240" s="171">
        <f t="shared" si="76"/>
        <v>5092</v>
      </c>
      <c r="Z240" s="58">
        <f>12730-S240</f>
        <v>5092</v>
      </c>
      <c r="AB240" s="62">
        <f t="shared" si="77"/>
        <v>0</v>
      </c>
      <c r="AD240" s="129"/>
    </row>
    <row r="241" spans="2:30" ht="24.75" thickBot="1">
      <c r="B241" s="97">
        <v>11</v>
      </c>
      <c r="C241" s="197" t="s">
        <v>199</v>
      </c>
      <c r="D241" s="175">
        <f>1330-160</f>
        <v>1170</v>
      </c>
      <c r="E241" s="124">
        <v>2279</v>
      </c>
      <c r="F241" s="190">
        <f>D241</f>
        <v>1170</v>
      </c>
      <c r="G241" s="190"/>
      <c r="H241" s="191">
        <f>70</f>
        <v>70</v>
      </c>
      <c r="I241" s="191"/>
      <c r="J241" s="191"/>
      <c r="K241" s="52"/>
      <c r="L241" s="54"/>
      <c r="M241" s="54"/>
      <c r="N241" s="54"/>
      <c r="O241" s="54"/>
      <c r="P241" s="54"/>
      <c r="Q241" s="54"/>
      <c r="R241" s="54"/>
      <c r="S241" s="55">
        <f t="shared" si="75"/>
        <v>70</v>
      </c>
      <c r="Y241" s="171">
        <f t="shared" si="76"/>
        <v>1100</v>
      </c>
      <c r="Z241" s="58"/>
      <c r="AB241" s="62">
        <f t="shared" si="77"/>
        <v>1100</v>
      </c>
      <c r="AD241" s="58">
        <v>-1100</v>
      </c>
    </row>
    <row r="242" spans="2:30" ht="13.5" customHeight="1" hidden="1" thickBot="1">
      <c r="B242" s="97">
        <v>12</v>
      </c>
      <c r="C242" s="197" t="s">
        <v>200</v>
      </c>
      <c r="D242" s="175"/>
      <c r="E242" s="136"/>
      <c r="F242" s="237"/>
      <c r="G242" s="190"/>
      <c r="H242" s="191"/>
      <c r="I242" s="238"/>
      <c r="J242" s="238"/>
      <c r="K242" s="137"/>
      <c r="L242" s="139"/>
      <c r="M242" s="139"/>
      <c r="N242" s="139"/>
      <c r="O242" s="139"/>
      <c r="P242" s="139"/>
      <c r="Q242" s="139"/>
      <c r="R242" s="139"/>
      <c r="S242" s="140">
        <f t="shared" si="75"/>
        <v>0</v>
      </c>
      <c r="Y242" s="65">
        <f t="shared" si="76"/>
        <v>0</v>
      </c>
      <c r="Z242" s="142"/>
      <c r="AB242" s="62">
        <f t="shared" si="77"/>
        <v>0</v>
      </c>
      <c r="AD242" s="142"/>
    </row>
    <row r="243" spans="2:31" ht="12">
      <c r="B243" s="383">
        <v>13</v>
      </c>
      <c r="C243" s="356" t="s">
        <v>201</v>
      </c>
      <c r="D243" s="363">
        <v>2000</v>
      </c>
      <c r="E243" s="394">
        <v>2279</v>
      </c>
      <c r="F243" s="361">
        <f>D243+D245</f>
        <v>5700</v>
      </c>
      <c r="G243" s="250"/>
      <c r="H243" s="251"/>
      <c r="I243" s="251"/>
      <c r="J243" s="249"/>
      <c r="K243" s="253">
        <f>400</f>
        <v>400</v>
      </c>
      <c r="L243" s="254"/>
      <c r="M243" s="255">
        <f>533.33+533.33</f>
        <v>1066.66</v>
      </c>
      <c r="N243" s="254"/>
      <c r="O243" s="254"/>
      <c r="P243" s="254"/>
      <c r="Q243" s="254"/>
      <c r="R243" s="254"/>
      <c r="S243" s="256">
        <f t="shared" si="75"/>
        <v>1466.66</v>
      </c>
      <c r="T243" s="36"/>
      <c r="U243" s="36"/>
      <c r="V243" s="36"/>
      <c r="W243" s="36"/>
      <c r="X243" s="36"/>
      <c r="Y243" s="335">
        <f>D243-S243-S244</f>
        <v>533.3399999999999</v>
      </c>
      <c r="Z243" s="257">
        <f>2000-S243</f>
        <v>533.3399999999999</v>
      </c>
      <c r="AA243" s="258"/>
      <c r="AB243" s="335">
        <f>D243-S243-S244-Z243-Z244</f>
        <v>0</v>
      </c>
      <c r="AC243" s="259"/>
      <c r="AD243" s="257"/>
      <c r="AE243" s="39" t="s">
        <v>16</v>
      </c>
    </row>
    <row r="244" spans="2:30" ht="12.75" customHeight="1" hidden="1">
      <c r="B244" s="384"/>
      <c r="C244" s="391"/>
      <c r="D244" s="364"/>
      <c r="E244" s="395"/>
      <c r="F244" s="362"/>
      <c r="G244" s="158"/>
      <c r="H244" s="159"/>
      <c r="I244" s="159"/>
      <c r="J244" s="191"/>
      <c r="K244" s="261"/>
      <c r="L244" s="262"/>
      <c r="M244" s="262"/>
      <c r="N244" s="262"/>
      <c r="O244" s="262"/>
      <c r="P244" s="262"/>
      <c r="Q244" s="262"/>
      <c r="R244" s="262"/>
      <c r="S244" s="55">
        <f t="shared" si="75"/>
        <v>0</v>
      </c>
      <c r="T244" s="54"/>
      <c r="U244" s="54"/>
      <c r="V244" s="54"/>
      <c r="W244" s="54"/>
      <c r="X244" s="54"/>
      <c r="Y244" s="336"/>
      <c r="Z244" s="58"/>
      <c r="AA244" s="57"/>
      <c r="AB244" s="336"/>
      <c r="AC244" s="36"/>
      <c r="AD244" s="58"/>
    </row>
    <row r="245" spans="2:30" ht="12">
      <c r="B245" s="384"/>
      <c r="C245" s="391"/>
      <c r="D245" s="396">
        <v>3700</v>
      </c>
      <c r="E245" s="398">
        <v>2279</v>
      </c>
      <c r="F245" s="362"/>
      <c r="G245" s="99">
        <v>500</v>
      </c>
      <c r="H245" s="100"/>
      <c r="I245" s="100"/>
      <c r="J245" s="191"/>
      <c r="K245" s="52"/>
      <c r="L245" s="54"/>
      <c r="M245" s="54"/>
      <c r="N245" s="54"/>
      <c r="O245" s="54"/>
      <c r="P245" s="54"/>
      <c r="Q245" s="54"/>
      <c r="R245" s="54"/>
      <c r="S245" s="55">
        <f t="shared" si="75"/>
        <v>500</v>
      </c>
      <c r="T245" s="54"/>
      <c r="U245" s="54"/>
      <c r="V245" s="54"/>
      <c r="W245" s="54"/>
      <c r="X245" s="54"/>
      <c r="Y245" s="372">
        <f>D245-SUM(S245:S247)</f>
        <v>1490</v>
      </c>
      <c r="Z245" s="58"/>
      <c r="AA245" s="57"/>
      <c r="AB245" s="373">
        <f>D245-SUM(S245:S247)-SUM(Z245:Z247)</f>
        <v>350</v>
      </c>
      <c r="AC245" s="36"/>
      <c r="AD245" s="58">
        <v>-350</v>
      </c>
    </row>
    <row r="246" spans="2:30" ht="12.75" thickBot="1">
      <c r="B246" s="384"/>
      <c r="C246" s="391"/>
      <c r="D246" s="397"/>
      <c r="E246" s="399"/>
      <c r="F246" s="362"/>
      <c r="G246" s="134"/>
      <c r="H246" s="135"/>
      <c r="I246" s="135"/>
      <c r="J246" s="238">
        <v>570</v>
      </c>
      <c r="K246" s="137">
        <v>570</v>
      </c>
      <c r="L246" s="139"/>
      <c r="M246" s="139">
        <v>570</v>
      </c>
      <c r="N246" s="139"/>
      <c r="O246" s="139"/>
      <c r="P246" s="139"/>
      <c r="Q246" s="139"/>
      <c r="R246" s="139"/>
      <c r="S246" s="55">
        <f t="shared" si="75"/>
        <v>1710</v>
      </c>
      <c r="T246" s="139"/>
      <c r="U246" s="139"/>
      <c r="V246" s="139"/>
      <c r="W246" s="139"/>
      <c r="X246" s="139"/>
      <c r="Y246" s="373"/>
      <c r="Z246" s="142">
        <f>2850-S246</f>
        <v>1140</v>
      </c>
      <c r="AA246" s="263"/>
      <c r="AB246" s="334"/>
      <c r="AC246" s="36"/>
      <c r="AD246" s="142"/>
    </row>
    <row r="247" spans="2:30" ht="13.5" customHeight="1" hidden="1" thickBot="1">
      <c r="B247" s="384"/>
      <c r="C247" s="391"/>
      <c r="D247" s="397"/>
      <c r="E247" s="399"/>
      <c r="F247" s="362"/>
      <c r="G247" s="134"/>
      <c r="H247" s="135"/>
      <c r="I247" s="135"/>
      <c r="J247" s="238"/>
      <c r="K247" s="137"/>
      <c r="L247" s="139"/>
      <c r="M247" s="139"/>
      <c r="N247" s="139"/>
      <c r="O247" s="139"/>
      <c r="P247" s="139"/>
      <c r="Q247" s="139"/>
      <c r="R247" s="139"/>
      <c r="S247" s="140">
        <f t="shared" si="75"/>
        <v>0</v>
      </c>
      <c r="T247" s="139"/>
      <c r="U247" s="139"/>
      <c r="V247" s="139"/>
      <c r="W247" s="139"/>
      <c r="X247" s="139"/>
      <c r="Y247" s="373"/>
      <c r="Z247" s="142"/>
      <c r="AA247" s="263"/>
      <c r="AB247" s="334"/>
      <c r="AC247" s="264"/>
      <c r="AD247" s="142"/>
    </row>
    <row r="248" spans="1:30" ht="24.75" thickBot="1">
      <c r="A248" s="241"/>
      <c r="B248" s="143">
        <v>14</v>
      </c>
      <c r="C248" s="144" t="s">
        <v>202</v>
      </c>
      <c r="D248" s="243">
        <f>7600-260</f>
        <v>7340</v>
      </c>
      <c r="E248" s="244">
        <v>2279</v>
      </c>
      <c r="F248" s="147">
        <f>D248</f>
        <v>7340</v>
      </c>
      <c r="G248" s="147"/>
      <c r="H248" s="148"/>
      <c r="I248" s="148"/>
      <c r="J248" s="246"/>
      <c r="K248" s="150"/>
      <c r="L248" s="152"/>
      <c r="M248" s="152"/>
      <c r="N248" s="152"/>
      <c r="O248" s="152"/>
      <c r="P248" s="152"/>
      <c r="Q248" s="152"/>
      <c r="R248" s="152"/>
      <c r="S248" s="153">
        <f t="shared" si="75"/>
        <v>0</v>
      </c>
      <c r="T248" s="163"/>
      <c r="U248" s="163"/>
      <c r="V248" s="163"/>
      <c r="W248" s="163"/>
      <c r="X248" s="163"/>
      <c r="Y248" s="157">
        <f>D248-S248</f>
        <v>7340</v>
      </c>
      <c r="Z248" s="155"/>
      <c r="AA248" s="248"/>
      <c r="AB248" s="154">
        <f>D248-S248-Z248</f>
        <v>7340</v>
      </c>
      <c r="AC248" s="163"/>
      <c r="AD248" s="155">
        <f>-500-6340</f>
        <v>-6840</v>
      </c>
    </row>
    <row r="249" spans="2:30" ht="34.5" hidden="1" thickBot="1">
      <c r="B249" s="260">
        <v>15</v>
      </c>
      <c r="C249" s="224" t="s">
        <v>203</v>
      </c>
      <c r="D249" s="265"/>
      <c r="E249" s="266"/>
      <c r="F249" s="158"/>
      <c r="G249" s="158"/>
      <c r="H249" s="159"/>
      <c r="I249" s="159"/>
      <c r="J249" s="216"/>
      <c r="K249" s="261"/>
      <c r="L249" s="262"/>
      <c r="M249" s="262"/>
      <c r="N249" s="262"/>
      <c r="O249" s="262"/>
      <c r="P249" s="262"/>
      <c r="Q249" s="262"/>
      <c r="R249" s="262"/>
      <c r="S249" s="267"/>
      <c r="Y249" s="162"/>
      <c r="Z249" s="160"/>
      <c r="AB249" s="268"/>
      <c r="AC249" s="36"/>
      <c r="AD249" s="160"/>
    </row>
    <row r="250" spans="2:31" ht="11.25" customHeight="1" hidden="1" thickBot="1">
      <c r="B250" s="269">
        <v>16</v>
      </c>
      <c r="C250" s="210" t="s">
        <v>204</v>
      </c>
      <c r="D250" s="205">
        <v>0</v>
      </c>
      <c r="E250" s="179"/>
      <c r="F250" s="103">
        <v>0</v>
      </c>
      <c r="G250" s="103"/>
      <c r="H250" s="104"/>
      <c r="I250" s="104"/>
      <c r="J250" s="238"/>
      <c r="K250" s="75"/>
      <c r="L250" s="77"/>
      <c r="M250" s="77"/>
      <c r="N250" s="77"/>
      <c r="O250" s="77"/>
      <c r="P250" s="77"/>
      <c r="Q250" s="77"/>
      <c r="R250" s="77"/>
      <c r="S250" s="78">
        <f aca="true" t="shared" si="78" ref="S250:S283">SUM(G250:R250)</f>
        <v>0</v>
      </c>
      <c r="Y250" s="170">
        <f aca="true" t="shared" si="79" ref="Y250:Y283">D250-S250</f>
        <v>0</v>
      </c>
      <c r="Z250" s="105"/>
      <c r="AB250" s="79">
        <f aca="true" t="shared" si="80" ref="AB250:AB283">D250-S250-Z250</f>
        <v>0</v>
      </c>
      <c r="AC250" s="81"/>
      <c r="AD250" s="105"/>
      <c r="AE250" s="240"/>
    </row>
    <row r="251" spans="2:30" ht="12.75" thickBot="1">
      <c r="B251" s="184">
        <v>17</v>
      </c>
      <c r="C251" s="144" t="s">
        <v>205</v>
      </c>
      <c r="D251" s="243">
        <f>500-50</f>
        <v>450</v>
      </c>
      <c r="E251" s="244">
        <v>2279</v>
      </c>
      <c r="F251" s="147">
        <f>D251</f>
        <v>450</v>
      </c>
      <c r="G251" s="147"/>
      <c r="H251" s="148"/>
      <c r="I251" s="148"/>
      <c r="J251" s="246"/>
      <c r="K251" s="150"/>
      <c r="L251" s="152"/>
      <c r="M251" s="152"/>
      <c r="N251" s="152"/>
      <c r="O251" s="152"/>
      <c r="P251" s="152"/>
      <c r="Q251" s="152"/>
      <c r="R251" s="152"/>
      <c r="S251" s="153">
        <f t="shared" si="78"/>
        <v>0</v>
      </c>
      <c r="Y251" s="157">
        <f t="shared" si="79"/>
        <v>450</v>
      </c>
      <c r="Z251" s="155"/>
      <c r="AB251" s="154">
        <f t="shared" si="80"/>
        <v>450</v>
      </c>
      <c r="AC251" s="163"/>
      <c r="AD251" s="155"/>
    </row>
    <row r="252" spans="2:30" ht="12">
      <c r="B252" s="374">
        <v>18</v>
      </c>
      <c r="C252" s="376" t="s">
        <v>206</v>
      </c>
      <c r="D252" s="172">
        <v>1160</v>
      </c>
      <c r="E252" s="122">
        <v>2262</v>
      </c>
      <c r="F252" s="357">
        <f>SUM(D252:D254)</f>
        <v>2510</v>
      </c>
      <c r="G252" s="108"/>
      <c r="H252" s="109"/>
      <c r="I252" s="109"/>
      <c r="J252" s="249">
        <f>480+680</f>
        <v>1160</v>
      </c>
      <c r="K252" s="88"/>
      <c r="L252" s="70"/>
      <c r="M252" s="70"/>
      <c r="N252" s="70"/>
      <c r="O252" s="70"/>
      <c r="P252" s="70"/>
      <c r="Q252" s="70"/>
      <c r="R252" s="70"/>
      <c r="S252" s="90">
        <f t="shared" si="78"/>
        <v>1160</v>
      </c>
      <c r="Y252" s="68">
        <f t="shared" si="79"/>
        <v>0</v>
      </c>
      <c r="Z252" s="110"/>
      <c r="AB252" s="91">
        <f t="shared" si="80"/>
        <v>0</v>
      </c>
      <c r="AD252" s="110"/>
    </row>
    <row r="253" spans="2:30" ht="12.75" customHeight="1">
      <c r="B253" s="379"/>
      <c r="C253" s="377"/>
      <c r="D253" s="175">
        <f>500-50</f>
        <v>450</v>
      </c>
      <c r="E253" s="124">
        <v>2269</v>
      </c>
      <c r="F253" s="358"/>
      <c r="G253" s="99"/>
      <c r="H253" s="100"/>
      <c r="I253" s="100"/>
      <c r="J253" s="191">
        <f>300</f>
        <v>300</v>
      </c>
      <c r="K253" s="52"/>
      <c r="L253" s="54">
        <v>200</v>
      </c>
      <c r="M253" s="54"/>
      <c r="N253" s="54"/>
      <c r="O253" s="54"/>
      <c r="P253" s="54"/>
      <c r="Q253" s="54"/>
      <c r="R253" s="54"/>
      <c r="S253" s="55">
        <f t="shared" si="78"/>
        <v>500</v>
      </c>
      <c r="Y253" s="171">
        <f t="shared" si="79"/>
        <v>-50</v>
      </c>
      <c r="Z253" s="58"/>
      <c r="AB253" s="62">
        <f t="shared" si="80"/>
        <v>-50</v>
      </c>
      <c r="AD253" s="58">
        <v>50</v>
      </c>
    </row>
    <row r="254" spans="2:30" ht="13.5" customHeight="1" thickBot="1">
      <c r="B254" s="375"/>
      <c r="C254" s="378"/>
      <c r="D254" s="205">
        <f>1000-100</f>
        <v>900</v>
      </c>
      <c r="E254" s="179">
        <v>2279</v>
      </c>
      <c r="F254" s="359"/>
      <c r="G254" s="103"/>
      <c r="H254" s="104"/>
      <c r="I254" s="104"/>
      <c r="J254" s="238">
        <f>500</f>
        <v>500</v>
      </c>
      <c r="K254" s="75"/>
      <c r="L254" s="77">
        <v>500</v>
      </c>
      <c r="M254" s="77"/>
      <c r="N254" s="77"/>
      <c r="O254" s="77"/>
      <c r="P254" s="77"/>
      <c r="Q254" s="77"/>
      <c r="R254" s="77"/>
      <c r="S254" s="78">
        <f t="shared" si="78"/>
        <v>1000</v>
      </c>
      <c r="Y254" s="170">
        <f t="shared" si="79"/>
        <v>-100</v>
      </c>
      <c r="Z254" s="105"/>
      <c r="AB254" s="79">
        <f t="shared" si="80"/>
        <v>-100</v>
      </c>
      <c r="AC254" s="81"/>
      <c r="AD254" s="105">
        <v>100</v>
      </c>
    </row>
    <row r="255" spans="2:30" ht="12">
      <c r="B255" s="374">
        <v>19</v>
      </c>
      <c r="C255" s="376" t="s">
        <v>207</v>
      </c>
      <c r="D255" s="172">
        <f>500-100</f>
        <v>400</v>
      </c>
      <c r="E255" s="122">
        <v>2279</v>
      </c>
      <c r="F255" s="357">
        <f>D255+D256</f>
        <v>900</v>
      </c>
      <c r="G255" s="108"/>
      <c r="H255" s="109"/>
      <c r="I255" s="109"/>
      <c r="J255" s="249"/>
      <c r="K255" s="88"/>
      <c r="L255" s="70"/>
      <c r="M255" s="70">
        <v>400</v>
      </c>
      <c r="N255" s="70"/>
      <c r="O255" s="70"/>
      <c r="P255" s="70"/>
      <c r="Q255" s="70"/>
      <c r="R255" s="70"/>
      <c r="S255" s="90">
        <f t="shared" si="78"/>
        <v>400</v>
      </c>
      <c r="Y255" s="68">
        <f t="shared" si="79"/>
        <v>0</v>
      </c>
      <c r="Z255" s="110">
        <f>400-S255</f>
        <v>0</v>
      </c>
      <c r="AB255" s="91">
        <f t="shared" si="80"/>
        <v>0</v>
      </c>
      <c r="AD255" s="110"/>
    </row>
    <row r="256" spans="2:30" ht="13.5" customHeight="1" thickBot="1">
      <c r="B256" s="375"/>
      <c r="C256" s="378"/>
      <c r="D256" s="205">
        <v>500</v>
      </c>
      <c r="E256" s="205">
        <v>2262</v>
      </c>
      <c r="F256" s="359"/>
      <c r="G256" s="103"/>
      <c r="H256" s="104"/>
      <c r="I256" s="104"/>
      <c r="J256" s="218"/>
      <c r="K256" s="75"/>
      <c r="L256" s="77"/>
      <c r="M256" s="77">
        <v>100</v>
      </c>
      <c r="N256" s="77"/>
      <c r="O256" s="77"/>
      <c r="P256" s="77"/>
      <c r="Q256" s="77"/>
      <c r="R256" s="77"/>
      <c r="S256" s="78">
        <f t="shared" si="78"/>
        <v>100</v>
      </c>
      <c r="Y256" s="170">
        <f t="shared" si="79"/>
        <v>400</v>
      </c>
      <c r="Z256" s="105">
        <f>100-S256</f>
        <v>0</v>
      </c>
      <c r="AB256" s="79">
        <f t="shared" si="80"/>
        <v>400</v>
      </c>
      <c r="AC256" s="81"/>
      <c r="AD256" s="105">
        <v>-400</v>
      </c>
    </row>
    <row r="257" spans="2:30" ht="24">
      <c r="B257" s="106">
        <v>20</v>
      </c>
      <c r="C257" s="196" t="s">
        <v>208</v>
      </c>
      <c r="D257" s="172">
        <f>800-80</f>
        <v>720</v>
      </c>
      <c r="E257" s="172">
        <v>2279</v>
      </c>
      <c r="F257" s="108">
        <f>D257</f>
        <v>720</v>
      </c>
      <c r="G257" s="108"/>
      <c r="H257" s="109"/>
      <c r="I257" s="109"/>
      <c r="J257" s="216"/>
      <c r="K257" s="88"/>
      <c r="L257" s="70"/>
      <c r="M257" s="70">
        <v>360</v>
      </c>
      <c r="N257" s="70"/>
      <c r="O257" s="70"/>
      <c r="P257" s="70"/>
      <c r="Q257" s="70"/>
      <c r="R257" s="70"/>
      <c r="S257" s="90">
        <f t="shared" si="78"/>
        <v>360</v>
      </c>
      <c r="Y257" s="68">
        <f t="shared" si="79"/>
        <v>360</v>
      </c>
      <c r="Z257" s="110"/>
      <c r="AB257" s="91">
        <f>D257-S257-Z257</f>
        <v>360</v>
      </c>
      <c r="AD257" s="110">
        <v>-360</v>
      </c>
    </row>
    <row r="258" spans="2:30" ht="11.25" hidden="1">
      <c r="B258" s="387">
        <v>21</v>
      </c>
      <c r="C258" s="393" t="s">
        <v>209</v>
      </c>
      <c r="D258" s="175">
        <f>2500-2500</f>
        <v>0</v>
      </c>
      <c r="E258" s="175">
        <v>2279</v>
      </c>
      <c r="F258" s="99">
        <f>D258</f>
        <v>0</v>
      </c>
      <c r="G258" s="99"/>
      <c r="H258" s="100"/>
      <c r="I258" s="100"/>
      <c r="J258" s="191"/>
      <c r="K258" s="52"/>
      <c r="L258" s="54"/>
      <c r="M258" s="54"/>
      <c r="N258" s="54"/>
      <c r="O258" s="54"/>
      <c r="P258" s="54"/>
      <c r="Q258" s="54"/>
      <c r="R258" s="54"/>
      <c r="S258" s="55">
        <f t="shared" si="78"/>
        <v>0</v>
      </c>
      <c r="Y258" s="171">
        <f t="shared" si="79"/>
        <v>0</v>
      </c>
      <c r="Z258" s="58"/>
      <c r="AB258" s="62">
        <f t="shared" si="80"/>
        <v>0</v>
      </c>
      <c r="AD258" s="58"/>
    </row>
    <row r="259" spans="2:30" ht="12">
      <c r="B259" s="374"/>
      <c r="C259" s="376"/>
      <c r="D259" s="175">
        <f>2500</f>
        <v>2500</v>
      </c>
      <c r="E259" s="175">
        <v>2261</v>
      </c>
      <c r="F259" s="99">
        <f>D259</f>
        <v>2500</v>
      </c>
      <c r="G259" s="99"/>
      <c r="H259" s="100"/>
      <c r="I259" s="100"/>
      <c r="J259" s="191">
        <f>200+200+200+1900</f>
        <v>2500</v>
      </c>
      <c r="K259" s="52"/>
      <c r="L259" s="54"/>
      <c r="M259" s="54"/>
      <c r="N259" s="54"/>
      <c r="O259" s="54"/>
      <c r="P259" s="54"/>
      <c r="Q259" s="54"/>
      <c r="R259" s="54"/>
      <c r="S259" s="55">
        <f t="shared" si="78"/>
        <v>2500</v>
      </c>
      <c r="Y259" s="171">
        <f t="shared" si="79"/>
        <v>0</v>
      </c>
      <c r="Z259" s="58"/>
      <c r="AB259" s="62">
        <f t="shared" si="80"/>
        <v>0</v>
      </c>
      <c r="AD259" s="58"/>
    </row>
    <row r="260" spans="2:30" ht="12">
      <c r="B260" s="97">
        <v>23</v>
      </c>
      <c r="C260" s="197" t="s">
        <v>210</v>
      </c>
      <c r="D260" s="175">
        <f>380-40</f>
        <v>340</v>
      </c>
      <c r="E260" s="124">
        <v>2279</v>
      </c>
      <c r="F260" s="99">
        <f>D260</f>
        <v>340</v>
      </c>
      <c r="G260" s="99">
        <v>70</v>
      </c>
      <c r="H260" s="100"/>
      <c r="I260" s="100">
        <f>28+5</f>
        <v>33</v>
      </c>
      <c r="J260" s="191"/>
      <c r="K260" s="52"/>
      <c r="L260" s="54"/>
      <c r="M260" s="54"/>
      <c r="N260" s="54"/>
      <c r="O260" s="54"/>
      <c r="P260" s="54"/>
      <c r="Q260" s="54"/>
      <c r="R260" s="54"/>
      <c r="S260" s="55">
        <f t="shared" si="78"/>
        <v>103</v>
      </c>
      <c r="Y260" s="171">
        <f t="shared" si="79"/>
        <v>237</v>
      </c>
      <c r="Z260" s="58"/>
      <c r="AB260" s="62">
        <f t="shared" si="80"/>
        <v>237</v>
      </c>
      <c r="AD260" s="58">
        <v>-237</v>
      </c>
    </row>
    <row r="261" spans="2:30" ht="12.75" customHeight="1" hidden="1">
      <c r="B261" s="97">
        <v>24</v>
      </c>
      <c r="C261" s="197" t="s">
        <v>211</v>
      </c>
      <c r="D261" s="175">
        <v>0</v>
      </c>
      <c r="E261" s="124"/>
      <c r="F261" s="99">
        <v>0</v>
      </c>
      <c r="G261" s="99"/>
      <c r="H261" s="100"/>
      <c r="I261" s="100"/>
      <c r="J261" s="191"/>
      <c r="K261" s="52"/>
      <c r="L261" s="54"/>
      <c r="M261" s="54"/>
      <c r="N261" s="54"/>
      <c r="O261" s="54"/>
      <c r="P261" s="54"/>
      <c r="Q261" s="54"/>
      <c r="R261" s="54"/>
      <c r="S261" s="55">
        <f t="shared" si="78"/>
        <v>0</v>
      </c>
      <c r="Y261" s="62">
        <f t="shared" si="79"/>
        <v>0</v>
      </c>
      <c r="Z261" s="58"/>
      <c r="AB261" s="62">
        <f t="shared" si="80"/>
        <v>0</v>
      </c>
      <c r="AD261" s="58"/>
    </row>
    <row r="262" spans="2:30" ht="12">
      <c r="B262" s="97">
        <v>25</v>
      </c>
      <c r="C262" s="197" t="s">
        <v>212</v>
      </c>
      <c r="D262" s="175">
        <v>175</v>
      </c>
      <c r="E262" s="124">
        <v>2279</v>
      </c>
      <c r="F262" s="99">
        <v>175</v>
      </c>
      <c r="G262" s="99"/>
      <c r="H262" s="100">
        <f>70+30</f>
        <v>100</v>
      </c>
      <c r="I262" s="100"/>
      <c r="J262" s="191"/>
      <c r="K262" s="69">
        <v>67.35</v>
      </c>
      <c r="L262" s="54"/>
      <c r="M262" s="54"/>
      <c r="N262" s="54"/>
      <c r="O262" s="54"/>
      <c r="P262" s="54"/>
      <c r="Q262" s="54"/>
      <c r="R262" s="54"/>
      <c r="S262" s="55">
        <f t="shared" si="78"/>
        <v>167.35</v>
      </c>
      <c r="Y262" s="62">
        <f t="shared" si="79"/>
        <v>7.650000000000006</v>
      </c>
      <c r="Z262" s="58"/>
      <c r="AB262" s="62">
        <f t="shared" si="80"/>
        <v>7.650000000000006</v>
      </c>
      <c r="AD262" s="58">
        <v>-8</v>
      </c>
    </row>
    <row r="263" spans="2:30" ht="12.75" customHeight="1" hidden="1">
      <c r="B263" s="202">
        <v>26</v>
      </c>
      <c r="C263" s="111" t="s">
        <v>213</v>
      </c>
      <c r="D263" s="175">
        <v>0</v>
      </c>
      <c r="E263" s="124"/>
      <c r="F263" s="99">
        <v>0</v>
      </c>
      <c r="G263" s="99"/>
      <c r="H263" s="100"/>
      <c r="I263" s="100"/>
      <c r="J263" s="191"/>
      <c r="K263" s="52"/>
      <c r="L263" s="54"/>
      <c r="M263" s="54"/>
      <c r="N263" s="54"/>
      <c r="O263" s="54"/>
      <c r="P263" s="54"/>
      <c r="Q263" s="54"/>
      <c r="R263" s="54"/>
      <c r="S263" s="55">
        <f t="shared" si="78"/>
        <v>0</v>
      </c>
      <c r="Y263" s="62">
        <f t="shared" si="79"/>
        <v>0</v>
      </c>
      <c r="Z263" s="58"/>
      <c r="AB263" s="62">
        <f t="shared" si="80"/>
        <v>0</v>
      </c>
      <c r="AD263" s="58"/>
    </row>
    <row r="264" spans="2:30" ht="12.75" customHeight="1" hidden="1">
      <c r="B264" s="202">
        <v>27</v>
      </c>
      <c r="C264" s="111" t="s">
        <v>214</v>
      </c>
      <c r="D264" s="175">
        <v>0</v>
      </c>
      <c r="E264" s="124"/>
      <c r="F264" s="99">
        <v>0</v>
      </c>
      <c r="G264" s="99"/>
      <c r="H264" s="100"/>
      <c r="I264" s="100"/>
      <c r="J264" s="191"/>
      <c r="K264" s="52"/>
      <c r="L264" s="54"/>
      <c r="M264" s="54"/>
      <c r="N264" s="54"/>
      <c r="O264" s="54"/>
      <c r="P264" s="54"/>
      <c r="Q264" s="54"/>
      <c r="R264" s="54"/>
      <c r="S264" s="55">
        <f t="shared" si="78"/>
        <v>0</v>
      </c>
      <c r="Y264" s="62">
        <f t="shared" si="79"/>
        <v>0</v>
      </c>
      <c r="Z264" s="58"/>
      <c r="AB264" s="62">
        <f t="shared" si="80"/>
        <v>0</v>
      </c>
      <c r="AD264" s="58"/>
    </row>
    <row r="265" spans="2:30" ht="12.75" customHeight="1" hidden="1">
      <c r="B265" s="202">
        <v>28</v>
      </c>
      <c r="C265" s="111" t="s">
        <v>215</v>
      </c>
      <c r="D265" s="175">
        <v>0</v>
      </c>
      <c r="E265" s="124"/>
      <c r="F265" s="99">
        <v>0</v>
      </c>
      <c r="G265" s="99"/>
      <c r="H265" s="100"/>
      <c r="I265" s="100"/>
      <c r="J265" s="191"/>
      <c r="K265" s="52"/>
      <c r="L265" s="54"/>
      <c r="M265" s="54"/>
      <c r="N265" s="54"/>
      <c r="O265" s="54"/>
      <c r="P265" s="54"/>
      <c r="Q265" s="54"/>
      <c r="R265" s="54"/>
      <c r="S265" s="55">
        <f t="shared" si="78"/>
        <v>0</v>
      </c>
      <c r="Y265" s="62">
        <f t="shared" si="79"/>
        <v>0</v>
      </c>
      <c r="Z265" s="58"/>
      <c r="AB265" s="62">
        <f t="shared" si="80"/>
        <v>0</v>
      </c>
      <c r="AD265" s="58"/>
    </row>
    <row r="266" spans="2:30" ht="24">
      <c r="B266" s="202">
        <v>29</v>
      </c>
      <c r="C266" s="111" t="s">
        <v>216</v>
      </c>
      <c r="D266" s="175">
        <v>2850</v>
      </c>
      <c r="E266" s="124">
        <v>2279</v>
      </c>
      <c r="F266" s="99">
        <f>D266</f>
        <v>2850</v>
      </c>
      <c r="G266" s="99"/>
      <c r="H266" s="100"/>
      <c r="I266" s="100">
        <f>570</f>
        <v>570</v>
      </c>
      <c r="J266" s="191">
        <v>570</v>
      </c>
      <c r="K266" s="52"/>
      <c r="L266" s="54"/>
      <c r="M266" s="54">
        <v>570</v>
      </c>
      <c r="N266" s="54"/>
      <c r="O266" s="54"/>
      <c r="P266" s="54"/>
      <c r="Q266" s="54"/>
      <c r="R266" s="54"/>
      <c r="S266" s="55">
        <f t="shared" si="78"/>
        <v>1710</v>
      </c>
      <c r="Y266" s="62">
        <f t="shared" si="79"/>
        <v>1140</v>
      </c>
      <c r="Z266" s="58">
        <f>2850-S266</f>
        <v>1140</v>
      </c>
      <c r="AB266" s="62">
        <f t="shared" si="80"/>
        <v>0</v>
      </c>
      <c r="AD266" s="58"/>
    </row>
    <row r="267" spans="2:30" ht="12">
      <c r="B267" s="379">
        <v>30</v>
      </c>
      <c r="C267" s="377" t="s">
        <v>217</v>
      </c>
      <c r="D267" s="175">
        <v>1065</v>
      </c>
      <c r="E267" s="124">
        <v>2262</v>
      </c>
      <c r="F267" s="358">
        <f>D267+D268</f>
        <v>2570</v>
      </c>
      <c r="G267" s="99"/>
      <c r="H267" s="100"/>
      <c r="I267" s="100"/>
      <c r="J267" s="191"/>
      <c r="K267" s="52"/>
      <c r="L267" s="54"/>
      <c r="M267" s="54"/>
      <c r="N267" s="54"/>
      <c r="O267" s="54"/>
      <c r="P267" s="54"/>
      <c r="Q267" s="54"/>
      <c r="R267" s="54"/>
      <c r="S267" s="55">
        <f t="shared" si="78"/>
        <v>0</v>
      </c>
      <c r="Y267" s="62">
        <f t="shared" si="79"/>
        <v>1065</v>
      </c>
      <c r="Z267" s="58"/>
      <c r="AB267" s="62">
        <f t="shared" si="80"/>
        <v>1065</v>
      </c>
      <c r="AD267" s="58">
        <v>-565</v>
      </c>
    </row>
    <row r="268" spans="2:30" ht="12.75" thickBot="1">
      <c r="B268" s="375"/>
      <c r="C268" s="378"/>
      <c r="D268" s="205">
        <v>1505</v>
      </c>
      <c r="E268" s="179">
        <v>2279</v>
      </c>
      <c r="F268" s="359"/>
      <c r="G268" s="103"/>
      <c r="H268" s="104"/>
      <c r="I268" s="104"/>
      <c r="J268" s="191"/>
      <c r="K268" s="75"/>
      <c r="L268" s="77"/>
      <c r="M268" s="77"/>
      <c r="N268" s="77"/>
      <c r="O268" s="77"/>
      <c r="P268" s="77"/>
      <c r="Q268" s="77"/>
      <c r="R268" s="77"/>
      <c r="S268" s="78">
        <f t="shared" si="78"/>
        <v>0</v>
      </c>
      <c r="Y268" s="79">
        <f t="shared" si="79"/>
        <v>1505</v>
      </c>
      <c r="Z268" s="105"/>
      <c r="AB268" s="79">
        <f t="shared" si="80"/>
        <v>1505</v>
      </c>
      <c r="AC268" s="81"/>
      <c r="AD268" s="105">
        <v>-965</v>
      </c>
    </row>
    <row r="269" spans="2:30" ht="22.5" customHeight="1" hidden="1">
      <c r="B269" s="106">
        <v>31</v>
      </c>
      <c r="C269" s="196" t="s">
        <v>218</v>
      </c>
      <c r="D269" s="172">
        <v>0</v>
      </c>
      <c r="E269" s="122"/>
      <c r="F269" s="108">
        <v>0</v>
      </c>
      <c r="G269" s="108"/>
      <c r="H269" s="109"/>
      <c r="I269" s="109"/>
      <c r="J269" s="238"/>
      <c r="K269" s="88"/>
      <c r="L269" s="70"/>
      <c r="M269" s="70"/>
      <c r="N269" s="70"/>
      <c r="O269" s="70"/>
      <c r="P269" s="70"/>
      <c r="Q269" s="70"/>
      <c r="R269" s="70"/>
      <c r="S269" s="90">
        <f t="shared" si="78"/>
        <v>0</v>
      </c>
      <c r="Y269" s="91">
        <f t="shared" si="79"/>
        <v>0</v>
      </c>
      <c r="Z269" s="110"/>
      <c r="AB269" s="91">
        <f t="shared" si="80"/>
        <v>0</v>
      </c>
      <c r="AD269" s="110"/>
    </row>
    <row r="270" spans="2:30" ht="12">
      <c r="B270" s="400">
        <v>32</v>
      </c>
      <c r="C270" s="377" t="s">
        <v>219</v>
      </c>
      <c r="D270" s="175">
        <v>50</v>
      </c>
      <c r="E270" s="175">
        <v>2279</v>
      </c>
      <c r="F270" s="365">
        <f>SUM(D270:D271)</f>
        <v>361</v>
      </c>
      <c r="G270" s="190"/>
      <c r="H270" s="191"/>
      <c r="I270" s="191"/>
      <c r="J270" s="249">
        <f>20</f>
        <v>20</v>
      </c>
      <c r="K270" s="52">
        <f>-20</f>
        <v>-20</v>
      </c>
      <c r="L270" s="54"/>
      <c r="M270" s="54"/>
      <c r="N270" s="54"/>
      <c r="O270" s="54"/>
      <c r="P270" s="54"/>
      <c r="Q270" s="54"/>
      <c r="R270" s="54"/>
      <c r="S270" s="55">
        <f t="shared" si="78"/>
        <v>0</v>
      </c>
      <c r="Y270" s="62">
        <f t="shared" si="79"/>
        <v>50</v>
      </c>
      <c r="Z270" s="58"/>
      <c r="AB270" s="62">
        <f t="shared" si="80"/>
        <v>50</v>
      </c>
      <c r="AD270" s="58">
        <v>-50</v>
      </c>
    </row>
    <row r="271" spans="2:30" ht="12.75" thickBot="1">
      <c r="B271" s="401"/>
      <c r="C271" s="378"/>
      <c r="D271" s="205">
        <f>300+11</f>
        <v>311</v>
      </c>
      <c r="E271" s="205">
        <v>2390</v>
      </c>
      <c r="F271" s="366"/>
      <c r="G271" s="217"/>
      <c r="H271" s="218">
        <v>310.26</v>
      </c>
      <c r="I271" s="218"/>
      <c r="J271" s="238"/>
      <c r="K271" s="75"/>
      <c r="L271" s="77"/>
      <c r="M271" s="77"/>
      <c r="N271" s="77"/>
      <c r="O271" s="77"/>
      <c r="P271" s="77"/>
      <c r="Q271" s="77"/>
      <c r="R271" s="77"/>
      <c r="S271" s="78">
        <f t="shared" si="78"/>
        <v>310.26</v>
      </c>
      <c r="Y271" s="79">
        <f t="shared" si="79"/>
        <v>0.7400000000000091</v>
      </c>
      <c r="Z271" s="105"/>
      <c r="AB271" s="79">
        <f t="shared" si="80"/>
        <v>0.7400000000000091</v>
      </c>
      <c r="AC271" s="81"/>
      <c r="AD271" s="105">
        <v>-1</v>
      </c>
    </row>
    <row r="272" spans="2:30" ht="12">
      <c r="B272" s="270">
        <v>33</v>
      </c>
      <c r="C272" s="196" t="s">
        <v>220</v>
      </c>
      <c r="D272" s="172">
        <v>270</v>
      </c>
      <c r="E272" s="172">
        <v>2279</v>
      </c>
      <c r="F272" s="215">
        <f>D272</f>
        <v>270</v>
      </c>
      <c r="G272" s="215"/>
      <c r="H272" s="216"/>
      <c r="I272" s="216"/>
      <c r="J272" s="249">
        <f>270</f>
        <v>270</v>
      </c>
      <c r="K272" s="88"/>
      <c r="L272" s="70"/>
      <c r="M272" s="70"/>
      <c r="N272" s="70"/>
      <c r="O272" s="70"/>
      <c r="P272" s="70"/>
      <c r="Q272" s="70"/>
      <c r="R272" s="70"/>
      <c r="S272" s="90">
        <f t="shared" si="78"/>
        <v>270</v>
      </c>
      <c r="Y272" s="91">
        <f t="shared" si="79"/>
        <v>0</v>
      </c>
      <c r="Z272" s="110"/>
      <c r="AB272" s="91">
        <f t="shared" si="80"/>
        <v>0</v>
      </c>
      <c r="AD272" s="110"/>
    </row>
    <row r="273" spans="2:30" ht="12.75" customHeight="1" hidden="1">
      <c r="B273" s="189">
        <v>34</v>
      </c>
      <c r="C273" s="209" t="s">
        <v>221</v>
      </c>
      <c r="D273" s="175">
        <v>0</v>
      </c>
      <c r="E273" s="175"/>
      <c r="F273" s="190">
        <v>0</v>
      </c>
      <c r="G273" s="190"/>
      <c r="H273" s="191"/>
      <c r="I273" s="191"/>
      <c r="J273" s="191"/>
      <c r="K273" s="52"/>
      <c r="L273" s="54"/>
      <c r="M273" s="54"/>
      <c r="N273" s="54"/>
      <c r="O273" s="54"/>
      <c r="P273" s="54"/>
      <c r="Q273" s="54"/>
      <c r="R273" s="54"/>
      <c r="S273" s="55">
        <f t="shared" si="78"/>
        <v>0</v>
      </c>
      <c r="Y273" s="62">
        <f t="shared" si="79"/>
        <v>0</v>
      </c>
      <c r="Z273" s="58"/>
      <c r="AB273" s="62">
        <f t="shared" si="80"/>
        <v>0</v>
      </c>
      <c r="AD273" s="58"/>
    </row>
    <row r="274" spans="2:30" ht="22.5" customHeight="1" hidden="1">
      <c r="B274" s="189">
        <v>35</v>
      </c>
      <c r="C274" s="47" t="s">
        <v>222</v>
      </c>
      <c r="D274" s="175">
        <v>0</v>
      </c>
      <c r="E274" s="175"/>
      <c r="F274" s="190">
        <v>0</v>
      </c>
      <c r="G274" s="190"/>
      <c r="H274" s="191"/>
      <c r="I274" s="191"/>
      <c r="J274" s="191"/>
      <c r="K274" s="52"/>
      <c r="L274" s="54"/>
      <c r="M274" s="54"/>
      <c r="N274" s="54"/>
      <c r="O274" s="54"/>
      <c r="P274" s="54"/>
      <c r="Q274" s="54"/>
      <c r="R274" s="54"/>
      <c r="S274" s="55">
        <f t="shared" si="78"/>
        <v>0</v>
      </c>
      <c r="Y274" s="62">
        <f t="shared" si="79"/>
        <v>0</v>
      </c>
      <c r="Z274" s="58"/>
      <c r="AB274" s="62">
        <f t="shared" si="80"/>
        <v>0</v>
      </c>
      <c r="AD274" s="58"/>
    </row>
    <row r="275" spans="2:30" ht="12.75" customHeight="1" hidden="1">
      <c r="B275" s="189">
        <v>36</v>
      </c>
      <c r="C275" s="47" t="s">
        <v>223</v>
      </c>
      <c r="D275" s="175">
        <v>0</v>
      </c>
      <c r="E275" s="175"/>
      <c r="F275" s="190">
        <v>0</v>
      </c>
      <c r="G275" s="190"/>
      <c r="H275" s="191"/>
      <c r="I275" s="191"/>
      <c r="J275" s="191"/>
      <c r="K275" s="52"/>
      <c r="L275" s="54"/>
      <c r="M275" s="54"/>
      <c r="N275" s="54"/>
      <c r="O275" s="54"/>
      <c r="P275" s="54"/>
      <c r="Q275" s="54"/>
      <c r="R275" s="54"/>
      <c r="S275" s="55">
        <f t="shared" si="78"/>
        <v>0</v>
      </c>
      <c r="Y275" s="62">
        <f t="shared" si="79"/>
        <v>0</v>
      </c>
      <c r="Z275" s="58"/>
      <c r="AB275" s="62">
        <f t="shared" si="80"/>
        <v>0</v>
      </c>
      <c r="AD275" s="58"/>
    </row>
    <row r="276" spans="2:30" ht="12.75" customHeight="1" hidden="1">
      <c r="B276" s="189">
        <v>37</v>
      </c>
      <c r="C276" s="47" t="s">
        <v>224</v>
      </c>
      <c r="D276" s="175">
        <v>0</v>
      </c>
      <c r="E276" s="175"/>
      <c r="F276" s="190">
        <v>0</v>
      </c>
      <c r="G276" s="190"/>
      <c r="H276" s="191"/>
      <c r="I276" s="191"/>
      <c r="J276" s="191"/>
      <c r="K276" s="52"/>
      <c r="L276" s="54"/>
      <c r="M276" s="54"/>
      <c r="N276" s="54"/>
      <c r="O276" s="54"/>
      <c r="P276" s="54"/>
      <c r="Q276" s="54"/>
      <c r="R276" s="54"/>
      <c r="S276" s="55">
        <f t="shared" si="78"/>
        <v>0</v>
      </c>
      <c r="Y276" s="62">
        <f t="shared" si="79"/>
        <v>0</v>
      </c>
      <c r="Z276" s="58"/>
      <c r="AB276" s="62">
        <f t="shared" si="80"/>
        <v>0</v>
      </c>
      <c r="AD276" s="58"/>
    </row>
    <row r="277" spans="2:30" ht="12">
      <c r="B277" s="189">
        <v>38</v>
      </c>
      <c r="C277" s="47" t="s">
        <v>225</v>
      </c>
      <c r="D277" s="175">
        <f>1900-220-200</f>
        <v>1480</v>
      </c>
      <c r="E277" s="175">
        <v>6470</v>
      </c>
      <c r="F277" s="190">
        <f>D277</f>
        <v>1480</v>
      </c>
      <c r="G277" s="190"/>
      <c r="H277" s="191"/>
      <c r="I277" s="191"/>
      <c r="J277" s="191"/>
      <c r="K277" s="52"/>
      <c r="L277" s="54"/>
      <c r="M277" s="54"/>
      <c r="N277" s="54"/>
      <c r="O277" s="54"/>
      <c r="P277" s="54"/>
      <c r="Q277" s="54"/>
      <c r="R277" s="54"/>
      <c r="S277" s="55">
        <f t="shared" si="78"/>
        <v>0</v>
      </c>
      <c r="Y277" s="62">
        <f t="shared" si="79"/>
        <v>1480</v>
      </c>
      <c r="Z277" s="58"/>
      <c r="AB277" s="62">
        <f>D277-S277-Z277</f>
        <v>1480</v>
      </c>
      <c r="AD277" s="58">
        <v>-480</v>
      </c>
    </row>
    <row r="278" spans="2:30" ht="12.75" customHeight="1" hidden="1">
      <c r="B278" s="189">
        <v>39</v>
      </c>
      <c r="C278" s="47" t="s">
        <v>226</v>
      </c>
      <c r="D278" s="175">
        <v>0</v>
      </c>
      <c r="E278" s="175"/>
      <c r="F278" s="190">
        <v>0</v>
      </c>
      <c r="G278" s="190"/>
      <c r="H278" s="191"/>
      <c r="I278" s="191"/>
      <c r="J278" s="191"/>
      <c r="K278" s="52"/>
      <c r="L278" s="54"/>
      <c r="M278" s="54"/>
      <c r="N278" s="54"/>
      <c r="O278" s="54"/>
      <c r="P278" s="54"/>
      <c r="Q278" s="54"/>
      <c r="R278" s="54"/>
      <c r="S278" s="55">
        <f t="shared" si="78"/>
        <v>0</v>
      </c>
      <c r="Y278" s="62">
        <f t="shared" si="79"/>
        <v>0</v>
      </c>
      <c r="Z278" s="58"/>
      <c r="AB278" s="62">
        <f t="shared" si="80"/>
        <v>0</v>
      </c>
      <c r="AD278" s="58"/>
    </row>
    <row r="279" spans="2:31" ht="12">
      <c r="B279" s="189">
        <v>40</v>
      </c>
      <c r="C279" s="47" t="s">
        <v>227</v>
      </c>
      <c r="D279" s="175">
        <v>936</v>
      </c>
      <c r="E279" s="175">
        <v>2279</v>
      </c>
      <c r="F279" s="190">
        <f>D279</f>
        <v>936</v>
      </c>
      <c r="G279" s="190"/>
      <c r="H279" s="191"/>
      <c r="I279" s="191"/>
      <c r="J279" s="191"/>
      <c r="K279" s="52"/>
      <c r="L279" s="54"/>
      <c r="M279" s="54">
        <v>468</v>
      </c>
      <c r="N279" s="54"/>
      <c r="O279" s="54"/>
      <c r="P279" s="54"/>
      <c r="Q279" s="54"/>
      <c r="R279" s="54"/>
      <c r="S279" s="90">
        <f t="shared" si="78"/>
        <v>468</v>
      </c>
      <c r="Y279" s="91">
        <f t="shared" si="79"/>
        <v>468</v>
      </c>
      <c r="Z279" s="58">
        <f>936-S279</f>
        <v>468</v>
      </c>
      <c r="AB279" s="91">
        <f t="shared" si="80"/>
        <v>0</v>
      </c>
      <c r="AD279" s="58"/>
      <c r="AE279" s="39" t="s">
        <v>228</v>
      </c>
    </row>
    <row r="280" spans="2:30" ht="12">
      <c r="B280" s="97">
        <v>41</v>
      </c>
      <c r="C280" s="197" t="s">
        <v>229</v>
      </c>
      <c r="D280" s="175">
        <f>270-20</f>
        <v>250</v>
      </c>
      <c r="E280" s="124">
        <v>2279</v>
      </c>
      <c r="F280" s="99">
        <f>D280</f>
        <v>250</v>
      </c>
      <c r="G280" s="99"/>
      <c r="H280" s="100"/>
      <c r="I280" s="100"/>
      <c r="J280" s="191"/>
      <c r="K280" s="52"/>
      <c r="L280" s="54"/>
      <c r="M280" s="54"/>
      <c r="N280" s="54"/>
      <c r="O280" s="54"/>
      <c r="P280" s="54"/>
      <c r="Q280" s="54"/>
      <c r="R280" s="54"/>
      <c r="S280" s="55">
        <f t="shared" si="78"/>
        <v>0</v>
      </c>
      <c r="Y280" s="62">
        <f t="shared" si="79"/>
        <v>250</v>
      </c>
      <c r="Z280" s="58"/>
      <c r="AB280" s="62">
        <f t="shared" si="80"/>
        <v>250</v>
      </c>
      <c r="AD280" s="58">
        <v>-250</v>
      </c>
    </row>
    <row r="281" spans="2:30" ht="12">
      <c r="B281" s="97">
        <v>42</v>
      </c>
      <c r="C281" s="197" t="s">
        <v>230</v>
      </c>
      <c r="D281" s="175">
        <v>1000</v>
      </c>
      <c r="E281" s="124">
        <v>2279</v>
      </c>
      <c r="F281" s="99">
        <v>1000</v>
      </c>
      <c r="G281" s="99"/>
      <c r="H281" s="100"/>
      <c r="I281" s="100">
        <v>50</v>
      </c>
      <c r="J281" s="191"/>
      <c r="K281" s="52"/>
      <c r="L281" s="54"/>
      <c r="M281" s="70"/>
      <c r="N281" s="54"/>
      <c r="O281" s="54"/>
      <c r="P281" s="54"/>
      <c r="Q281" s="54"/>
      <c r="R281" s="54"/>
      <c r="S281" s="55">
        <f t="shared" si="78"/>
        <v>50</v>
      </c>
      <c r="Y281" s="62">
        <f t="shared" si="79"/>
        <v>950</v>
      </c>
      <c r="Z281" s="58"/>
      <c r="AB281" s="62">
        <f t="shared" si="80"/>
        <v>950</v>
      </c>
      <c r="AD281" s="58">
        <v>-450</v>
      </c>
    </row>
    <row r="282" spans="2:30" ht="24">
      <c r="B282" s="202">
        <v>43</v>
      </c>
      <c r="C282" s="111" t="s">
        <v>231</v>
      </c>
      <c r="D282" s="175">
        <v>3420</v>
      </c>
      <c r="E282" s="124">
        <v>2279</v>
      </c>
      <c r="F282" s="232">
        <f>D282</f>
        <v>3420</v>
      </c>
      <c r="G282" s="232"/>
      <c r="H282" s="28"/>
      <c r="I282" s="28"/>
      <c r="J282" s="191"/>
      <c r="K282" s="52"/>
      <c r="L282" s="54"/>
      <c r="M282" s="54"/>
      <c r="N282" s="54"/>
      <c r="O282" s="54"/>
      <c r="P282" s="54"/>
      <c r="Q282" s="54"/>
      <c r="R282" s="54"/>
      <c r="S282" s="55">
        <f t="shared" si="78"/>
        <v>0</v>
      </c>
      <c r="Y282" s="62">
        <f t="shared" si="79"/>
        <v>3420</v>
      </c>
      <c r="Z282" s="58">
        <f>3420-S282</f>
        <v>3420</v>
      </c>
      <c r="AB282" s="62">
        <f>D282-S282-Z282</f>
        <v>0</v>
      </c>
      <c r="AD282" s="58">
        <f>-973-1019-20</f>
        <v>-2012</v>
      </c>
    </row>
    <row r="283" spans="2:30" ht="36">
      <c r="B283" s="97">
        <v>44</v>
      </c>
      <c r="C283" s="197" t="s">
        <v>232</v>
      </c>
      <c r="D283" s="175">
        <f>1125-112</f>
        <v>1013</v>
      </c>
      <c r="E283" s="124">
        <v>2279</v>
      </c>
      <c r="F283" s="99">
        <f>D283</f>
        <v>1013</v>
      </c>
      <c r="G283" s="99"/>
      <c r="H283" s="100"/>
      <c r="I283" s="100"/>
      <c r="J283" s="191"/>
      <c r="K283" s="52"/>
      <c r="L283" s="54"/>
      <c r="M283" s="54"/>
      <c r="N283" s="54"/>
      <c r="O283" s="54"/>
      <c r="P283" s="54"/>
      <c r="Q283" s="54"/>
      <c r="R283" s="54"/>
      <c r="S283" s="55">
        <f t="shared" si="78"/>
        <v>0</v>
      </c>
      <c r="Y283" s="62">
        <f t="shared" si="79"/>
        <v>1013</v>
      </c>
      <c r="Z283" s="58"/>
      <c r="AB283" s="62">
        <f t="shared" si="80"/>
        <v>1013</v>
      </c>
      <c r="AD283" s="58"/>
    </row>
    <row r="284" spans="2:31" ht="24">
      <c r="B284" s="97">
        <v>45</v>
      </c>
      <c r="C284" s="197" t="s">
        <v>233</v>
      </c>
      <c r="D284" s="175">
        <v>3000</v>
      </c>
      <c r="E284" s="124">
        <v>2279</v>
      </c>
      <c r="F284" s="99">
        <f>D284</f>
        <v>3000</v>
      </c>
      <c r="G284" s="99"/>
      <c r="H284" s="100"/>
      <c r="I284" s="100"/>
      <c r="J284" s="191"/>
      <c r="K284" s="52"/>
      <c r="L284" s="54"/>
      <c r="M284" s="54"/>
      <c r="N284" s="54"/>
      <c r="O284" s="54"/>
      <c r="P284" s="54"/>
      <c r="Q284" s="54"/>
      <c r="R284" s="54"/>
      <c r="S284" s="55">
        <f>SUM(G284:R284)</f>
        <v>0</v>
      </c>
      <c r="Y284" s="62">
        <f>D284-S284</f>
        <v>3000</v>
      </c>
      <c r="Z284" s="58"/>
      <c r="AB284" s="62">
        <f>D284-S284-Z284</f>
        <v>3000</v>
      </c>
      <c r="AD284" s="58">
        <v>-3000</v>
      </c>
      <c r="AE284" s="39" t="s">
        <v>234</v>
      </c>
    </row>
    <row r="285" spans="2:30" ht="11.25" hidden="1">
      <c r="B285" s="202"/>
      <c r="C285" s="111"/>
      <c r="D285" s="175"/>
      <c r="E285" s="124"/>
      <c r="F285" s="232"/>
      <c r="G285" s="232"/>
      <c r="H285" s="28"/>
      <c r="I285" s="28"/>
      <c r="J285" s="191"/>
      <c r="K285" s="52"/>
      <c r="L285" s="54"/>
      <c r="M285" s="271">
        <f aca="true" t="shared" si="81" ref="F285:AC286">SUM(M286:M287)</f>
        <v>0</v>
      </c>
      <c r="N285" s="54"/>
      <c r="O285" s="54"/>
      <c r="P285" s="54"/>
      <c r="Q285" s="54"/>
      <c r="R285" s="54"/>
      <c r="S285" s="55"/>
      <c r="Y285" s="56"/>
      <c r="Z285" s="58"/>
      <c r="AB285" s="58"/>
      <c r="AD285" s="58"/>
    </row>
    <row r="286" spans="1:30" ht="12.75" customHeight="1">
      <c r="A286" s="213"/>
      <c r="B286" s="304" t="s">
        <v>47</v>
      </c>
      <c r="C286" s="316" t="s">
        <v>235</v>
      </c>
      <c r="D286" s="315">
        <f>SUM(D287:D288)</f>
        <v>1988</v>
      </c>
      <c r="E286" s="317"/>
      <c r="F286" s="315">
        <f t="shared" si="81"/>
        <v>1988</v>
      </c>
      <c r="G286" s="315">
        <f t="shared" si="81"/>
        <v>0</v>
      </c>
      <c r="H286" s="315">
        <f t="shared" si="81"/>
        <v>0</v>
      </c>
      <c r="I286" s="315">
        <f t="shared" si="81"/>
        <v>428.86</v>
      </c>
      <c r="J286" s="315">
        <f t="shared" si="81"/>
        <v>0</v>
      </c>
      <c r="K286" s="315">
        <f t="shared" si="81"/>
        <v>1548.8</v>
      </c>
      <c r="L286" s="315">
        <f t="shared" si="81"/>
        <v>0</v>
      </c>
      <c r="M286" s="315">
        <f t="shared" si="81"/>
        <v>0</v>
      </c>
      <c r="N286" s="315">
        <f t="shared" si="81"/>
        <v>0</v>
      </c>
      <c r="O286" s="315">
        <f t="shared" si="81"/>
        <v>0</v>
      </c>
      <c r="P286" s="315">
        <f t="shared" si="81"/>
        <v>0</v>
      </c>
      <c r="Q286" s="315">
        <f t="shared" si="81"/>
        <v>0</v>
      </c>
      <c r="R286" s="315">
        <f t="shared" si="81"/>
        <v>0</v>
      </c>
      <c r="S286" s="315">
        <f t="shared" si="81"/>
        <v>1977.6599999999999</v>
      </c>
      <c r="T286" s="315">
        <f t="shared" si="81"/>
        <v>0</v>
      </c>
      <c r="U286" s="315">
        <f t="shared" si="81"/>
        <v>0</v>
      </c>
      <c r="V286" s="315">
        <f t="shared" si="81"/>
        <v>0</v>
      </c>
      <c r="W286" s="315">
        <f t="shared" si="81"/>
        <v>0</v>
      </c>
      <c r="X286" s="315">
        <f t="shared" si="81"/>
        <v>0</v>
      </c>
      <c r="Y286" s="318">
        <f t="shared" si="81"/>
        <v>10.340000000000032</v>
      </c>
      <c r="Z286" s="318">
        <f t="shared" si="81"/>
        <v>0</v>
      </c>
      <c r="AA286" s="318">
        <f t="shared" si="81"/>
        <v>0</v>
      </c>
      <c r="AB286" s="318">
        <f t="shared" si="81"/>
        <v>10.340000000000032</v>
      </c>
      <c r="AC286" s="318">
        <f t="shared" si="81"/>
        <v>0</v>
      </c>
      <c r="AD286" s="318">
        <f>SUM(AD287:AD288)</f>
        <v>0</v>
      </c>
    </row>
    <row r="287" spans="2:30" ht="12.75" customHeight="1">
      <c r="B287" s="252">
        <v>1</v>
      </c>
      <c r="C287" s="272" t="s">
        <v>236</v>
      </c>
      <c r="D287" s="175">
        <f>450-11</f>
        <v>439</v>
      </c>
      <c r="E287" s="124">
        <v>2312</v>
      </c>
      <c r="F287" s="100">
        <f>D287</f>
        <v>439</v>
      </c>
      <c r="G287" s="100"/>
      <c r="H287" s="100"/>
      <c r="I287" s="100">
        <f>428.86</f>
        <v>428.86</v>
      </c>
      <c r="J287" s="191"/>
      <c r="K287" s="124"/>
      <c r="L287" s="51"/>
      <c r="M287" s="51"/>
      <c r="N287" s="51"/>
      <c r="O287" s="51"/>
      <c r="P287" s="51"/>
      <c r="Q287" s="51"/>
      <c r="R287" s="51"/>
      <c r="S287" s="315">
        <f>SUM(G287:R287)</f>
        <v>428.86</v>
      </c>
      <c r="T287" s="34"/>
      <c r="U287" s="34"/>
      <c r="V287" s="34"/>
      <c r="W287" s="34"/>
      <c r="X287" s="34"/>
      <c r="Y287" s="62">
        <f>D287-S287</f>
        <v>10.139999999999986</v>
      </c>
      <c r="Z287" s="62"/>
      <c r="AA287" s="177"/>
      <c r="AB287" s="114">
        <f>D287-S287-Z287</f>
        <v>10.139999999999986</v>
      </c>
      <c r="AC287" s="34"/>
      <c r="AD287" s="62"/>
    </row>
    <row r="288" spans="2:31" ht="12">
      <c r="B288" s="252">
        <v>2</v>
      </c>
      <c r="C288" s="272" t="s">
        <v>237</v>
      </c>
      <c r="D288" s="175">
        <f>2160-611</f>
        <v>1549</v>
      </c>
      <c r="E288" s="124">
        <v>5232</v>
      </c>
      <c r="F288" s="100">
        <f>D288</f>
        <v>1549</v>
      </c>
      <c r="G288" s="100"/>
      <c r="H288" s="100"/>
      <c r="I288" s="100"/>
      <c r="J288" s="191"/>
      <c r="K288" s="319">
        <f>774.4+774.4</f>
        <v>1548.8</v>
      </c>
      <c r="L288" s="51"/>
      <c r="M288" s="51"/>
      <c r="N288" s="51"/>
      <c r="O288" s="51"/>
      <c r="P288" s="51"/>
      <c r="Q288" s="51"/>
      <c r="R288" s="51"/>
      <c r="S288" s="315">
        <f>SUM(G288:R288)</f>
        <v>1548.8</v>
      </c>
      <c r="T288" s="34"/>
      <c r="U288" s="34"/>
      <c r="V288" s="34"/>
      <c r="W288" s="34"/>
      <c r="X288" s="34"/>
      <c r="Y288" s="62">
        <f>D288-S288</f>
        <v>0.20000000000004547</v>
      </c>
      <c r="Z288" s="114">
        <f>1548.8-S288</f>
        <v>0</v>
      </c>
      <c r="AA288" s="177"/>
      <c r="AB288" s="114">
        <f>D288-S288-Z288</f>
        <v>0.20000000000004547</v>
      </c>
      <c r="AC288" s="34"/>
      <c r="AD288" s="114"/>
      <c r="AE288" s="39" t="s">
        <v>238</v>
      </c>
    </row>
    <row r="289" spans="2:30" ht="12">
      <c r="B289" s="252"/>
      <c r="C289" s="320" t="s">
        <v>239</v>
      </c>
      <c r="D289" s="175"/>
      <c r="E289" s="124"/>
      <c r="F289" s="100"/>
      <c r="G289" s="100"/>
      <c r="H289" s="100"/>
      <c r="I289" s="100"/>
      <c r="J289" s="100"/>
      <c r="K289" s="124"/>
      <c r="L289" s="51"/>
      <c r="M289" s="51"/>
      <c r="N289" s="51"/>
      <c r="O289" s="51"/>
      <c r="P289" s="51"/>
      <c r="Q289" s="51"/>
      <c r="R289" s="51"/>
      <c r="S289" s="315"/>
      <c r="T289" s="34"/>
      <c r="U289" s="34"/>
      <c r="V289" s="34"/>
      <c r="W289" s="34"/>
      <c r="X289" s="34"/>
      <c r="Y289" s="62"/>
      <c r="Z289" s="62"/>
      <c r="AA289" s="177"/>
      <c r="AB289" s="62"/>
      <c r="AC289" s="34"/>
      <c r="AD289" s="62"/>
    </row>
    <row r="290" spans="2:30" s="178" customFormat="1" ht="24">
      <c r="B290" s="252">
        <v>3</v>
      </c>
      <c r="C290" s="272" t="s">
        <v>240</v>
      </c>
      <c r="D290" s="315">
        <f>SUM(D291:D295)</f>
        <v>2700</v>
      </c>
      <c r="E290" s="317">
        <v>2239</v>
      </c>
      <c r="F290" s="200">
        <f>D290</f>
        <v>2700</v>
      </c>
      <c r="G290" s="315">
        <f aca="true" t="shared" si="82" ref="G290:Q290">SUM(G291:G295)</f>
        <v>0</v>
      </c>
      <c r="H290" s="315">
        <f t="shared" si="82"/>
        <v>0</v>
      </c>
      <c r="I290" s="315">
        <f t="shared" si="82"/>
        <v>0</v>
      </c>
      <c r="J290" s="315">
        <f t="shared" si="82"/>
        <v>0</v>
      </c>
      <c r="K290" s="315">
        <f t="shared" si="82"/>
        <v>0</v>
      </c>
      <c r="L290" s="315">
        <f t="shared" si="82"/>
        <v>0</v>
      </c>
      <c r="M290" s="315">
        <f t="shared" si="82"/>
        <v>0</v>
      </c>
      <c r="N290" s="315">
        <f t="shared" si="82"/>
        <v>0</v>
      </c>
      <c r="O290" s="315">
        <f t="shared" si="82"/>
        <v>0</v>
      </c>
      <c r="P290" s="315">
        <f t="shared" si="82"/>
        <v>0</v>
      </c>
      <c r="Q290" s="315">
        <f t="shared" si="82"/>
        <v>0</v>
      </c>
      <c r="R290" s="315">
        <f>SUM(R291:R293)</f>
        <v>0</v>
      </c>
      <c r="S290" s="315">
        <f>SUM(G290:R290)</f>
        <v>0</v>
      </c>
      <c r="T290" s="321"/>
      <c r="U290" s="321"/>
      <c r="V290" s="321"/>
      <c r="W290" s="321"/>
      <c r="X290" s="321"/>
      <c r="Y290" s="318">
        <f>D290-S290</f>
        <v>2700</v>
      </c>
      <c r="Z290" s="318">
        <f>SUM(Z291:Z293)</f>
        <v>0</v>
      </c>
      <c r="AA290" s="297"/>
      <c r="AB290" s="318">
        <f>D290-S290-Z290</f>
        <v>2700</v>
      </c>
      <c r="AC290" s="318">
        <f>E290-T290-AA290</f>
        <v>2239</v>
      </c>
      <c r="AD290" s="318">
        <f>F290-U290-AB290</f>
        <v>0</v>
      </c>
    </row>
    <row r="291" spans="2:30" s="178" customFormat="1" ht="12">
      <c r="B291" s="252">
        <v>3.1</v>
      </c>
      <c r="C291" s="272" t="s">
        <v>241</v>
      </c>
      <c r="D291" s="175">
        <v>900</v>
      </c>
      <c r="E291" s="124">
        <v>2239</v>
      </c>
      <c r="F291" s="100">
        <f>D291</f>
        <v>900</v>
      </c>
      <c r="G291" s="100"/>
      <c r="H291" s="100"/>
      <c r="I291" s="100"/>
      <c r="J291" s="191"/>
      <c r="K291" s="52"/>
      <c r="L291" s="54"/>
      <c r="M291" s="54"/>
      <c r="N291" s="54"/>
      <c r="O291" s="54"/>
      <c r="P291" s="54"/>
      <c r="Q291" s="54"/>
      <c r="R291" s="54"/>
      <c r="S291" s="55">
        <f>SUM(G291:R291)</f>
        <v>0</v>
      </c>
      <c r="T291" s="35"/>
      <c r="U291" s="35"/>
      <c r="V291" s="35"/>
      <c r="W291" s="35"/>
      <c r="X291" s="35"/>
      <c r="Y291" s="58">
        <f>D291-S291</f>
        <v>900</v>
      </c>
      <c r="Z291" s="58"/>
      <c r="AA291" s="38"/>
      <c r="AB291" s="58">
        <f>D291-S291-Z291</f>
        <v>900</v>
      </c>
      <c r="AC291" s="35"/>
      <c r="AD291" s="58"/>
    </row>
    <row r="292" spans="2:30" s="178" customFormat="1" ht="12">
      <c r="B292" s="252">
        <v>3.2</v>
      </c>
      <c r="C292" s="272" t="s">
        <v>242</v>
      </c>
      <c r="D292" s="175">
        <v>400</v>
      </c>
      <c r="E292" s="124">
        <v>2239</v>
      </c>
      <c r="F292" s="100">
        <f>D292</f>
        <v>400</v>
      </c>
      <c r="G292" s="100"/>
      <c r="H292" s="100"/>
      <c r="I292" s="100"/>
      <c r="J292" s="191"/>
      <c r="K292" s="52"/>
      <c r="L292" s="54"/>
      <c r="M292" s="54"/>
      <c r="N292" s="54"/>
      <c r="O292" s="54"/>
      <c r="P292" s="54"/>
      <c r="Q292" s="54"/>
      <c r="R292" s="54"/>
      <c r="S292" s="55">
        <f>SUM(G292:R292)</f>
        <v>0</v>
      </c>
      <c r="T292" s="35"/>
      <c r="U292" s="35"/>
      <c r="V292" s="35"/>
      <c r="W292" s="35"/>
      <c r="X292" s="35"/>
      <c r="Y292" s="58">
        <f>D292-S292</f>
        <v>400</v>
      </c>
      <c r="Z292" s="58"/>
      <c r="AA292" s="38"/>
      <c r="AB292" s="58">
        <f>D292-S292-Z292</f>
        <v>400</v>
      </c>
      <c r="AC292" s="35"/>
      <c r="AD292" s="58"/>
    </row>
    <row r="293" spans="2:30" s="178" customFormat="1" ht="12">
      <c r="B293" s="252">
        <v>3.3</v>
      </c>
      <c r="C293" s="272" t="s">
        <v>243</v>
      </c>
      <c r="D293" s="175">
        <v>1400</v>
      </c>
      <c r="E293" s="124">
        <v>2239</v>
      </c>
      <c r="F293" s="100">
        <f>D293</f>
        <v>1400</v>
      </c>
      <c r="G293" s="100"/>
      <c r="H293" s="100"/>
      <c r="I293" s="100"/>
      <c r="J293" s="191"/>
      <c r="K293" s="52"/>
      <c r="L293" s="54"/>
      <c r="M293" s="54"/>
      <c r="N293" s="54"/>
      <c r="O293" s="54"/>
      <c r="P293" s="54"/>
      <c r="Q293" s="54"/>
      <c r="R293" s="54"/>
      <c r="S293" s="55">
        <f>SUM(G293:R293)</f>
        <v>0</v>
      </c>
      <c r="T293" s="35"/>
      <c r="U293" s="35"/>
      <c r="V293" s="35"/>
      <c r="W293" s="35"/>
      <c r="X293" s="35"/>
      <c r="Y293" s="58">
        <f>D293-S293</f>
        <v>1400</v>
      </c>
      <c r="Z293" s="58"/>
      <c r="AA293" s="38"/>
      <c r="AB293" s="58">
        <f>D293-S293-Z293</f>
        <v>1400</v>
      </c>
      <c r="AC293" s="35"/>
      <c r="AD293" s="58"/>
    </row>
    <row r="294" spans="2:13" ht="12">
      <c r="B294" s="273"/>
      <c r="C294" s="273"/>
      <c r="D294" s="274"/>
      <c r="E294" s="275"/>
      <c r="F294" s="276"/>
      <c r="G294" s="277"/>
      <c r="H294" s="277"/>
      <c r="I294" s="277"/>
      <c r="M294" s="34"/>
    </row>
    <row r="295" spans="2:30" ht="11.25" hidden="1">
      <c r="B295" s="278"/>
      <c r="C295" s="279" t="s">
        <v>244</v>
      </c>
      <c r="D295" s="274"/>
      <c r="E295" s="280"/>
      <c r="F295" s="280"/>
      <c r="G295" s="277"/>
      <c r="H295" s="277"/>
      <c r="I295" s="277"/>
      <c r="K295" s="281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177"/>
      <c r="Z295" s="177"/>
      <c r="AA295" s="177"/>
      <c r="AB295" s="177"/>
      <c r="AC295" s="34"/>
      <c r="AD295" s="177"/>
    </row>
    <row r="296" spans="2:30" ht="11.25" hidden="1">
      <c r="B296" s="278"/>
      <c r="C296" s="282" t="s">
        <v>245</v>
      </c>
      <c r="D296" s="274"/>
      <c r="E296" s="280"/>
      <c r="F296" s="280"/>
      <c r="G296" s="277"/>
      <c r="H296" s="277"/>
      <c r="I296" s="277"/>
      <c r="K296" s="281"/>
      <c r="L296" s="34"/>
      <c r="M296" s="283">
        <f>M15+M25+M30+M41+M42+M49+M57+M66+M72+M76+M80+M82+M84+SUM(M105:M111)+M114+M119+M130+M140+M143+M171+M173+M176+M179+M183+M200+M228</f>
        <v>1460</v>
      </c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177"/>
      <c r="Z296" s="177"/>
      <c r="AA296" s="177"/>
      <c r="AB296" s="177"/>
      <c r="AC296" s="34"/>
      <c r="AD296" s="177"/>
    </row>
    <row r="297" spans="2:30" ht="11.25" hidden="1">
      <c r="B297" s="284">
        <f>9214-D297</f>
        <v>-140</v>
      </c>
      <c r="C297" s="278" t="s">
        <v>91</v>
      </c>
      <c r="D297" s="285">
        <f>D25+D30+D41+D42+D49+D57+D66+D72+D76+D80+D82+D84+SUM(D105:D111)+D114+D119+D130+D140+D143+D171+D173+D176+D179+D183+D200+D228</f>
        <v>9354</v>
      </c>
      <c r="E297" s="283">
        <v>2231</v>
      </c>
      <c r="F297" s="283"/>
      <c r="G297" s="283">
        <f aca="true" t="shared" si="83" ref="G297:L297">G15+G25+G30+G41+G42+G49+G57+G66+G72+G76+G80+G82+G84+SUM(G105:G111)+G114+G119+G130+G140+G143+G171+G173+G176+G179+G183+G200+G228</f>
        <v>0</v>
      </c>
      <c r="H297" s="283">
        <f t="shared" si="83"/>
        <v>550</v>
      </c>
      <c r="I297" s="283">
        <f t="shared" si="83"/>
        <v>241.2</v>
      </c>
      <c r="J297" s="283">
        <f t="shared" si="83"/>
        <v>120</v>
      </c>
      <c r="K297" s="283">
        <f t="shared" si="83"/>
        <v>310</v>
      </c>
      <c r="L297" s="283">
        <f t="shared" si="83"/>
        <v>3341</v>
      </c>
      <c r="M297" s="286">
        <f>M22+M34+M52+M60+M89+M117+M120+M139+M142+M151+M153</f>
        <v>90</v>
      </c>
      <c r="N297" s="283">
        <f aca="true" t="shared" si="84" ref="N297:AB297">N15+N25+N30+N41+N42+N49+N57+N66+N72+N76+N80+N82+N84+SUM(N105:N111)+N114+N119+N130+N140+N143+N171+N173+N176+N179+N183+N200+N228</f>
        <v>200</v>
      </c>
      <c r="O297" s="283">
        <f t="shared" si="84"/>
        <v>0</v>
      </c>
      <c r="P297" s="283">
        <f t="shared" si="84"/>
        <v>0</v>
      </c>
      <c r="Q297" s="283">
        <f t="shared" si="84"/>
        <v>0</v>
      </c>
      <c r="R297" s="283">
        <f t="shared" si="84"/>
        <v>0</v>
      </c>
      <c r="S297" s="287">
        <f t="shared" si="84"/>
        <v>6222.2</v>
      </c>
      <c r="T297" s="283">
        <f t="shared" si="84"/>
        <v>0</v>
      </c>
      <c r="U297" s="283">
        <f t="shared" si="84"/>
        <v>0</v>
      </c>
      <c r="V297" s="283">
        <f t="shared" si="84"/>
        <v>0</v>
      </c>
      <c r="W297" s="283">
        <f t="shared" si="84"/>
        <v>0</v>
      </c>
      <c r="X297" s="283">
        <f t="shared" si="84"/>
        <v>0</v>
      </c>
      <c r="Y297" s="283">
        <f t="shared" si="84"/>
        <v>7731.8</v>
      </c>
      <c r="Z297" s="283">
        <f t="shared" si="84"/>
        <v>0</v>
      </c>
      <c r="AA297" s="283">
        <f t="shared" si="84"/>
        <v>0</v>
      </c>
      <c r="AB297" s="283">
        <f t="shared" si="84"/>
        <v>7731.8</v>
      </c>
      <c r="AD297" s="283"/>
    </row>
    <row r="298" spans="2:30" ht="11.25" hidden="1">
      <c r="B298" s="284">
        <f>1910-D298</f>
        <v>100</v>
      </c>
      <c r="C298" s="278" t="s">
        <v>246</v>
      </c>
      <c r="D298" s="288">
        <f>D22+D34+D52+D60+D89+D117+D120+D139+D142+D151+D153</f>
        <v>1810</v>
      </c>
      <c r="E298" s="283">
        <v>2239</v>
      </c>
      <c r="F298" s="283"/>
      <c r="G298" s="286">
        <f>G22+G34+G52+G60+G89+G117+G120+G139+G142+G151+G153</f>
        <v>0</v>
      </c>
      <c r="H298" s="286">
        <f aca="true" t="shared" si="85" ref="H298:AB298">H22+H34+H52+H60+H89+H117+H120+H139+H142+H151+H153</f>
        <v>0</v>
      </c>
      <c r="I298" s="286">
        <f t="shared" si="85"/>
        <v>99.99</v>
      </c>
      <c r="J298" s="286">
        <f t="shared" si="85"/>
        <v>200</v>
      </c>
      <c r="K298" s="286">
        <f t="shared" si="85"/>
        <v>0</v>
      </c>
      <c r="L298" s="286">
        <f t="shared" si="85"/>
        <v>0</v>
      </c>
      <c r="M298" s="286">
        <f>M16+M26+M68+M70+M92+M94+M96+M118+M123+M160+M166+M215+M204+M217+M219+M230+M259</f>
        <v>978.6</v>
      </c>
      <c r="N298" s="286">
        <f t="shared" si="85"/>
        <v>0</v>
      </c>
      <c r="O298" s="286">
        <f t="shared" si="85"/>
        <v>0</v>
      </c>
      <c r="P298" s="286">
        <f t="shared" si="85"/>
        <v>0</v>
      </c>
      <c r="Q298" s="286">
        <f t="shared" si="85"/>
        <v>0</v>
      </c>
      <c r="R298" s="286">
        <f t="shared" si="85"/>
        <v>0</v>
      </c>
      <c r="S298" s="289">
        <f t="shared" si="85"/>
        <v>389.99</v>
      </c>
      <c r="T298" s="286">
        <f t="shared" si="85"/>
        <v>0</v>
      </c>
      <c r="U298" s="286">
        <f t="shared" si="85"/>
        <v>0</v>
      </c>
      <c r="V298" s="286">
        <f t="shared" si="85"/>
        <v>0</v>
      </c>
      <c r="W298" s="286">
        <f t="shared" si="85"/>
        <v>0</v>
      </c>
      <c r="X298" s="286">
        <f t="shared" si="85"/>
        <v>0</v>
      </c>
      <c r="Y298" s="286">
        <f t="shared" si="85"/>
        <v>1420.01</v>
      </c>
      <c r="Z298" s="286">
        <f t="shared" si="85"/>
        <v>149.99</v>
      </c>
      <c r="AA298" s="286">
        <f t="shared" si="85"/>
        <v>0</v>
      </c>
      <c r="AB298" s="286">
        <f t="shared" si="85"/>
        <v>1270.02</v>
      </c>
      <c r="AD298" s="286"/>
    </row>
    <row r="299" spans="2:30" ht="11.25" hidden="1">
      <c r="B299" s="278"/>
      <c r="C299" s="278" t="s">
        <v>247</v>
      </c>
      <c r="D299" s="290">
        <f>D16+D26+D68+D70+D92+D94+D96+D118+D123+D160+D166+D215+D204+D217+D219+D230+D259</f>
        <v>14350</v>
      </c>
      <c r="E299" s="283">
        <v>2261</v>
      </c>
      <c r="F299" s="283"/>
      <c r="G299" s="286">
        <f aca="true" t="shared" si="86" ref="G299:L299">G16+G26+G68+G70+G92+G94+G96+G118+G123+G160+G166+G215+G204+G217+G219+G230+G259</f>
        <v>0</v>
      </c>
      <c r="H299" s="286">
        <f t="shared" si="86"/>
        <v>594.63</v>
      </c>
      <c r="I299" s="286">
        <f t="shared" si="86"/>
        <v>750</v>
      </c>
      <c r="J299" s="286">
        <f t="shared" si="86"/>
        <v>2737.01</v>
      </c>
      <c r="K299" s="286">
        <f t="shared" si="86"/>
        <v>0</v>
      </c>
      <c r="L299" s="286">
        <f t="shared" si="86"/>
        <v>888.6</v>
      </c>
      <c r="M299" s="286">
        <f>M18+M38+M53+M69+M73+M87+M161+M220+M231+M252+M256+M267</f>
        <v>390.4</v>
      </c>
      <c r="N299" s="286">
        <f aca="true" t="shared" si="87" ref="N299:AB299">N16+N26+N68+N70+N92+N94+N96+N118+N123+N160+N166+N215+N204+N217+N219+N230+N259</f>
        <v>0</v>
      </c>
      <c r="O299" s="286">
        <f t="shared" si="87"/>
        <v>0</v>
      </c>
      <c r="P299" s="286">
        <f t="shared" si="87"/>
        <v>0</v>
      </c>
      <c r="Q299" s="286">
        <f t="shared" si="87"/>
        <v>0</v>
      </c>
      <c r="R299" s="286">
        <f t="shared" si="87"/>
        <v>0</v>
      </c>
      <c r="S299" s="289">
        <f t="shared" si="87"/>
        <v>6138.84</v>
      </c>
      <c r="T299" s="286">
        <f t="shared" si="87"/>
        <v>0</v>
      </c>
      <c r="U299" s="286">
        <f t="shared" si="87"/>
        <v>0</v>
      </c>
      <c r="V299" s="286">
        <f t="shared" si="87"/>
        <v>0</v>
      </c>
      <c r="W299" s="286">
        <f t="shared" si="87"/>
        <v>0</v>
      </c>
      <c r="X299" s="286">
        <f t="shared" si="87"/>
        <v>0</v>
      </c>
      <c r="Y299" s="286">
        <f t="shared" si="87"/>
        <v>8211.16</v>
      </c>
      <c r="Z299" s="286">
        <f t="shared" si="87"/>
        <v>0</v>
      </c>
      <c r="AA299" s="286">
        <f t="shared" si="87"/>
        <v>0</v>
      </c>
      <c r="AB299" s="286">
        <f t="shared" si="87"/>
        <v>8211.16</v>
      </c>
      <c r="AD299" s="286"/>
    </row>
    <row r="300" spans="2:30" ht="11.25" hidden="1">
      <c r="B300" s="284">
        <f>9278-D300</f>
        <v>0</v>
      </c>
      <c r="C300" s="278" t="s">
        <v>248</v>
      </c>
      <c r="D300" s="290">
        <f>D18+D38+D53+D69+D73+D87+D146+D161+D220+D231+D252+D256+D267</f>
        <v>9278</v>
      </c>
      <c r="E300" s="283">
        <v>2262</v>
      </c>
      <c r="F300" s="283"/>
      <c r="G300" s="286">
        <f aca="true" t="shared" si="88" ref="G300:L300">G18+G38+G53+G69+G73+G87+G146+G161+G220+G231+G252+G256+G267</f>
        <v>0</v>
      </c>
      <c r="H300" s="286">
        <f t="shared" si="88"/>
        <v>20</v>
      </c>
      <c r="I300" s="286">
        <f t="shared" si="88"/>
        <v>414.79</v>
      </c>
      <c r="J300" s="286">
        <f t="shared" si="88"/>
        <v>1917.5</v>
      </c>
      <c r="K300" s="286">
        <f t="shared" si="88"/>
        <v>621.15</v>
      </c>
      <c r="L300" s="286">
        <f t="shared" si="88"/>
        <v>1431.53</v>
      </c>
      <c r="M300" s="286">
        <f>M21+M33+M51+M59+M71+M79+M86+M116+M122+M126+M128+M138+M141+M162+M170+M175+M178+M182+M188+M189+M192+M194+M202</f>
        <v>610</v>
      </c>
      <c r="N300" s="286">
        <f aca="true" t="shared" si="89" ref="N300:AB300">N18+N38+N53+N69+N73+N87+N146+N161+N220+N231+N252+N256+N267</f>
        <v>0</v>
      </c>
      <c r="O300" s="286">
        <f t="shared" si="89"/>
        <v>0</v>
      </c>
      <c r="P300" s="286">
        <f t="shared" si="89"/>
        <v>0</v>
      </c>
      <c r="Q300" s="286">
        <f t="shared" si="89"/>
        <v>0</v>
      </c>
      <c r="R300" s="286">
        <f t="shared" si="89"/>
        <v>0</v>
      </c>
      <c r="S300" s="289">
        <f t="shared" si="89"/>
        <v>4915.37</v>
      </c>
      <c r="T300" s="286">
        <f t="shared" si="89"/>
        <v>0</v>
      </c>
      <c r="U300" s="286">
        <f t="shared" si="89"/>
        <v>0</v>
      </c>
      <c r="V300" s="286">
        <f t="shared" si="89"/>
        <v>0</v>
      </c>
      <c r="W300" s="286">
        <f t="shared" si="89"/>
        <v>0</v>
      </c>
      <c r="X300" s="286">
        <f t="shared" si="89"/>
        <v>0</v>
      </c>
      <c r="Y300" s="286">
        <f t="shared" si="89"/>
        <v>4362.63</v>
      </c>
      <c r="Z300" s="286">
        <f t="shared" si="89"/>
        <v>333.47</v>
      </c>
      <c r="AA300" s="286">
        <f t="shared" si="89"/>
        <v>0</v>
      </c>
      <c r="AB300" s="286">
        <f t="shared" si="89"/>
        <v>4029.16</v>
      </c>
      <c r="AD300" s="286"/>
    </row>
    <row r="301" spans="2:30" ht="11.25" hidden="1">
      <c r="B301" s="278"/>
      <c r="C301" s="278" t="s">
        <v>249</v>
      </c>
      <c r="D301" s="290">
        <f>D21+D33+D51+D59+D71+D79+D86+D116+D122+D126+D128+D138+D141+D162+D170+D175+D178+D182+D188+D189+D192+D194+D202</f>
        <v>3815</v>
      </c>
      <c r="E301" s="283">
        <v>2264</v>
      </c>
      <c r="F301" s="283"/>
      <c r="G301" s="286">
        <f aca="true" t="shared" si="90" ref="G301:L301">G21+G33+G51+G59+G71+G79+G86+G116+G122+G126+G128+G138+G141+G162+G170+G175+G178+G182+G188+G189+G192+G194+G202</f>
        <v>0</v>
      </c>
      <c r="H301" s="286">
        <f t="shared" si="90"/>
        <v>400</v>
      </c>
      <c r="I301" s="286">
        <f t="shared" si="90"/>
        <v>0</v>
      </c>
      <c r="J301" s="286">
        <f t="shared" si="90"/>
        <v>350</v>
      </c>
      <c r="K301" s="286">
        <f t="shared" si="90"/>
        <v>100</v>
      </c>
      <c r="L301" s="286">
        <f t="shared" si="90"/>
        <v>0</v>
      </c>
      <c r="M301" s="286">
        <f>M193+M253</f>
        <v>50</v>
      </c>
      <c r="N301" s="286">
        <f aca="true" t="shared" si="91" ref="N301:AB301">N21+N33+N51+N59+N71+N79+N86+N116+N122+N126+N128+N138+N141+N162+N170+N175+N178+N182+N188+N189+N192+N194+N202</f>
        <v>100</v>
      </c>
      <c r="O301" s="286">
        <f t="shared" si="91"/>
        <v>0</v>
      </c>
      <c r="P301" s="286">
        <f t="shared" si="91"/>
        <v>0</v>
      </c>
      <c r="Q301" s="286">
        <f t="shared" si="91"/>
        <v>0</v>
      </c>
      <c r="R301" s="286">
        <f t="shared" si="91"/>
        <v>0</v>
      </c>
      <c r="S301" s="289">
        <f t="shared" si="91"/>
        <v>1560</v>
      </c>
      <c r="T301" s="286">
        <f t="shared" si="91"/>
        <v>0</v>
      </c>
      <c r="U301" s="286">
        <f t="shared" si="91"/>
        <v>0</v>
      </c>
      <c r="V301" s="286">
        <f t="shared" si="91"/>
        <v>0</v>
      </c>
      <c r="W301" s="286">
        <f t="shared" si="91"/>
        <v>0</v>
      </c>
      <c r="X301" s="286">
        <f t="shared" si="91"/>
        <v>0</v>
      </c>
      <c r="Y301" s="286">
        <f t="shared" si="91"/>
        <v>2255</v>
      </c>
      <c r="Z301" s="286">
        <f t="shared" si="91"/>
        <v>0</v>
      </c>
      <c r="AA301" s="286">
        <f t="shared" si="91"/>
        <v>0</v>
      </c>
      <c r="AB301" s="286">
        <f t="shared" si="91"/>
        <v>2255</v>
      </c>
      <c r="AD301" s="286"/>
    </row>
    <row r="302" spans="2:30" ht="11.25" hidden="1">
      <c r="B302" s="278"/>
      <c r="C302" s="278" t="s">
        <v>250</v>
      </c>
      <c r="D302" s="290">
        <f>D193+D253</f>
        <v>500</v>
      </c>
      <c r="E302" s="283">
        <v>2269</v>
      </c>
      <c r="F302" s="283"/>
      <c r="G302" s="286">
        <f aca="true" t="shared" si="92" ref="G302:L302">G193+G253</f>
        <v>0</v>
      </c>
      <c r="H302" s="286">
        <f t="shared" si="92"/>
        <v>0</v>
      </c>
      <c r="I302" s="286">
        <f t="shared" si="92"/>
        <v>0</v>
      </c>
      <c r="J302" s="286">
        <f t="shared" si="92"/>
        <v>300</v>
      </c>
      <c r="K302" s="286">
        <f t="shared" si="92"/>
        <v>0</v>
      </c>
      <c r="L302" s="286">
        <f t="shared" si="92"/>
        <v>200</v>
      </c>
      <c r="M302" s="286">
        <f>SUM(M27,M31,M45,M62:M63,M134:M137,M199,M203,M213,M222,M225:M227,M232,M234:M251,M254:M255,M257,M260:M266,M268:M270,M272,M279:M283)</f>
        <v>37462.73</v>
      </c>
      <c r="N302" s="286">
        <f aca="true" t="shared" si="93" ref="N302:AB302">N193+N253</f>
        <v>0</v>
      </c>
      <c r="O302" s="286">
        <f t="shared" si="93"/>
        <v>0</v>
      </c>
      <c r="P302" s="286">
        <f t="shared" si="93"/>
        <v>0</v>
      </c>
      <c r="Q302" s="286">
        <f t="shared" si="93"/>
        <v>0</v>
      </c>
      <c r="R302" s="286">
        <f t="shared" si="93"/>
        <v>0</v>
      </c>
      <c r="S302" s="289">
        <f t="shared" si="93"/>
        <v>550</v>
      </c>
      <c r="T302" s="286">
        <f t="shared" si="93"/>
        <v>0</v>
      </c>
      <c r="U302" s="286">
        <f t="shared" si="93"/>
        <v>0</v>
      </c>
      <c r="V302" s="286">
        <f t="shared" si="93"/>
        <v>0</v>
      </c>
      <c r="W302" s="286">
        <f t="shared" si="93"/>
        <v>0</v>
      </c>
      <c r="X302" s="286">
        <f t="shared" si="93"/>
        <v>0</v>
      </c>
      <c r="Y302" s="286">
        <f t="shared" si="93"/>
        <v>-50</v>
      </c>
      <c r="Z302" s="286">
        <f t="shared" si="93"/>
        <v>0</v>
      </c>
      <c r="AA302" s="286">
        <f t="shared" si="93"/>
        <v>0</v>
      </c>
      <c r="AB302" s="286">
        <f t="shared" si="93"/>
        <v>-50</v>
      </c>
      <c r="AD302" s="286"/>
    </row>
    <row r="303" spans="2:30" ht="11.25" hidden="1">
      <c r="B303" s="278"/>
      <c r="C303" s="278" t="s">
        <v>251</v>
      </c>
      <c r="D303" s="290">
        <f>SUM(D27,D31,D45,D62:D63,D134:D137,D199,D203,D213,D222,D225:D227,D232,D234:D251,D254:D255,D257,D260:D266,D268:D270,D272,D279:D284)</f>
        <v>202886</v>
      </c>
      <c r="E303" s="283">
        <v>2279</v>
      </c>
      <c r="F303" s="283"/>
      <c r="G303" s="286">
        <f aca="true" t="shared" si="94" ref="G303:L303">SUM(G27,G31,G45,G62:G63,G134:G137,G199,G203,G213,G222,G225:G227,G232,G234:G251,G254:G255,G257,G260:G266,G268:G270,G272,G279:G284)</f>
        <v>570</v>
      </c>
      <c r="H303" s="286">
        <f t="shared" si="94"/>
        <v>952.79</v>
      </c>
      <c r="I303" s="286">
        <f t="shared" si="94"/>
        <v>29078.05</v>
      </c>
      <c r="J303" s="286">
        <f t="shared" si="94"/>
        <v>49001.57</v>
      </c>
      <c r="K303" s="286">
        <f t="shared" si="94"/>
        <v>5307.35</v>
      </c>
      <c r="L303" s="286">
        <f t="shared" si="94"/>
        <v>4352.92</v>
      </c>
      <c r="M303" s="286">
        <f>M102</f>
        <v>0</v>
      </c>
      <c r="N303" s="286">
        <f aca="true" t="shared" si="95" ref="N303:AB303">SUM(N27,N31,N45,N62:N63,N134:N137,N199,N203,N213,N222,N225:N227,N232,N234:N251,N254:N255,N257,N260:N266,N268:N270,N272,N279:N284)</f>
        <v>0</v>
      </c>
      <c r="O303" s="286">
        <f t="shared" si="95"/>
        <v>0</v>
      </c>
      <c r="P303" s="286">
        <f t="shared" si="95"/>
        <v>0</v>
      </c>
      <c r="Q303" s="286">
        <f t="shared" si="95"/>
        <v>0</v>
      </c>
      <c r="R303" s="286">
        <f t="shared" si="95"/>
        <v>0</v>
      </c>
      <c r="S303" s="289">
        <f t="shared" si="95"/>
        <v>126725.41</v>
      </c>
      <c r="T303" s="286">
        <f t="shared" si="95"/>
        <v>0</v>
      </c>
      <c r="U303" s="286">
        <f t="shared" si="95"/>
        <v>0</v>
      </c>
      <c r="V303" s="286">
        <f t="shared" si="95"/>
        <v>0</v>
      </c>
      <c r="W303" s="286">
        <f t="shared" si="95"/>
        <v>0</v>
      </c>
      <c r="X303" s="286">
        <f t="shared" si="95"/>
        <v>0</v>
      </c>
      <c r="Y303" s="286">
        <f t="shared" si="95"/>
        <v>76160.59</v>
      </c>
      <c r="Z303" s="286">
        <f t="shared" si="95"/>
        <v>51060.84</v>
      </c>
      <c r="AA303" s="286">
        <f t="shared" si="95"/>
        <v>0</v>
      </c>
      <c r="AB303" s="286">
        <f t="shared" si="95"/>
        <v>25099.75</v>
      </c>
      <c r="AD303" s="286"/>
    </row>
    <row r="304" spans="2:30" ht="11.25" hidden="1">
      <c r="B304" s="278"/>
      <c r="C304" s="278" t="s">
        <v>69</v>
      </c>
      <c r="D304" s="290">
        <f>D102</f>
        <v>50</v>
      </c>
      <c r="E304" s="283">
        <v>2311</v>
      </c>
      <c r="F304" s="283"/>
      <c r="G304" s="286">
        <f>G102</f>
        <v>0</v>
      </c>
      <c r="H304" s="286">
        <f aca="true" t="shared" si="96" ref="H304:AB304">H102</f>
        <v>0</v>
      </c>
      <c r="I304" s="286">
        <f t="shared" si="96"/>
        <v>0</v>
      </c>
      <c r="J304" s="286">
        <f t="shared" si="96"/>
        <v>0</v>
      </c>
      <c r="K304" s="286">
        <f t="shared" si="96"/>
        <v>0</v>
      </c>
      <c r="L304" s="286">
        <f t="shared" si="96"/>
        <v>49.95</v>
      </c>
      <c r="M304" s="286">
        <f aca="true" t="shared" si="97" ref="H304:AB305">M286</f>
        <v>0</v>
      </c>
      <c r="N304" s="286">
        <f t="shared" si="96"/>
        <v>0</v>
      </c>
      <c r="O304" s="286">
        <f t="shared" si="96"/>
        <v>0</v>
      </c>
      <c r="P304" s="286">
        <f t="shared" si="96"/>
        <v>0</v>
      </c>
      <c r="Q304" s="286">
        <f t="shared" si="96"/>
        <v>0</v>
      </c>
      <c r="R304" s="286">
        <f t="shared" si="96"/>
        <v>0</v>
      </c>
      <c r="S304" s="289">
        <f t="shared" si="96"/>
        <v>49.95</v>
      </c>
      <c r="T304" s="286">
        <f t="shared" si="96"/>
        <v>0</v>
      </c>
      <c r="U304" s="286">
        <f t="shared" si="96"/>
        <v>0</v>
      </c>
      <c r="V304" s="286">
        <f t="shared" si="96"/>
        <v>0</v>
      </c>
      <c r="W304" s="286">
        <f t="shared" si="96"/>
        <v>0</v>
      </c>
      <c r="X304" s="286">
        <f t="shared" si="96"/>
        <v>0</v>
      </c>
      <c r="Y304" s="286">
        <f t="shared" si="96"/>
        <v>0.04999999999999716</v>
      </c>
      <c r="Z304" s="286">
        <f t="shared" si="96"/>
        <v>0.04999999999999716</v>
      </c>
      <c r="AA304" s="286">
        <f t="shared" si="96"/>
        <v>0</v>
      </c>
      <c r="AB304" s="286">
        <f t="shared" si="96"/>
        <v>0</v>
      </c>
      <c r="AD304" s="286"/>
    </row>
    <row r="305" spans="2:30" ht="11.25" hidden="1">
      <c r="B305" s="278"/>
      <c r="C305" s="278" t="s">
        <v>252</v>
      </c>
      <c r="D305" s="290">
        <f>D287</f>
        <v>439</v>
      </c>
      <c r="E305" s="283">
        <v>2312</v>
      </c>
      <c r="F305" s="283"/>
      <c r="G305" s="286">
        <f>G287</f>
        <v>0</v>
      </c>
      <c r="H305" s="286">
        <f t="shared" si="97"/>
        <v>0</v>
      </c>
      <c r="I305" s="286">
        <f t="shared" si="97"/>
        <v>428.86</v>
      </c>
      <c r="J305" s="286">
        <f t="shared" si="97"/>
        <v>0</v>
      </c>
      <c r="K305" s="286">
        <f t="shared" si="97"/>
        <v>0</v>
      </c>
      <c r="L305" s="286">
        <f t="shared" si="97"/>
        <v>0</v>
      </c>
      <c r="M305" s="286">
        <f>M36+M196</f>
        <v>0</v>
      </c>
      <c r="N305" s="286">
        <f t="shared" si="97"/>
        <v>0</v>
      </c>
      <c r="O305" s="286">
        <f t="shared" si="97"/>
        <v>0</v>
      </c>
      <c r="P305" s="286">
        <f t="shared" si="97"/>
        <v>0</v>
      </c>
      <c r="Q305" s="286">
        <f t="shared" si="97"/>
        <v>0</v>
      </c>
      <c r="R305" s="286">
        <f t="shared" si="97"/>
        <v>0</v>
      </c>
      <c r="S305" s="289">
        <f t="shared" si="97"/>
        <v>428.86</v>
      </c>
      <c r="T305" s="286">
        <f t="shared" si="97"/>
        <v>0</v>
      </c>
      <c r="U305" s="286">
        <f t="shared" si="97"/>
        <v>0</v>
      </c>
      <c r="V305" s="286">
        <f t="shared" si="97"/>
        <v>0</v>
      </c>
      <c r="W305" s="286">
        <f t="shared" si="97"/>
        <v>0</v>
      </c>
      <c r="X305" s="286">
        <f t="shared" si="97"/>
        <v>0</v>
      </c>
      <c r="Y305" s="286">
        <f t="shared" si="97"/>
        <v>10.139999999999986</v>
      </c>
      <c r="Z305" s="286">
        <f t="shared" si="97"/>
        <v>0</v>
      </c>
      <c r="AA305" s="286">
        <f t="shared" si="97"/>
        <v>0</v>
      </c>
      <c r="AB305" s="286">
        <f t="shared" si="97"/>
        <v>10.139999999999986</v>
      </c>
      <c r="AD305" s="286"/>
    </row>
    <row r="306" spans="2:30" ht="11.25" hidden="1">
      <c r="B306" s="278"/>
      <c r="C306" s="278" t="s">
        <v>253</v>
      </c>
      <c r="D306" s="290">
        <f>D36+D196</f>
        <v>40</v>
      </c>
      <c r="E306" s="283">
        <v>2341</v>
      </c>
      <c r="F306" s="283"/>
      <c r="G306" s="286">
        <f aca="true" t="shared" si="98" ref="G306:L306">G36+G196</f>
        <v>0</v>
      </c>
      <c r="H306" s="286">
        <f t="shared" si="98"/>
        <v>0</v>
      </c>
      <c r="I306" s="286">
        <f t="shared" si="98"/>
        <v>0</v>
      </c>
      <c r="J306" s="286">
        <f t="shared" si="98"/>
        <v>0</v>
      </c>
      <c r="K306" s="286">
        <f t="shared" si="98"/>
        <v>0</v>
      </c>
      <c r="L306" s="286">
        <f t="shared" si="98"/>
        <v>0</v>
      </c>
      <c r="M306" s="286">
        <f>M37+M101+M197</f>
        <v>0</v>
      </c>
      <c r="N306" s="286">
        <f aca="true" t="shared" si="99" ref="N306:AB306">N36+N196</f>
        <v>0</v>
      </c>
      <c r="O306" s="286">
        <f t="shared" si="99"/>
        <v>0</v>
      </c>
      <c r="P306" s="286">
        <f t="shared" si="99"/>
        <v>0</v>
      </c>
      <c r="Q306" s="286">
        <f t="shared" si="99"/>
        <v>0</v>
      </c>
      <c r="R306" s="286">
        <f t="shared" si="99"/>
        <v>0</v>
      </c>
      <c r="S306" s="289">
        <f t="shared" si="99"/>
        <v>0</v>
      </c>
      <c r="T306" s="286">
        <f t="shared" si="99"/>
        <v>0</v>
      </c>
      <c r="U306" s="286">
        <f t="shared" si="99"/>
        <v>0</v>
      </c>
      <c r="V306" s="286">
        <f t="shared" si="99"/>
        <v>0</v>
      </c>
      <c r="W306" s="286">
        <f t="shared" si="99"/>
        <v>0</v>
      </c>
      <c r="X306" s="286">
        <f t="shared" si="99"/>
        <v>0</v>
      </c>
      <c r="Y306" s="286">
        <f t="shared" si="99"/>
        <v>40</v>
      </c>
      <c r="Z306" s="286">
        <f t="shared" si="99"/>
        <v>0</v>
      </c>
      <c r="AA306" s="286">
        <f t="shared" si="99"/>
        <v>0</v>
      </c>
      <c r="AB306" s="286">
        <f t="shared" si="99"/>
        <v>40</v>
      </c>
      <c r="AD306" s="286"/>
    </row>
    <row r="307" spans="2:30" ht="11.25" hidden="1">
      <c r="B307" s="278"/>
      <c r="C307" s="278" t="s">
        <v>254</v>
      </c>
      <c r="D307" s="290">
        <f>D37+D101+D197</f>
        <v>440</v>
      </c>
      <c r="E307" s="283">
        <v>2352</v>
      </c>
      <c r="F307" s="283"/>
      <c r="G307" s="286">
        <f aca="true" t="shared" si="100" ref="G307:L307">G37+G101+G197</f>
        <v>0</v>
      </c>
      <c r="H307" s="286">
        <f t="shared" si="100"/>
        <v>0</v>
      </c>
      <c r="I307" s="286">
        <f t="shared" si="100"/>
        <v>0</v>
      </c>
      <c r="J307" s="286">
        <f t="shared" si="100"/>
        <v>0</v>
      </c>
      <c r="K307" s="286">
        <f t="shared" si="100"/>
        <v>0</v>
      </c>
      <c r="L307" s="286">
        <f t="shared" si="100"/>
        <v>346.75</v>
      </c>
      <c r="M307" s="286">
        <f>M19</f>
        <v>0</v>
      </c>
      <c r="N307" s="286">
        <f aca="true" t="shared" si="101" ref="N307:AB307">N37+N101+N197</f>
        <v>0</v>
      </c>
      <c r="O307" s="286">
        <f t="shared" si="101"/>
        <v>0</v>
      </c>
      <c r="P307" s="286">
        <f t="shared" si="101"/>
        <v>0</v>
      </c>
      <c r="Q307" s="286">
        <f t="shared" si="101"/>
        <v>0</v>
      </c>
      <c r="R307" s="286">
        <f t="shared" si="101"/>
        <v>0</v>
      </c>
      <c r="S307" s="289">
        <f t="shared" si="101"/>
        <v>346.75</v>
      </c>
      <c r="T307" s="286">
        <f t="shared" si="101"/>
        <v>0</v>
      </c>
      <c r="U307" s="286">
        <f t="shared" si="101"/>
        <v>0</v>
      </c>
      <c r="V307" s="286">
        <f t="shared" si="101"/>
        <v>0</v>
      </c>
      <c r="W307" s="286">
        <f t="shared" si="101"/>
        <v>0</v>
      </c>
      <c r="X307" s="286">
        <f t="shared" si="101"/>
        <v>0</v>
      </c>
      <c r="Y307" s="286">
        <f t="shared" si="101"/>
        <v>93.25</v>
      </c>
      <c r="Z307" s="286">
        <f t="shared" si="101"/>
        <v>93.25</v>
      </c>
      <c r="AA307" s="286">
        <f t="shared" si="101"/>
        <v>0</v>
      </c>
      <c r="AB307" s="286">
        <f t="shared" si="101"/>
        <v>0</v>
      </c>
      <c r="AD307" s="286"/>
    </row>
    <row r="308" spans="2:30" ht="11.25" hidden="1">
      <c r="B308" s="278"/>
      <c r="C308" s="278" t="s">
        <v>255</v>
      </c>
      <c r="D308" s="290">
        <f>D19</f>
        <v>4969</v>
      </c>
      <c r="E308" s="283">
        <v>2361</v>
      </c>
      <c r="F308" s="283"/>
      <c r="G308" s="286">
        <f>G19</f>
        <v>0</v>
      </c>
      <c r="H308" s="286">
        <f aca="true" t="shared" si="102" ref="H308:AB308">H19</f>
        <v>0</v>
      </c>
      <c r="I308" s="286">
        <f t="shared" si="102"/>
        <v>0</v>
      </c>
      <c r="J308" s="286">
        <f t="shared" si="102"/>
        <v>0</v>
      </c>
      <c r="K308" s="286">
        <f t="shared" si="102"/>
        <v>0</v>
      </c>
      <c r="L308" s="286">
        <f t="shared" si="102"/>
        <v>2484.29</v>
      </c>
      <c r="M308" s="286">
        <f>SUM(M229,M15)</f>
        <v>0</v>
      </c>
      <c r="N308" s="286">
        <f t="shared" si="102"/>
        <v>0</v>
      </c>
      <c r="O308" s="286">
        <f t="shared" si="102"/>
        <v>0</v>
      </c>
      <c r="P308" s="286">
        <f t="shared" si="102"/>
        <v>0</v>
      </c>
      <c r="Q308" s="286">
        <f t="shared" si="102"/>
        <v>0</v>
      </c>
      <c r="R308" s="286">
        <f t="shared" si="102"/>
        <v>0</v>
      </c>
      <c r="S308" s="289">
        <f t="shared" si="102"/>
        <v>2484.29</v>
      </c>
      <c r="T308" s="286">
        <f t="shared" si="102"/>
        <v>0</v>
      </c>
      <c r="U308" s="286">
        <f t="shared" si="102"/>
        <v>0</v>
      </c>
      <c r="V308" s="286">
        <f t="shared" si="102"/>
        <v>0</v>
      </c>
      <c r="W308" s="286">
        <f t="shared" si="102"/>
        <v>0</v>
      </c>
      <c r="X308" s="286">
        <f t="shared" si="102"/>
        <v>0</v>
      </c>
      <c r="Y308" s="286">
        <f t="shared" si="102"/>
        <v>2484.71</v>
      </c>
      <c r="Z308" s="286">
        <f t="shared" si="102"/>
        <v>2484.2799999999997</v>
      </c>
      <c r="AA308" s="286">
        <f t="shared" si="102"/>
        <v>0</v>
      </c>
      <c r="AB308" s="286">
        <f t="shared" si="102"/>
        <v>0.43000000000029104</v>
      </c>
      <c r="AD308" s="286"/>
    </row>
    <row r="309" spans="2:30" ht="11.25" hidden="1">
      <c r="B309" s="278"/>
      <c r="C309" s="278" t="s">
        <v>64</v>
      </c>
      <c r="D309" s="290">
        <f>SUM(D229,D15)</f>
        <v>5238</v>
      </c>
      <c r="E309" s="283">
        <v>2363</v>
      </c>
      <c r="F309" s="283"/>
      <c r="G309" s="286">
        <f aca="true" t="shared" si="103" ref="G309:L309">SUM(G229,G15)</f>
        <v>0</v>
      </c>
      <c r="H309" s="286">
        <f t="shared" si="103"/>
        <v>0</v>
      </c>
      <c r="I309" s="286">
        <f t="shared" si="103"/>
        <v>0</v>
      </c>
      <c r="J309" s="286">
        <f t="shared" si="103"/>
        <v>0</v>
      </c>
      <c r="K309" s="286">
        <f t="shared" si="103"/>
        <v>0</v>
      </c>
      <c r="L309" s="286">
        <f t="shared" si="103"/>
        <v>3443.1</v>
      </c>
      <c r="M309" s="286">
        <f>M20+M32+M40+M43+M44+M46+M50+M58+M65+M67+M74+M77+M78+M81+M83+M85+M88+M91+M93+M95+M98+M99+M103+M115+M121+M129+M146+M150+M152+M159+M163+M165+M168+M169+M172+M174+M177+M181+M186+M191+M201+M203+M206+M207+M208+M209+M210+M211+M214+M216+M218+M233+M271</f>
        <v>1344.97</v>
      </c>
      <c r="N309" s="286">
        <f aca="true" t="shared" si="104" ref="N309:AB309">SUM(N229,N15)</f>
        <v>0</v>
      </c>
      <c r="O309" s="286">
        <f t="shared" si="104"/>
        <v>0</v>
      </c>
      <c r="P309" s="286">
        <f t="shared" si="104"/>
        <v>0</v>
      </c>
      <c r="Q309" s="286">
        <f t="shared" si="104"/>
        <v>0</v>
      </c>
      <c r="R309" s="286">
        <f t="shared" si="104"/>
        <v>0</v>
      </c>
      <c r="S309" s="289">
        <f t="shared" si="104"/>
        <v>3443.1</v>
      </c>
      <c r="T309" s="286">
        <f t="shared" si="104"/>
        <v>0</v>
      </c>
      <c r="U309" s="286">
        <f t="shared" si="104"/>
        <v>0</v>
      </c>
      <c r="V309" s="286">
        <f t="shared" si="104"/>
        <v>0</v>
      </c>
      <c r="W309" s="286">
        <f t="shared" si="104"/>
        <v>0</v>
      </c>
      <c r="X309" s="286">
        <f t="shared" si="104"/>
        <v>0</v>
      </c>
      <c r="Y309" s="286">
        <f t="shared" si="104"/>
        <v>1794.9</v>
      </c>
      <c r="Z309" s="286">
        <f t="shared" si="104"/>
        <v>0</v>
      </c>
      <c r="AA309" s="286">
        <f t="shared" si="104"/>
        <v>0</v>
      </c>
      <c r="AB309" s="286">
        <f t="shared" si="104"/>
        <v>1794.9</v>
      </c>
      <c r="AD309" s="286"/>
    </row>
    <row r="310" spans="2:30" ht="11.25" hidden="1">
      <c r="B310" s="284">
        <f>17641-D310</f>
        <v>80</v>
      </c>
      <c r="C310" s="278" t="s">
        <v>68</v>
      </c>
      <c r="D310" s="288">
        <f>D20+D32+D40+D43+D44+D46+D50+D58+D65+D67+D74+D77+D78+D81+D83+D85+D88+D91+D93+D95+D98+D99+D103+D115+D121+D129+D145+D150+D152+D159+D163+D165+D168+D169+D172+D174+D177+D181+D186+D191+D201+D203+D206+D207+D208+D209+D210+D211+D214+D216+D218+D233+D271</f>
        <v>17561</v>
      </c>
      <c r="E310" s="283">
        <v>2390</v>
      </c>
      <c r="F310" s="283"/>
      <c r="G310" s="286">
        <f aca="true" t="shared" si="105" ref="G310:L310">G20+G32+G40+G43+G44+G46+G50+G58+G65+G67+G74+G77+G78+G81+G83+G85+G88+G91+G93+G95+G98+G99+G103+G115+G121+G129+G145+G150+G152+G159+G163+G165+G168+G169+G172+G174+G177+G181+G186+G191+G201+G203+G206+G207+G208+G209+G210+G211+G214+G216+G218+G233+G271</f>
        <v>200</v>
      </c>
      <c r="H310" s="286">
        <f t="shared" si="105"/>
        <v>1506.07</v>
      </c>
      <c r="I310" s="286">
        <f t="shared" si="105"/>
        <v>662.3</v>
      </c>
      <c r="J310" s="286">
        <f t="shared" si="105"/>
        <v>1060.67</v>
      </c>
      <c r="K310" s="286">
        <f t="shared" si="105"/>
        <v>1611.44</v>
      </c>
      <c r="L310" s="286">
        <f t="shared" si="105"/>
        <v>1400.3799999999999</v>
      </c>
      <c r="M310" s="286">
        <f aca="true" t="shared" si="106" ref="H310:AB311">M287</f>
        <v>0</v>
      </c>
      <c r="N310" s="286">
        <f aca="true" t="shared" si="107" ref="N310:AB310">N20+N32+N40+N43+N44+N46+N50+N58+N65+N67+N74+N77+N78+N81+N83+N85+N88+N91+N93+N95+N98+N99+N103+N115+N121+N129+N145+N150+N152+N159+N163+N165+N168+N169+N172+N174+N177+N181+N186+N191+N201+N203+N206+N207+N208+N209+N210+N211+N214+N216+N218+N233+N271</f>
        <v>0</v>
      </c>
      <c r="O310" s="286">
        <f t="shared" si="107"/>
        <v>0</v>
      </c>
      <c r="P310" s="286">
        <f t="shared" si="107"/>
        <v>0</v>
      </c>
      <c r="Q310" s="286">
        <f t="shared" si="107"/>
        <v>0</v>
      </c>
      <c r="R310" s="286">
        <f t="shared" si="107"/>
        <v>0</v>
      </c>
      <c r="S310" s="289">
        <f t="shared" si="107"/>
        <v>7785.62</v>
      </c>
      <c r="T310" s="286">
        <f t="shared" si="107"/>
        <v>0</v>
      </c>
      <c r="U310" s="286">
        <f t="shared" si="107"/>
        <v>0</v>
      </c>
      <c r="V310" s="286">
        <f t="shared" si="107"/>
        <v>0</v>
      </c>
      <c r="W310" s="286">
        <f t="shared" si="107"/>
        <v>0</v>
      </c>
      <c r="X310" s="286">
        <f t="shared" si="107"/>
        <v>0</v>
      </c>
      <c r="Y310" s="286">
        <f t="shared" si="107"/>
        <v>9775.38</v>
      </c>
      <c r="Z310" s="286">
        <f t="shared" si="107"/>
        <v>200</v>
      </c>
      <c r="AA310" s="286">
        <f t="shared" si="107"/>
        <v>0</v>
      </c>
      <c r="AB310" s="286">
        <f t="shared" si="107"/>
        <v>9575.38</v>
      </c>
      <c r="AD310" s="286"/>
    </row>
    <row r="311" spans="2:30" ht="11.25" hidden="1">
      <c r="B311" s="278"/>
      <c r="C311" s="278" t="s">
        <v>256</v>
      </c>
      <c r="D311" s="290">
        <f>D288</f>
        <v>1549</v>
      </c>
      <c r="E311" s="283">
        <v>5232</v>
      </c>
      <c r="F311" s="283"/>
      <c r="G311" s="286">
        <f>G288</f>
        <v>0</v>
      </c>
      <c r="H311" s="286">
        <f t="shared" si="106"/>
        <v>0</v>
      </c>
      <c r="I311" s="286">
        <f t="shared" si="106"/>
        <v>0</v>
      </c>
      <c r="J311" s="286">
        <f t="shared" si="106"/>
        <v>0</v>
      </c>
      <c r="K311" s="286">
        <f t="shared" si="106"/>
        <v>1548.8</v>
      </c>
      <c r="L311" s="286">
        <f t="shared" si="106"/>
        <v>0</v>
      </c>
      <c r="M311" s="286">
        <f>M277</f>
        <v>0</v>
      </c>
      <c r="N311" s="286">
        <f t="shared" si="106"/>
        <v>0</v>
      </c>
      <c r="O311" s="286">
        <f t="shared" si="106"/>
        <v>0</v>
      </c>
      <c r="P311" s="286">
        <f t="shared" si="106"/>
        <v>0</v>
      </c>
      <c r="Q311" s="286">
        <f t="shared" si="106"/>
        <v>0</v>
      </c>
      <c r="R311" s="286">
        <f t="shared" si="106"/>
        <v>0</v>
      </c>
      <c r="S311" s="289">
        <f t="shared" si="106"/>
        <v>1548.8</v>
      </c>
      <c r="T311" s="286">
        <f t="shared" si="106"/>
        <v>0</v>
      </c>
      <c r="U311" s="286">
        <f t="shared" si="106"/>
        <v>0</v>
      </c>
      <c r="V311" s="286">
        <f t="shared" si="106"/>
        <v>0</v>
      </c>
      <c r="W311" s="286">
        <f t="shared" si="106"/>
        <v>0</v>
      </c>
      <c r="X311" s="286">
        <f t="shared" si="106"/>
        <v>0</v>
      </c>
      <c r="Y311" s="286">
        <f t="shared" si="106"/>
        <v>0.20000000000004547</v>
      </c>
      <c r="Z311" s="286">
        <f t="shared" si="106"/>
        <v>0</v>
      </c>
      <c r="AA311" s="286">
        <f t="shared" si="106"/>
        <v>0</v>
      </c>
      <c r="AB311" s="286">
        <f t="shared" si="106"/>
        <v>0.20000000000004547</v>
      </c>
      <c r="AD311" s="286"/>
    </row>
    <row r="312" spans="2:30" ht="11.25" hidden="1">
      <c r="B312" s="278"/>
      <c r="C312" s="278" t="s">
        <v>257</v>
      </c>
      <c r="D312" s="290">
        <f>D277</f>
        <v>1480</v>
      </c>
      <c r="E312" s="283">
        <v>6470</v>
      </c>
      <c r="F312" s="283"/>
      <c r="G312" s="286">
        <f>G277</f>
        <v>0</v>
      </c>
      <c r="H312" s="286">
        <f aca="true" t="shared" si="108" ref="H312:AB312">H277</f>
        <v>0</v>
      </c>
      <c r="I312" s="286">
        <f t="shared" si="108"/>
        <v>0</v>
      </c>
      <c r="J312" s="286">
        <f t="shared" si="108"/>
        <v>0</v>
      </c>
      <c r="K312" s="286">
        <f t="shared" si="108"/>
        <v>0</v>
      </c>
      <c r="L312" s="286">
        <f t="shared" si="108"/>
        <v>0</v>
      </c>
      <c r="M312" s="291">
        <f aca="true" t="shared" si="109" ref="G312:Z313">SUM(M296:M309)</f>
        <v>42386.700000000004</v>
      </c>
      <c r="N312" s="286">
        <f t="shared" si="108"/>
        <v>0</v>
      </c>
      <c r="O312" s="286">
        <f t="shared" si="108"/>
        <v>0</v>
      </c>
      <c r="P312" s="286">
        <f t="shared" si="108"/>
        <v>0</v>
      </c>
      <c r="Q312" s="286">
        <f t="shared" si="108"/>
        <v>0</v>
      </c>
      <c r="R312" s="286">
        <f t="shared" si="108"/>
        <v>0</v>
      </c>
      <c r="S312" s="289">
        <f t="shared" si="108"/>
        <v>0</v>
      </c>
      <c r="T312" s="286">
        <f t="shared" si="108"/>
        <v>0</v>
      </c>
      <c r="U312" s="286">
        <f t="shared" si="108"/>
        <v>0</v>
      </c>
      <c r="V312" s="286">
        <f t="shared" si="108"/>
        <v>0</v>
      </c>
      <c r="W312" s="286">
        <f t="shared" si="108"/>
        <v>0</v>
      </c>
      <c r="X312" s="286">
        <f t="shared" si="108"/>
        <v>0</v>
      </c>
      <c r="Y312" s="286">
        <f t="shared" si="108"/>
        <v>1480</v>
      </c>
      <c r="Z312" s="286">
        <f t="shared" si="108"/>
        <v>0</v>
      </c>
      <c r="AA312" s="286">
        <f t="shared" si="108"/>
        <v>0</v>
      </c>
      <c r="AB312" s="286">
        <f t="shared" si="108"/>
        <v>1480</v>
      </c>
      <c r="AD312" s="286"/>
    </row>
    <row r="313" spans="2:30" ht="11.25" hidden="1">
      <c r="B313" s="278"/>
      <c r="C313" s="292" t="s">
        <v>258</v>
      </c>
      <c r="D313" s="293">
        <f>SUM(D297:D312)</f>
        <v>273759</v>
      </c>
      <c r="E313" s="294"/>
      <c r="F313" s="294"/>
      <c r="G313" s="291">
        <f t="shared" si="109"/>
        <v>770</v>
      </c>
      <c r="H313" s="291">
        <f t="shared" si="109"/>
        <v>4023.49</v>
      </c>
      <c r="I313" s="291">
        <f t="shared" si="109"/>
        <v>31675.19</v>
      </c>
      <c r="J313" s="291">
        <f t="shared" si="109"/>
        <v>55686.75</v>
      </c>
      <c r="K313" s="291">
        <f t="shared" si="109"/>
        <v>7949.9400000000005</v>
      </c>
      <c r="L313" s="291">
        <f t="shared" si="109"/>
        <v>17938.52</v>
      </c>
      <c r="N313" s="291">
        <f t="shared" si="109"/>
        <v>300</v>
      </c>
      <c r="O313" s="291">
        <f t="shared" si="109"/>
        <v>0</v>
      </c>
      <c r="P313" s="291">
        <f t="shared" si="109"/>
        <v>0</v>
      </c>
      <c r="Q313" s="291">
        <f t="shared" si="109"/>
        <v>0</v>
      </c>
      <c r="R313" s="291">
        <f t="shared" si="109"/>
        <v>0</v>
      </c>
      <c r="S313" s="295">
        <f t="shared" si="109"/>
        <v>161040.38</v>
      </c>
      <c r="T313" s="291">
        <f t="shared" si="109"/>
        <v>0</v>
      </c>
      <c r="U313" s="291">
        <f t="shared" si="109"/>
        <v>0</v>
      </c>
      <c r="V313" s="291">
        <f t="shared" si="109"/>
        <v>0</v>
      </c>
      <c r="W313" s="291">
        <f t="shared" si="109"/>
        <v>0</v>
      </c>
      <c r="X313" s="291">
        <f t="shared" si="109"/>
        <v>0</v>
      </c>
      <c r="Y313" s="296">
        <f t="shared" si="109"/>
        <v>114289.62000000001</v>
      </c>
      <c r="Z313" s="296">
        <f t="shared" si="109"/>
        <v>54321.88</v>
      </c>
      <c r="AA313" s="297"/>
      <c r="AB313" s="296">
        <f>SUM(AB297:AB310)</f>
        <v>59967.74</v>
      </c>
      <c r="AD313" s="296"/>
    </row>
    <row r="314" spans="2:9" ht="12.75" customHeight="1" hidden="1">
      <c r="B314" s="278"/>
      <c r="C314" s="278"/>
      <c r="D314" s="274">
        <f>'[1]08.120'!$E$21-D313</f>
        <v>-222</v>
      </c>
      <c r="E314" s="275"/>
      <c r="F314" s="298"/>
      <c r="G314" s="277"/>
      <c r="H314" s="277"/>
      <c r="I314" s="277"/>
    </row>
    <row r="315" ht="12.75" customHeight="1">
      <c r="D315" s="299"/>
    </row>
    <row r="316" ht="12.75" customHeight="1"/>
    <row r="317" ht="12.75" customHeight="1"/>
    <row r="318" ht="12.75" customHeight="1"/>
    <row r="319" ht="12.75" customHeight="1">
      <c r="J319" s="34">
        <v>46.02</v>
      </c>
    </row>
    <row r="320" ht="12.75" customHeight="1">
      <c r="J320" s="34">
        <v>107.51</v>
      </c>
    </row>
    <row r="321" ht="12.75" customHeight="1">
      <c r="J321" s="34">
        <v>18.51</v>
      </c>
    </row>
    <row r="322" ht="12.75" customHeight="1">
      <c r="J322" s="34">
        <v>16.5</v>
      </c>
    </row>
    <row r="323" ht="12.75" customHeight="1">
      <c r="J323" s="34">
        <v>89.42</v>
      </c>
    </row>
    <row r="324" ht="12.75" customHeight="1">
      <c r="J324" s="34">
        <f>SUM(J319:J323)</f>
        <v>277.96</v>
      </c>
    </row>
    <row r="325" ht="12.75" customHeight="1"/>
    <row r="326" ht="12.75" customHeight="1"/>
    <row r="327" ht="12.75" customHeight="1" hidden="1"/>
    <row r="328" ht="11.25" hidden="1">
      <c r="M328" s="286">
        <f aca="true" t="shared" si="110" ref="G328:AB329">M289</f>
        <v>0</v>
      </c>
    </row>
    <row r="329" spans="3:30" ht="11.25" hidden="1">
      <c r="C329" s="282" t="s">
        <v>239</v>
      </c>
      <c r="D329" s="300">
        <f>D290</f>
        <v>2700</v>
      </c>
      <c r="E329" s="283">
        <v>2239</v>
      </c>
      <c r="F329" s="54"/>
      <c r="G329" s="286">
        <f t="shared" si="110"/>
        <v>0</v>
      </c>
      <c r="H329" s="286">
        <f t="shared" si="110"/>
        <v>0</v>
      </c>
      <c r="I329" s="286">
        <f t="shared" si="110"/>
        <v>0</v>
      </c>
      <c r="J329" s="286">
        <f t="shared" si="110"/>
        <v>0</v>
      </c>
      <c r="K329" s="286">
        <f t="shared" si="110"/>
        <v>0</v>
      </c>
      <c r="L329" s="286">
        <f t="shared" si="110"/>
        <v>0</v>
      </c>
      <c r="N329" s="286">
        <f t="shared" si="110"/>
        <v>0</v>
      </c>
      <c r="O329" s="286">
        <f t="shared" si="110"/>
        <v>0</v>
      </c>
      <c r="P329" s="286">
        <f t="shared" si="110"/>
        <v>0</v>
      </c>
      <c r="Q329" s="286">
        <f t="shared" si="110"/>
        <v>0</v>
      </c>
      <c r="R329" s="286">
        <f t="shared" si="110"/>
        <v>0</v>
      </c>
      <c r="S329" s="286">
        <f t="shared" si="110"/>
        <v>0</v>
      </c>
      <c r="T329" s="286">
        <f t="shared" si="110"/>
        <v>0</v>
      </c>
      <c r="U329" s="286">
        <f t="shared" si="110"/>
        <v>0</v>
      </c>
      <c r="V329" s="286">
        <f t="shared" si="110"/>
        <v>0</v>
      </c>
      <c r="W329" s="286">
        <f t="shared" si="110"/>
        <v>0</v>
      </c>
      <c r="X329" s="286">
        <f t="shared" si="110"/>
        <v>0</v>
      </c>
      <c r="Y329" s="171">
        <f t="shared" si="110"/>
        <v>2700</v>
      </c>
      <c r="Z329" s="171">
        <f t="shared" si="110"/>
        <v>0</v>
      </c>
      <c r="AA329" s="171">
        <f t="shared" si="110"/>
        <v>0</v>
      </c>
      <c r="AB329" s="171">
        <f t="shared" si="110"/>
        <v>2700</v>
      </c>
      <c r="AD329" s="171"/>
    </row>
    <row r="330" ht="11.25" hidden="1"/>
    <row r="331" ht="11.25" hidden="1"/>
    <row r="332" ht="11.25"/>
    <row r="333" ht="12.75" customHeight="1"/>
    <row r="334" ht="12.75" customHeight="1"/>
    <row r="335" ht="12.75" customHeight="1"/>
    <row r="336" ht="11.25"/>
    <row r="337" ht="12.75" customHeight="1"/>
    <row r="338" ht="12.75" customHeight="1"/>
    <row r="339" ht="12.75" customHeight="1"/>
    <row r="340" ht="22.5" customHeight="1" hidden="1"/>
    <row r="341" ht="22.5" customHeight="1" hidden="1"/>
    <row r="342" ht="12.75" customHeight="1"/>
    <row r="343" ht="12.75" customHeight="1" hidden="1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</sheetData>
  <mergeCells count="198">
    <mergeCell ref="AD16:AD17"/>
    <mergeCell ref="D8:E10"/>
    <mergeCell ref="F8:F10"/>
    <mergeCell ref="S9:S10"/>
    <mergeCell ref="G9:R9"/>
    <mergeCell ref="S16:S17"/>
    <mergeCell ref="Y16:Y17"/>
    <mergeCell ref="AB16:AB17"/>
    <mergeCell ref="G8:S8"/>
    <mergeCell ref="F14:F19"/>
    <mergeCell ref="F40:F41"/>
    <mergeCell ref="F30:F38"/>
    <mergeCell ref="F20:F26"/>
    <mergeCell ref="F70:F74"/>
    <mergeCell ref="F67:F69"/>
    <mergeCell ref="F57:F60"/>
    <mergeCell ref="F42:F43"/>
    <mergeCell ref="F44:F45"/>
    <mergeCell ref="F46:F47"/>
    <mergeCell ref="AM13:AO13"/>
    <mergeCell ref="AM23:AO23"/>
    <mergeCell ref="AM8:AO8"/>
    <mergeCell ref="AM10:AO10"/>
    <mergeCell ref="AM11:AO11"/>
    <mergeCell ref="AM12:AO12"/>
    <mergeCell ref="AM5:AO5"/>
    <mergeCell ref="AM6:AO6"/>
    <mergeCell ref="AM7:AO7"/>
    <mergeCell ref="AD8:AD10"/>
    <mergeCell ref="F267:F268"/>
    <mergeCell ref="F255:F256"/>
    <mergeCell ref="F252:F254"/>
    <mergeCell ref="F188:F189"/>
    <mergeCell ref="F214:F215"/>
    <mergeCell ref="F193:F197"/>
    <mergeCell ref="F200:F202"/>
    <mergeCell ref="F216:F217"/>
    <mergeCell ref="F236:F237"/>
    <mergeCell ref="F228:F233"/>
    <mergeCell ref="F159:F160"/>
    <mergeCell ref="F165:F166"/>
    <mergeCell ref="F49:F53"/>
    <mergeCell ref="F78:F79"/>
    <mergeCell ref="F101:F103"/>
    <mergeCell ref="F129:F130"/>
    <mergeCell ref="F124:F126"/>
    <mergeCell ref="F80:F81"/>
    <mergeCell ref="F114:F118"/>
    <mergeCell ref="F76:F77"/>
    <mergeCell ref="F152:F153"/>
    <mergeCell ref="F138:F140"/>
    <mergeCell ref="C138:C140"/>
    <mergeCell ref="C141:C143"/>
    <mergeCell ref="C91:C92"/>
    <mergeCell ref="C152:C153"/>
    <mergeCell ref="C145:C146"/>
    <mergeCell ref="C95:C96"/>
    <mergeCell ref="C129:C130"/>
    <mergeCell ref="C114:C118"/>
    <mergeCell ref="C101:C103"/>
    <mergeCell ref="C124:C126"/>
    <mergeCell ref="C119:C123"/>
    <mergeCell ref="B270:B271"/>
    <mergeCell ref="F54:F56"/>
    <mergeCell ref="C270:C271"/>
    <mergeCell ref="C181:C183"/>
    <mergeCell ref="C169:C171"/>
    <mergeCell ref="C161:C163"/>
    <mergeCell ref="C57:C60"/>
    <mergeCell ref="C67:C69"/>
    <mergeCell ref="C78:C79"/>
    <mergeCell ref="C165:C166"/>
    <mergeCell ref="C46:C47"/>
    <mergeCell ref="B82:B83"/>
    <mergeCell ref="B70:B74"/>
    <mergeCell ref="C70:C74"/>
    <mergeCell ref="B76:B77"/>
    <mergeCell ref="C76:C77"/>
    <mergeCell ref="C82:C83"/>
    <mergeCell ref="B78:B79"/>
    <mergeCell ref="B80:B81"/>
    <mergeCell ref="C80:C81"/>
    <mergeCell ref="C8:C10"/>
    <mergeCell ref="F270:F271"/>
    <mergeCell ref="B30:B38"/>
    <mergeCell ref="C30:C38"/>
    <mergeCell ref="B267:B268"/>
    <mergeCell ref="C267:C268"/>
    <mergeCell ref="B236:B237"/>
    <mergeCell ref="C236:C237"/>
    <mergeCell ref="B40:B41"/>
    <mergeCell ref="B46:B47"/>
    <mergeCell ref="B67:B69"/>
    <mergeCell ref="B49:B53"/>
    <mergeCell ref="C49:C53"/>
    <mergeCell ref="B57:B60"/>
    <mergeCell ref="B54:B56"/>
    <mergeCell ref="C54:C56"/>
    <mergeCell ref="B101:B103"/>
    <mergeCell ref="B114:B118"/>
    <mergeCell ref="B84:B87"/>
    <mergeCell ref="C84:C87"/>
    <mergeCell ref="B88:B89"/>
    <mergeCell ref="C88:C89"/>
    <mergeCell ref="B93:B94"/>
    <mergeCell ref="C93:C94"/>
    <mergeCell ref="B91:B92"/>
    <mergeCell ref="B95:B96"/>
    <mergeCell ref="B129:B130"/>
    <mergeCell ref="C174:C176"/>
    <mergeCell ref="B124:B126"/>
    <mergeCell ref="B119:B123"/>
    <mergeCell ref="B138:B140"/>
    <mergeCell ref="B141:B143"/>
    <mergeCell ref="C172:C173"/>
    <mergeCell ref="C159:C160"/>
    <mergeCell ref="B191:B192"/>
    <mergeCell ref="C191:C192"/>
    <mergeCell ref="B193:B197"/>
    <mergeCell ref="B145:B146"/>
    <mergeCell ref="C150:C151"/>
    <mergeCell ref="C193:C197"/>
    <mergeCell ref="B181:B183"/>
    <mergeCell ref="B188:B189"/>
    <mergeCell ref="B177:B179"/>
    <mergeCell ref="B165:B166"/>
    <mergeCell ref="F82:F83"/>
    <mergeCell ref="B174:B176"/>
    <mergeCell ref="B150:B151"/>
    <mergeCell ref="B152:B153"/>
    <mergeCell ref="B172:B173"/>
    <mergeCell ref="B159:B160"/>
    <mergeCell ref="B169:B171"/>
    <mergeCell ref="B161:B163"/>
    <mergeCell ref="F141:F143"/>
    <mergeCell ref="F145:F146"/>
    <mergeCell ref="B44:B45"/>
    <mergeCell ref="C44:C45"/>
    <mergeCell ref="C40:C41"/>
    <mergeCell ref="B42:B43"/>
    <mergeCell ref="C42:C43"/>
    <mergeCell ref="D16:D17"/>
    <mergeCell ref="E16:E17"/>
    <mergeCell ref="B20:B26"/>
    <mergeCell ref="Z8:Z10"/>
    <mergeCell ref="Y8:Y10"/>
    <mergeCell ref="C20:C26"/>
    <mergeCell ref="B11:C11"/>
    <mergeCell ref="B14:B19"/>
    <mergeCell ref="C14:C19"/>
    <mergeCell ref="B8:B10"/>
    <mergeCell ref="AB8:AB10"/>
    <mergeCell ref="T8:T10"/>
    <mergeCell ref="AB245:AB247"/>
    <mergeCell ref="AB243:AB244"/>
    <mergeCell ref="Y243:Y244"/>
    <mergeCell ref="F174:F176"/>
    <mergeCell ref="F161:F163"/>
    <mergeCell ref="F169:F171"/>
    <mergeCell ref="F177:F179"/>
    <mergeCell ref="F172:F173"/>
    <mergeCell ref="F243:F247"/>
    <mergeCell ref="D243:D244"/>
    <mergeCell ref="F181:F183"/>
    <mergeCell ref="F191:F192"/>
    <mergeCell ref="F84:F87"/>
    <mergeCell ref="F88:F89"/>
    <mergeCell ref="F150:F151"/>
    <mergeCell ref="F93:F94"/>
    <mergeCell ref="F95:F96"/>
    <mergeCell ref="F91:F92"/>
    <mergeCell ref="F119:F123"/>
    <mergeCell ref="B258:B259"/>
    <mergeCell ref="C258:C259"/>
    <mergeCell ref="E243:E244"/>
    <mergeCell ref="B255:B256"/>
    <mergeCell ref="C252:C254"/>
    <mergeCell ref="B252:B254"/>
    <mergeCell ref="C255:C256"/>
    <mergeCell ref="D245:D247"/>
    <mergeCell ref="E245:E247"/>
    <mergeCell ref="C243:C247"/>
    <mergeCell ref="B200:B202"/>
    <mergeCell ref="B228:B233"/>
    <mergeCell ref="C228:C233"/>
    <mergeCell ref="C214:C215"/>
    <mergeCell ref="C216:C217"/>
    <mergeCell ref="C200:C202"/>
    <mergeCell ref="C188:C189"/>
    <mergeCell ref="Y245:Y247"/>
    <mergeCell ref="B216:B217"/>
    <mergeCell ref="C177:C179"/>
    <mergeCell ref="B218:B219"/>
    <mergeCell ref="C218:C219"/>
    <mergeCell ref="F218:F219"/>
    <mergeCell ref="B224:C224"/>
    <mergeCell ref="B243:B247"/>
    <mergeCell ref="B214:B215"/>
  </mergeCells>
  <hyperlinks>
    <hyperlink ref="AH4" r:id="rId1" display="1.1-16.4.3/1229"/>
    <hyperlink ref="AH7" r:id="rId2" display="1.1-16.4.1/828"/>
    <hyperlink ref="AH8" r:id="rId3" display="1.1-16.4.1/245"/>
    <hyperlink ref="AH6" r:id="rId4" display="1.1-16.4.1/248"/>
    <hyperlink ref="AH5" r:id="rId5" display="1.1-16.4.3/266"/>
    <hyperlink ref="AH10" r:id="rId6" display="1.1-16.4.3/294"/>
    <hyperlink ref="AH3" r:id="rId7" display="1.1-16.4.3/714"/>
  </hyperlinks>
  <printOptions horizontalCentered="1"/>
  <pageMargins left="1.3779527559055118" right="0.2362204724409449" top="0.7874015748031497" bottom="0.5905511811023623" header="0.11811023622047245" footer="0.11811023622047245"/>
  <pageSetup horizontalDpi="600" verticalDpi="600" orientation="portrait" paperSize="9" scale="80" r:id="rId10"/>
  <headerFooter alignWithMargins="0">
    <oddFooter>&amp;R&amp;P</oddFooter>
  </headerFooter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2009-08-14T13:09:07Z</cp:lastPrinted>
  <dcterms:created xsi:type="dcterms:W3CDTF">2009-08-06T10:37:03Z</dcterms:created>
  <dcterms:modified xsi:type="dcterms:W3CDTF">2009-08-14T13:09:08Z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