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16.pielikums" sheetId="1" r:id="rId1"/>
  </sheets>
  <definedNames>
    <definedName name="_xlnm.Print_Area" localSheetId="0">'16.pielikums'!$A$1:$V$79</definedName>
  </definedNames>
  <calcPr fullCalcOnLoad="1"/>
</workbook>
</file>

<file path=xl/comments1.xml><?xml version="1.0" encoding="utf-8"?>
<comments xmlns="http://schemas.openxmlformats.org/spreadsheetml/2006/main">
  <authors>
    <author>JPD</author>
    <author>arita.moroza</author>
    <author> JPD</author>
  </authors>
  <commentList>
    <comment ref="R55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0"/>
            <rFont val="Tahoma"/>
            <family val="2"/>
          </rPr>
          <t>639.25</t>
        </r>
        <r>
          <rPr>
            <sz val="8"/>
            <rFont val="Tahoma"/>
            <family val="0"/>
          </rPr>
          <t xml:space="preserve"> - 2008.gada sam.summa</t>
        </r>
      </text>
    </comment>
    <comment ref="R23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Monētas piegāde:
Summām līdz LVL 500 = LVL 1.18 (Ieskaitot PVN)
LVL 501-LVL 1200 = LVL 2.36 (Ieskaitot PVN)
LVL 1201-LVL 2500 = LVL 3.54 (Ieskaitot PVN)</t>
        </r>
      </text>
    </comment>
    <comment ref="R57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240.53-2008.gada izpilde
</t>
        </r>
      </text>
    </comment>
    <comment ref="R32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Kopēja līguma summa=8136+pvn
2008. gadā samaksāts 798.53+pvn=942.27
līguma atlikums=7337.47+pvn 
2009. gadā par 1.mēnesī 226+pvn=273.46</t>
        </r>
      </text>
    </comment>
    <comment ref="R46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Termiņš līdz 11.02.2010
Ikmenēša maksājums 3661.56 (PVN likme 18%)</t>
        </r>
      </text>
    </comment>
    <comment ref="R67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1) Tenerella art. 220=0.89Ls bez PVN
2) Tenerella art.703=0.24Ls bez PVN
3) Euroline art. 1582=0.15Ls bez PVN
4) Art. 316330=0.68Ls bez PVN
5) Euro Unico art. 401687=1.18Ls bez PVN
6) Tenerella art. 100C=3.67Ls bez PVN</t>
        </r>
      </text>
    </comment>
    <comment ref="R54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līgums=8115+pvn
2008.g.=4673.17+18%=5514.34
2009.g.=3441.83+21%=4164.62
Navigator=1.82+pvn
Pioner=1.79+pvn</t>
        </r>
      </text>
    </comment>
    <comment ref="R56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544.27 - 2008. gada summa
51.68-2008.gada inventārs</t>
        </r>
      </text>
    </comment>
    <comment ref="R21" authorId="1">
      <text>
        <r>
          <rPr>
            <b/>
            <sz val="8"/>
            <rFont val="Tahoma"/>
            <family val="0"/>
          </rPr>
          <t>arita.moroza: dalīts ar posteņiem</t>
        </r>
        <r>
          <rPr>
            <sz val="8"/>
            <rFont val="Tahoma"/>
            <family val="0"/>
          </rPr>
          <t xml:space="preserve">
līgumā=2826.36+pvn
2008.g.=1234.25+5%
2009.g=1592.11+21%= 1926.45</t>
        </r>
      </text>
    </comment>
    <comment ref="R51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līgumsumma ievadīta pie 2239</t>
        </r>
      </text>
    </comment>
    <comment ref="R24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Līgumsumma=1990+pvn
par 2008.g.=397.92+18%=469.54
2009.g.=1592.08+21%=1926.42
SUMMA DALĪTA AR EKK 2262</t>
        </r>
      </text>
    </comment>
    <comment ref="R42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25.43+pvn mēnesī
+3+pvn Ls par h izsaukumos</t>
        </r>
      </text>
    </comment>
    <comment ref="R33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2.71+pvn (110X200)
1* nedēļā</t>
        </r>
      </text>
    </comment>
    <comment ref="R34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6.57+pvn (150X250)
3.82+pvn (85X150) 1*nedēļā</t>
        </r>
      </text>
    </comment>
    <comment ref="R35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6.71+pvn (110X200)
6+pvn (22MP)</t>
        </r>
      </text>
    </comment>
    <comment ref="R36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2.71+pvn (85X240) 1*nedēļā</t>
        </r>
      </text>
    </comment>
    <comment ref="R48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par 10 mēnešiem (par I un II samaksāts 2008. gadā)</t>
        </r>
      </text>
    </comment>
    <comment ref="R38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0.37 m2 mēnesī
~700 Ls gadā</t>
        </r>
      </text>
    </comment>
    <comment ref="R68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max līgumcena=1500+pvn
2008.gadā izt.1295.64+pvn
2009.g.=204.36+21%=247.28</t>
        </r>
      </text>
    </comment>
    <comment ref="R29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1 X gadā</t>
        </r>
      </text>
    </comment>
    <comment ref="R47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302.47+pvn Nomas cena
58.50+pvn apdrošināšana</t>
        </r>
      </text>
    </comment>
    <comment ref="I26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88=+1500</t>
        </r>
      </text>
    </comment>
    <comment ref="R31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max līgums=3150+pvn
2008.g=1622.03+18%=1914.00
2009.gadam=1527.97+21%=1848.84
vienība 0.525 m2</t>
        </r>
      </text>
    </comment>
    <comment ref="R40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96.80 mēnesī
+iekārtu remonts</t>
        </r>
      </text>
    </comment>
    <comment ref="R37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59.78 +21 %=72.33 par 4 nedēļām par visām adresēm</t>
        </r>
      </text>
    </comment>
    <comment ref="L60" authorId="0">
      <text>
        <r>
          <rPr>
            <b/>
            <sz val="8"/>
            <rFont val="Tahoma"/>
            <family val="0"/>
          </rPr>
          <t>JPD:</t>
        </r>
        <r>
          <rPr>
            <sz val="8"/>
            <rFont val="Tahoma"/>
            <family val="0"/>
          </rPr>
          <t xml:space="preserve">
Ls 35.22
spiedogi, gumijas klišeja, ieliknis</t>
        </r>
      </text>
    </comment>
    <comment ref="J21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109=-699</t>
        </r>
      </text>
    </comment>
    <comment ref="J52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109=-4083</t>
        </r>
      </text>
    </comment>
    <comment ref="J53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109=-1000</t>
        </r>
      </text>
    </comment>
    <comment ref="J45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109=+6782</t>
        </r>
      </text>
    </comment>
    <comment ref="R49" authorId="2">
      <text>
        <r>
          <rPr>
            <b/>
            <sz val="8"/>
            <rFont val="Tahoma"/>
            <family val="0"/>
          </rPr>
          <t xml:space="preserve">Līva Kupča: 
</t>
        </r>
        <r>
          <rPr>
            <sz val="8"/>
            <rFont val="Tahoma"/>
            <family val="2"/>
          </rPr>
          <t xml:space="preserve">Līdz 30.10.2009. vēl būs par pēdējo mašīnu nomas maksāj. 3*512.78Ls
</t>
        </r>
        <r>
          <rPr>
            <sz val="8"/>
            <rFont val="Tahoma"/>
            <family val="0"/>
          </rPr>
          <t xml:space="preserve">
</t>
        </r>
      </text>
    </comment>
    <comment ref="I68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būs -300</t>
        </r>
      </text>
    </comment>
    <comment ref="I69" authorId="1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būs -600</t>
        </r>
      </text>
    </comment>
  </commentList>
</comments>
</file>

<file path=xl/sharedStrings.xml><?xml version="1.0" encoding="utf-8"?>
<sst xmlns="http://schemas.openxmlformats.org/spreadsheetml/2006/main" count="65" uniqueCount="56">
  <si>
    <t>Jūrmalas pilsētas dome</t>
  </si>
  <si>
    <t>2009.gada budžeta projekta atšifrējums _________01.110. Domes uzturēšana___________</t>
  </si>
  <si>
    <t>mērķis</t>
  </si>
  <si>
    <t>Struktūrvienības nosaukums __________Saimniecības nodaļa_______________</t>
  </si>
  <si>
    <t>Konta Nr. Dome LV57PARX0002484572002; MP LV81PARX0002484577002</t>
  </si>
  <si>
    <t>Nr.</t>
  </si>
  <si>
    <t>Pasākums/ aktivitāte/ projekts/ pakalpojuma nosaukums/ objekts</t>
  </si>
  <si>
    <t>Aizpilda struktūrvienība</t>
  </si>
  <si>
    <t>2009. gada budžeta projekts</t>
  </si>
  <si>
    <t>Kases izpilde</t>
  </si>
  <si>
    <t>Kases atlikums</t>
  </si>
  <si>
    <t>Rezervēta līg. summa</t>
  </si>
  <si>
    <t>Atlikums</t>
  </si>
  <si>
    <t>Samazinājumi</t>
  </si>
  <si>
    <t>01.01.08.     Dome</t>
  </si>
  <si>
    <t xml:space="preserve">01.01.08MP     </t>
  </si>
  <si>
    <t xml:space="preserve"> 01.01.08 KOPĀ</t>
  </si>
  <si>
    <t>2008.gada precizētais budžets</t>
  </si>
  <si>
    <t>2008.gada gaidāmā izpilde</t>
  </si>
  <si>
    <t>EKK</t>
  </si>
  <si>
    <t>Dome</t>
  </si>
  <si>
    <t>MP</t>
  </si>
  <si>
    <t>KOPĀ</t>
  </si>
  <si>
    <t xml:space="preserve">Dome </t>
  </si>
  <si>
    <t>Telefona abonēšanas maksa, vietējo un tālsarunu  apmaksa</t>
  </si>
  <si>
    <t xml:space="preserve">Mobilā telefona abonēšanas maksas un sarunu apmaksa </t>
  </si>
  <si>
    <t xml:space="preserve">Izdevumi par apkuri    </t>
  </si>
  <si>
    <t>Maksa par ūdeni un kanalizāciju</t>
  </si>
  <si>
    <t xml:space="preserve">Maksa par elektroenerģiju    </t>
  </si>
  <si>
    <t>Izdevumi par atkritumu izvešanu</t>
  </si>
  <si>
    <t>Bankas pakalpojumi (t.sk. naudas inkasācija)</t>
  </si>
  <si>
    <t>Citi pakalpojumi, saistīti ar administrācijas vajadzībām</t>
  </si>
  <si>
    <t>Transportlīdz.uztur. un remonts</t>
  </si>
  <si>
    <t xml:space="preserve">Iekārtu, inventāra un aparatūras remonts, tehniskā apkalpošana       </t>
  </si>
  <si>
    <t xml:space="preserve">Ēku un telpu uztur. (uzkopšana, paklāju maiņa, apsardze u.c.)  </t>
  </si>
  <si>
    <t>Transportlīdz. valsts oblig. civilties.apdroš., prēmiju maks.</t>
  </si>
  <si>
    <t>Pārējie pakalpojumi, saistīti ar iestāžu uzturēšanu</t>
  </si>
  <si>
    <t>Telpu noma (Būvvalde)</t>
  </si>
  <si>
    <t>Transportlīdzekļu  noma (PAKALPOJUMI)</t>
  </si>
  <si>
    <t>Iekārtu un invetāra īre un noma</t>
  </si>
  <si>
    <t>Neparedzētiem gadījumiem</t>
  </si>
  <si>
    <t>Pārējie klasifikācijā neuzskaitītie pakalpojumu veidi</t>
  </si>
  <si>
    <t>Kancelejas preces un materiāli</t>
  </si>
  <si>
    <t>Inventārs</t>
  </si>
  <si>
    <t xml:space="preserve">Maksa par degvielu </t>
  </si>
  <si>
    <t>Remontmateriāli</t>
  </si>
  <si>
    <t xml:space="preserve">Saimniecības materiāli    </t>
  </si>
  <si>
    <t xml:space="preserve">Elektroiekārtu remonta un uzturēšanas materiāli    </t>
  </si>
  <si>
    <t>Transportlīdzekļu uztur. mater. (rez.daļas)</t>
  </si>
  <si>
    <t>Grāmatas, žurnāli</t>
  </si>
  <si>
    <t xml:space="preserve">Pievienotas vērtības nodoklis </t>
  </si>
  <si>
    <t>Pārējie nodokļu un nodevu maksājumi - transporta nodeva</t>
  </si>
  <si>
    <t>Biroja preces (printeri u.c.)</t>
  </si>
  <si>
    <t xml:space="preserve">Kancelejas mēbeles un telpu iekārta    </t>
  </si>
  <si>
    <t>Pārējie kustamie īpašumi</t>
  </si>
  <si>
    <t>16.pielikums</t>
  </si>
</sst>
</file>

<file path=xl/styles.xml><?xml version="1.0" encoding="utf-8"?>
<styleSheet xmlns="http://schemas.openxmlformats.org/spreadsheetml/2006/main">
  <numFmts count="4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Ls&quot;\ #,##0_);\(&quot;Ls&quot;\ #,##0\)"/>
    <numFmt numFmtId="165" formatCode="&quot;Ls&quot;\ #,##0_);[Red]\(&quot;Ls&quot;\ #,##0\)"/>
    <numFmt numFmtId="166" formatCode="&quot;Ls&quot;\ #,##0.00_);\(&quot;Ls&quot;\ #,##0.00\)"/>
    <numFmt numFmtId="167" formatCode="&quot;Ls&quot;\ #,##0.00_);[Red]\(&quot;Ls&quot;\ #,##0.00\)"/>
    <numFmt numFmtId="168" formatCode="_(&quot;Ls&quot;\ * #,##0_);_(&quot;Ls&quot;\ * \(#,##0\);_(&quot;Ls&quot;\ * &quot;-&quot;_);_(@_)"/>
    <numFmt numFmtId="169" formatCode="_(* #,##0_);_(* \(#,##0\);_(* &quot;-&quot;_);_(@_)"/>
    <numFmt numFmtId="170" formatCode="_(&quot;Ls&quot;\ * #,##0.00_);_(&quot;Ls&quot;\ * \(#,##0.00\);_(&quot;Ls&quot;\ * &quot;-&quot;??_);_(@_)"/>
    <numFmt numFmtId="171" formatCode="_(* #,##0.00_);_(* \(#,##0.00\);_(* &quot;-&quot;??_);_(@_)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0.0"/>
    <numFmt numFmtId="181" formatCode="[$-426]dddd\,\ yyyy&quot;. gada &quot;d\.\ mmmm"/>
    <numFmt numFmtId="182" formatCode="&quot;Ls&quot;\ #,##0"/>
    <numFmt numFmtId="183" formatCode="#,##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;[Red]#,##0.00"/>
    <numFmt numFmtId="189" formatCode="0.000000000"/>
    <numFmt numFmtId="190" formatCode="0.000000000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%"/>
    <numFmt numFmtId="198" formatCode="0.000%"/>
    <numFmt numFmtId="199" formatCode="0.0000%"/>
    <numFmt numFmtId="200" formatCode="#,##0.000"/>
    <numFmt numFmtId="201" formatCode="#,##0.0;[Red]\-#,##0.0"/>
    <numFmt numFmtId="202" formatCode="mmm/yyyy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8"/>
      <color indexed="10"/>
      <name val="Tahoma"/>
      <family val="2"/>
    </font>
    <font>
      <sz val="12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21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vertical="center"/>
      <protection locked="0"/>
    </xf>
    <xf numFmtId="38" fontId="21" fillId="0" borderId="0" xfId="0" applyNumberFormat="1" applyFont="1" applyAlignment="1" applyProtection="1">
      <alignment horizontal="right" vertical="center"/>
      <protection locked="0"/>
    </xf>
    <xf numFmtId="38" fontId="21" fillId="0" borderId="0" xfId="0" applyNumberFormat="1" applyFont="1" applyAlignment="1" applyProtection="1">
      <alignment vertical="center"/>
      <protection locked="0"/>
    </xf>
    <xf numFmtId="0" fontId="21" fillId="0" borderId="0" xfId="0" applyFont="1" applyAlignment="1">
      <alignment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1" fillId="0" borderId="10" xfId="0" applyFont="1" applyBorder="1" applyAlignment="1" applyProtection="1">
      <alignment horizontal="center" vertical="center" wrapText="1"/>
      <protection/>
    </xf>
    <xf numFmtId="0" fontId="21" fillId="0" borderId="11" xfId="0" applyFont="1" applyBorder="1" applyAlignment="1" applyProtection="1">
      <alignment horizontal="center" vertical="center" wrapText="1"/>
      <protection/>
    </xf>
    <xf numFmtId="3" fontId="21" fillId="0" borderId="12" xfId="0" applyNumberFormat="1" applyFont="1" applyFill="1" applyBorder="1" applyAlignment="1" applyProtection="1">
      <alignment horizontal="center" vertical="center" wrapText="1"/>
      <protection/>
    </xf>
    <xf numFmtId="3" fontId="21" fillId="0" borderId="10" xfId="0" applyNumberFormat="1" applyFont="1" applyFill="1" applyBorder="1" applyAlignment="1" applyProtection="1">
      <alignment horizontal="center" vertical="center" wrapText="1"/>
      <protection/>
    </xf>
    <xf numFmtId="3" fontId="21" fillId="0" borderId="13" xfId="0" applyNumberFormat="1" applyFont="1" applyFill="1" applyBorder="1" applyAlignment="1" applyProtection="1">
      <alignment horizontal="center" vertical="center" wrapText="1"/>
      <protection/>
    </xf>
    <xf numFmtId="38" fontId="21" fillId="0" borderId="12" xfId="0" applyNumberFormat="1" applyFont="1" applyFill="1" applyBorder="1" applyAlignment="1" applyProtection="1">
      <alignment horizontal="center" vertical="center" wrapText="1"/>
      <protection/>
    </xf>
    <xf numFmtId="38" fontId="21" fillId="0" borderId="10" xfId="0" applyNumberFormat="1" applyFont="1" applyFill="1" applyBorder="1" applyAlignment="1" applyProtection="1">
      <alignment horizontal="center" vertical="center" wrapText="1"/>
      <protection/>
    </xf>
    <xf numFmtId="38" fontId="21" fillId="0" borderId="13" xfId="0" applyNumberFormat="1" applyFont="1" applyFill="1" applyBorder="1" applyAlignment="1" applyProtection="1">
      <alignment horizontal="center" vertical="center" wrapText="1"/>
      <protection/>
    </xf>
    <xf numFmtId="38" fontId="21" fillId="0" borderId="13" xfId="0" applyNumberFormat="1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left" vertical="center" wrapText="1"/>
      <protection locked="0"/>
    </xf>
    <xf numFmtId="0" fontId="21" fillId="0" borderId="15" xfId="0" applyFont="1" applyBorder="1" applyAlignment="1" applyProtection="1">
      <alignment vertical="center" wrapText="1"/>
      <protection locked="0"/>
    </xf>
    <xf numFmtId="0" fontId="21" fillId="0" borderId="15" xfId="0" applyFont="1" applyFill="1" applyBorder="1" applyAlignment="1" applyProtection="1">
      <alignment vertical="center" wrapText="1"/>
      <protection locked="0"/>
    </xf>
    <xf numFmtId="3" fontId="21" fillId="0" borderId="15" xfId="0" applyNumberFormat="1" applyFont="1" applyFill="1" applyBorder="1" applyAlignment="1" applyProtection="1">
      <alignment vertical="center" wrapText="1"/>
      <protection locked="0"/>
    </xf>
    <xf numFmtId="3" fontId="21" fillId="0" borderId="15" xfId="0" applyNumberFormat="1" applyFont="1" applyBorder="1" applyAlignment="1" applyProtection="1">
      <alignment vertical="center" wrapText="1"/>
      <protection locked="0"/>
    </xf>
    <xf numFmtId="0" fontId="21" fillId="0" borderId="16" xfId="0" applyNumberFormat="1" applyFont="1" applyBorder="1" applyAlignment="1" applyProtection="1">
      <alignment horizontal="right" vertical="center"/>
      <protection locked="0"/>
    </xf>
    <xf numFmtId="3" fontId="21" fillId="0" borderId="15" xfId="0" applyNumberFormat="1" applyFont="1" applyBorder="1" applyAlignment="1" applyProtection="1">
      <alignment horizontal="right" vertical="center" wrapText="1"/>
      <protection locked="0"/>
    </xf>
    <xf numFmtId="3" fontId="21" fillId="0" borderId="17" xfId="0" applyNumberFormat="1" applyFont="1" applyBorder="1" applyAlignment="1" applyProtection="1">
      <alignment horizontal="right" vertical="center" wrapText="1"/>
      <protection locked="0"/>
    </xf>
    <xf numFmtId="3" fontId="21" fillId="0" borderId="18" xfId="0" applyNumberFormat="1" applyFont="1" applyBorder="1" applyAlignment="1" applyProtection="1">
      <alignment horizontal="right" vertical="center" wrapText="1"/>
      <protection locked="0"/>
    </xf>
    <xf numFmtId="3" fontId="21" fillId="0" borderId="16" xfId="0" applyNumberFormat="1" applyFont="1" applyBorder="1" applyAlignment="1" applyProtection="1">
      <alignment horizontal="right" vertical="center" wrapText="1"/>
      <protection locked="0"/>
    </xf>
    <xf numFmtId="38" fontId="21" fillId="0" borderId="14" xfId="0" applyNumberFormat="1" applyFont="1" applyBorder="1" applyAlignment="1" applyProtection="1">
      <alignment horizontal="right" vertical="center" wrapText="1"/>
      <protection locked="0"/>
    </xf>
    <xf numFmtId="38" fontId="21" fillId="0" borderId="15" xfId="0" applyNumberFormat="1" applyFont="1" applyBorder="1" applyAlignment="1" applyProtection="1">
      <alignment horizontal="right" vertical="center" wrapText="1"/>
      <protection locked="0"/>
    </xf>
    <xf numFmtId="38" fontId="21" fillId="0" borderId="19" xfId="0" applyNumberFormat="1" applyFont="1" applyBorder="1" applyAlignment="1" applyProtection="1">
      <alignment horizontal="right" vertical="center" wrapText="1"/>
      <protection locked="0"/>
    </xf>
    <xf numFmtId="3" fontId="21" fillId="0" borderId="20" xfId="0" applyNumberFormat="1" applyFont="1" applyBorder="1" applyAlignment="1" applyProtection="1">
      <alignment vertical="center" wrapText="1"/>
      <protection locked="0"/>
    </xf>
    <xf numFmtId="38" fontId="21" fillId="0" borderId="18" xfId="0" applyNumberFormat="1" applyFont="1" applyBorder="1" applyAlignment="1" applyProtection="1">
      <alignment horizontal="right" vertical="center" wrapText="1"/>
      <protection locked="0"/>
    </xf>
    <xf numFmtId="38" fontId="21" fillId="0" borderId="16" xfId="0" applyNumberFormat="1" applyFont="1" applyBorder="1" applyAlignment="1" applyProtection="1">
      <alignment horizontal="right" vertical="center" wrapText="1"/>
      <protection locked="0"/>
    </xf>
    <xf numFmtId="0" fontId="21" fillId="0" borderId="18" xfId="0" applyFont="1" applyBorder="1" applyAlignment="1">
      <alignment horizontal="right" vertical="center"/>
    </xf>
    <xf numFmtId="0" fontId="21" fillId="0" borderId="21" xfId="0" applyFont="1" applyBorder="1" applyAlignment="1">
      <alignment/>
    </xf>
    <xf numFmtId="0" fontId="21" fillId="0" borderId="22" xfId="0" applyFont="1" applyBorder="1" applyAlignment="1" applyProtection="1">
      <alignment vertical="center" wrapText="1"/>
      <protection locked="0"/>
    </xf>
    <xf numFmtId="0" fontId="21" fillId="0" borderId="22" xfId="0" applyFont="1" applyFill="1" applyBorder="1" applyAlignment="1" applyProtection="1">
      <alignment vertical="center" wrapText="1"/>
      <protection locked="0"/>
    </xf>
    <xf numFmtId="3" fontId="21" fillId="0" borderId="22" xfId="0" applyNumberFormat="1" applyFont="1" applyFill="1" applyBorder="1" applyAlignment="1" applyProtection="1">
      <alignment vertical="center" wrapText="1"/>
      <protection locked="0"/>
    </xf>
    <xf numFmtId="3" fontId="21" fillId="0" borderId="22" xfId="0" applyNumberFormat="1" applyFont="1" applyBorder="1" applyAlignment="1" applyProtection="1">
      <alignment vertical="center" wrapText="1"/>
      <protection locked="0"/>
    </xf>
    <xf numFmtId="3" fontId="21" fillId="0" borderId="23" xfId="0" applyNumberFormat="1" applyFont="1" applyBorder="1" applyAlignment="1" applyProtection="1">
      <alignment horizontal="right" vertical="center" wrapText="1"/>
      <protection locked="0"/>
    </xf>
    <xf numFmtId="3" fontId="21" fillId="0" borderId="22" xfId="0" applyNumberFormat="1" applyFont="1" applyBorder="1" applyAlignment="1" applyProtection="1">
      <alignment horizontal="right" vertical="center" wrapText="1"/>
      <protection locked="0"/>
    </xf>
    <xf numFmtId="3" fontId="21" fillId="0" borderId="24" xfId="0" applyNumberFormat="1" applyFont="1" applyBorder="1" applyAlignment="1" applyProtection="1">
      <alignment horizontal="right" vertical="center" wrapText="1"/>
      <protection locked="0"/>
    </xf>
    <xf numFmtId="0" fontId="21" fillId="0" borderId="25" xfId="0" applyFont="1" applyBorder="1" applyAlignment="1" applyProtection="1">
      <alignment vertical="center" wrapText="1"/>
      <protection locked="0"/>
    </xf>
    <xf numFmtId="0" fontId="21" fillId="0" borderId="25" xfId="0" applyFont="1" applyFill="1" applyBorder="1" applyAlignment="1" applyProtection="1">
      <alignment vertical="center" wrapText="1"/>
      <protection locked="0"/>
    </xf>
    <xf numFmtId="3" fontId="21" fillId="0" borderId="25" xfId="0" applyNumberFormat="1" applyFont="1" applyFill="1" applyBorder="1" applyAlignment="1" applyProtection="1">
      <alignment vertical="center" wrapText="1"/>
      <protection locked="0"/>
    </xf>
    <xf numFmtId="3" fontId="21" fillId="0" borderId="25" xfId="0" applyNumberFormat="1" applyFont="1" applyBorder="1" applyAlignment="1" applyProtection="1">
      <alignment vertical="center" wrapText="1"/>
      <protection locked="0"/>
    </xf>
    <xf numFmtId="3" fontId="21" fillId="0" borderId="26" xfId="0" applyNumberFormat="1" applyFont="1" applyBorder="1" applyAlignment="1" applyProtection="1">
      <alignment horizontal="right" vertical="center" wrapText="1"/>
      <protection locked="0"/>
    </xf>
    <xf numFmtId="3" fontId="21" fillId="0" borderId="25" xfId="0" applyNumberFormat="1" applyFont="1" applyBorder="1" applyAlignment="1" applyProtection="1">
      <alignment horizontal="right" vertical="center" wrapText="1"/>
      <protection locked="0"/>
    </xf>
    <xf numFmtId="3" fontId="21" fillId="0" borderId="27" xfId="0" applyNumberFormat="1" applyFont="1" applyBorder="1" applyAlignment="1" applyProtection="1">
      <alignment horizontal="right" vertical="center" wrapText="1"/>
      <protection locked="0"/>
    </xf>
    <xf numFmtId="3" fontId="21" fillId="0" borderId="28" xfId="0" applyNumberFormat="1" applyFont="1" applyBorder="1" applyAlignment="1" applyProtection="1">
      <alignment horizontal="righ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3" fontId="21" fillId="0" borderId="29" xfId="0" applyNumberFormat="1" applyFont="1" applyBorder="1" applyAlignment="1" applyProtection="1">
      <alignment horizontal="right" vertical="center" wrapText="1"/>
      <protection locked="0"/>
    </xf>
    <xf numFmtId="38" fontId="21" fillId="0" borderId="22" xfId="0" applyNumberFormat="1" applyFont="1" applyBorder="1" applyAlignment="1" applyProtection="1">
      <alignment horizontal="right" vertical="center" wrapText="1"/>
      <protection locked="0"/>
    </xf>
    <xf numFmtId="38" fontId="21" fillId="0" borderId="29" xfId="0" applyNumberFormat="1" applyFont="1" applyBorder="1" applyAlignment="1" applyProtection="1">
      <alignment horizontal="right" vertical="center" wrapText="1"/>
      <protection locked="0"/>
    </xf>
    <xf numFmtId="0" fontId="21" fillId="0" borderId="11" xfId="0" applyFont="1" applyBorder="1" applyAlignment="1" applyProtection="1">
      <alignment horizontal="left" vertical="center" wrapText="1"/>
      <protection locked="0"/>
    </xf>
    <xf numFmtId="0" fontId="21" fillId="0" borderId="11" xfId="0" applyFont="1" applyBorder="1" applyAlignment="1" applyProtection="1">
      <alignment vertical="center" wrapText="1"/>
      <protection locked="0"/>
    </xf>
    <xf numFmtId="0" fontId="21" fillId="0" borderId="11" xfId="0" applyFont="1" applyFill="1" applyBorder="1" applyAlignment="1" applyProtection="1">
      <alignment vertical="center" wrapText="1"/>
      <protection locked="0"/>
    </xf>
    <xf numFmtId="3" fontId="21" fillId="0" borderId="11" xfId="0" applyNumberFormat="1" applyFont="1" applyFill="1" applyBorder="1" applyAlignment="1" applyProtection="1">
      <alignment vertical="center" wrapText="1"/>
      <protection locked="0"/>
    </xf>
    <xf numFmtId="3" fontId="21" fillId="0" borderId="11" xfId="0" applyNumberFormat="1" applyFont="1" applyBorder="1" applyAlignment="1" applyProtection="1">
      <alignment vertical="center" wrapText="1"/>
      <protection locked="0"/>
    </xf>
    <xf numFmtId="0" fontId="21" fillId="0" borderId="30" xfId="0" applyNumberFormat="1" applyFont="1" applyBorder="1" applyAlignment="1" applyProtection="1">
      <alignment horizontal="right" vertical="center"/>
      <protection locked="0"/>
    </xf>
    <xf numFmtId="3" fontId="21" fillId="0" borderId="11" xfId="0" applyNumberFormat="1" applyFont="1" applyBorder="1" applyAlignment="1" applyProtection="1">
      <alignment horizontal="right" vertical="center" wrapText="1"/>
      <protection locked="0"/>
    </xf>
    <xf numFmtId="3" fontId="21" fillId="0" borderId="31" xfId="0" applyNumberFormat="1" applyFont="1" applyBorder="1" applyAlignment="1" applyProtection="1">
      <alignment horizontal="right" vertical="center" wrapText="1"/>
      <protection locked="0"/>
    </xf>
    <xf numFmtId="3" fontId="21" fillId="0" borderId="32" xfId="0" applyNumberFormat="1" applyFont="1" applyBorder="1" applyAlignment="1" applyProtection="1">
      <alignment horizontal="right" vertical="center" wrapText="1"/>
      <protection locked="0"/>
    </xf>
    <xf numFmtId="3" fontId="21" fillId="0" borderId="30" xfId="0" applyNumberFormat="1" applyFont="1" applyBorder="1" applyAlignment="1" applyProtection="1">
      <alignment horizontal="right" vertical="center" wrapText="1"/>
      <protection locked="0"/>
    </xf>
    <xf numFmtId="38" fontId="21" fillId="0" borderId="32" xfId="0" applyNumberFormat="1" applyFont="1" applyBorder="1" applyAlignment="1" applyProtection="1">
      <alignment horizontal="right" vertical="center" wrapText="1"/>
      <protection locked="0"/>
    </xf>
    <xf numFmtId="38" fontId="21" fillId="0" borderId="11" xfId="0" applyNumberFormat="1" applyFont="1" applyBorder="1" applyAlignment="1" applyProtection="1">
      <alignment horizontal="right" vertical="center" wrapText="1"/>
      <protection locked="0"/>
    </xf>
    <xf numFmtId="38" fontId="21" fillId="0" borderId="30" xfId="0" applyNumberFormat="1" applyFont="1" applyBorder="1" applyAlignment="1" applyProtection="1">
      <alignment horizontal="right" vertical="center" wrapText="1"/>
      <protection locked="0"/>
    </xf>
    <xf numFmtId="0" fontId="21" fillId="0" borderId="11" xfId="0" applyFont="1" applyBorder="1" applyAlignment="1">
      <alignment horizontal="right" vertical="center"/>
    </xf>
    <xf numFmtId="0" fontId="21" fillId="0" borderId="10" xfId="0" applyFont="1" applyBorder="1" applyAlignment="1" applyProtection="1">
      <alignment horizontal="left" vertical="center" wrapText="1"/>
      <protection locked="0"/>
    </xf>
    <xf numFmtId="0" fontId="21" fillId="0" borderId="10" xfId="0" applyFont="1" applyBorder="1" applyAlignment="1" applyProtection="1">
      <alignment vertical="center" wrapText="1"/>
      <protection locked="0"/>
    </xf>
    <xf numFmtId="0" fontId="21" fillId="0" borderId="13" xfId="0" applyNumberFormat="1" applyFont="1" applyBorder="1" applyAlignment="1" applyProtection="1">
      <alignment horizontal="right" vertical="center"/>
      <protection locked="0"/>
    </xf>
    <xf numFmtId="3" fontId="21" fillId="0" borderId="10" xfId="0" applyNumberFormat="1" applyFont="1" applyBorder="1" applyAlignment="1" applyProtection="1">
      <alignment horizontal="right" vertical="center" wrapText="1"/>
      <protection locked="0"/>
    </xf>
    <xf numFmtId="3" fontId="21" fillId="0" borderId="33" xfId="0" applyNumberFormat="1" applyFont="1" applyBorder="1" applyAlignment="1" applyProtection="1">
      <alignment horizontal="right" vertical="center" wrapText="1"/>
      <protection locked="0"/>
    </xf>
    <xf numFmtId="3" fontId="21" fillId="0" borderId="32" xfId="0" applyNumberFormat="1" applyFont="1" applyFill="1" applyBorder="1" applyAlignment="1" applyProtection="1">
      <alignment horizontal="right" vertical="center" wrapText="1"/>
      <protection locked="0"/>
    </xf>
    <xf numFmtId="3" fontId="21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21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21" fillId="0" borderId="32" xfId="0" applyNumberFormat="1" applyFont="1" applyFill="1" applyBorder="1" applyAlignment="1" applyProtection="1">
      <alignment horizontal="right" vertical="center" wrapText="1"/>
      <protection locked="0"/>
    </xf>
    <xf numFmtId="3" fontId="2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10" xfId="0" applyFont="1" applyFill="1" applyBorder="1" applyAlignment="1" applyProtection="1">
      <alignment vertical="center" wrapText="1"/>
      <protection locked="0"/>
    </xf>
    <xf numFmtId="3" fontId="21" fillId="0" borderId="10" xfId="0" applyNumberFormat="1" applyFont="1" applyFill="1" applyBorder="1" applyAlignment="1" applyProtection="1">
      <alignment vertical="center" wrapText="1"/>
      <protection locked="0"/>
    </xf>
    <xf numFmtId="3" fontId="21" fillId="0" borderId="10" xfId="0" applyNumberFormat="1" applyFont="1" applyBorder="1" applyAlignment="1" applyProtection="1">
      <alignment vertical="center" wrapText="1"/>
      <protection locked="0"/>
    </xf>
    <xf numFmtId="3" fontId="2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36" xfId="0" applyFont="1" applyBorder="1" applyAlignment="1" applyProtection="1">
      <alignment vertical="center" wrapText="1"/>
      <protection locked="0"/>
    </xf>
    <xf numFmtId="0" fontId="21" fillId="0" borderId="36" xfId="0" applyFont="1" applyFill="1" applyBorder="1" applyAlignment="1" applyProtection="1">
      <alignment vertical="center" wrapText="1"/>
      <protection locked="0"/>
    </xf>
    <xf numFmtId="3" fontId="21" fillId="0" borderId="36" xfId="0" applyNumberFormat="1" applyFont="1" applyFill="1" applyBorder="1" applyAlignment="1" applyProtection="1">
      <alignment vertical="center" wrapText="1"/>
      <protection locked="0"/>
    </xf>
    <xf numFmtId="3" fontId="21" fillId="0" borderId="36" xfId="0" applyNumberFormat="1" applyFont="1" applyBorder="1" applyAlignment="1" applyProtection="1">
      <alignment vertical="center" wrapText="1"/>
      <protection locked="0"/>
    </xf>
    <xf numFmtId="3" fontId="21" fillId="0" borderId="36" xfId="0" applyNumberFormat="1" applyFont="1" applyBorder="1" applyAlignment="1" applyProtection="1">
      <alignment horizontal="right" vertical="center" wrapText="1"/>
      <protection locked="0"/>
    </xf>
    <xf numFmtId="3" fontId="21" fillId="0" borderId="37" xfId="0" applyNumberFormat="1" applyFont="1" applyBorder="1" applyAlignment="1" applyProtection="1">
      <alignment horizontal="right" vertical="center" wrapText="1"/>
      <protection locked="0"/>
    </xf>
    <xf numFmtId="3" fontId="21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21" fillId="0" borderId="39" xfId="0" applyNumberFormat="1" applyFont="1" applyBorder="1" applyAlignment="1" applyProtection="1">
      <alignment horizontal="right" vertical="center" wrapText="1"/>
      <protection locked="0"/>
    </xf>
    <xf numFmtId="3" fontId="21" fillId="0" borderId="40" xfId="0" applyNumberFormat="1" applyFont="1" applyBorder="1" applyAlignment="1" applyProtection="1">
      <alignment horizontal="right" vertical="center" wrapText="1"/>
      <protection locked="0"/>
    </xf>
    <xf numFmtId="3" fontId="21" fillId="0" borderId="26" xfId="0" applyNumberFormat="1" applyFont="1" applyFill="1" applyBorder="1" applyAlignment="1" applyProtection="1">
      <alignment horizontal="right" vertical="center" wrapText="1"/>
      <protection locked="0"/>
    </xf>
    <xf numFmtId="3" fontId="21" fillId="0" borderId="41" xfId="0" applyNumberFormat="1" applyFont="1" applyBorder="1" applyAlignment="1" applyProtection="1">
      <alignment horizontal="right" vertical="center" wrapText="1"/>
      <protection locked="0"/>
    </xf>
    <xf numFmtId="3" fontId="21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21" fillId="0" borderId="33" xfId="0" applyNumberFormat="1" applyFont="1" applyBorder="1" applyAlignment="1" applyProtection="1">
      <alignment horizontal="right" vertical="center" wrapText="1"/>
      <protection locked="0"/>
    </xf>
    <xf numFmtId="3" fontId="21" fillId="0" borderId="38" xfId="0" applyNumberFormat="1" applyFont="1" applyBorder="1" applyAlignment="1" applyProtection="1">
      <alignment horizontal="right" vertical="center" wrapText="1"/>
      <protection locked="0"/>
    </xf>
    <xf numFmtId="3" fontId="21" fillId="0" borderId="42" xfId="0" applyNumberFormat="1" applyFont="1" applyBorder="1" applyAlignment="1" applyProtection="1">
      <alignment horizontal="right" vertical="center" wrapText="1"/>
      <protection locked="0"/>
    </xf>
    <xf numFmtId="3" fontId="21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21" fillId="0" borderId="44" xfId="0" applyNumberFormat="1" applyFont="1" applyBorder="1" applyAlignment="1" applyProtection="1">
      <alignment horizontal="right" vertical="center" wrapText="1"/>
      <protection locked="0"/>
    </xf>
    <xf numFmtId="3" fontId="21" fillId="0" borderId="12" xfId="0" applyNumberFormat="1" applyFont="1" applyBorder="1" applyAlignment="1" applyProtection="1">
      <alignment horizontal="right" vertical="center" wrapText="1"/>
      <protection locked="0"/>
    </xf>
    <xf numFmtId="4" fontId="21" fillId="0" borderId="45" xfId="0" applyNumberFormat="1" applyFont="1" applyBorder="1" applyAlignment="1" applyProtection="1">
      <alignment horizontal="right" vertical="center" wrapText="1"/>
      <protection locked="0"/>
    </xf>
    <xf numFmtId="3" fontId="21" fillId="0" borderId="45" xfId="0" applyNumberFormat="1" applyFont="1" applyBorder="1" applyAlignment="1" applyProtection="1">
      <alignment horizontal="right" vertical="center" wrapText="1"/>
      <protection locked="0"/>
    </xf>
    <xf numFmtId="0" fontId="21" fillId="0" borderId="37" xfId="0" applyNumberFormat="1" applyFont="1" applyBorder="1" applyAlignment="1" applyProtection="1">
      <alignment horizontal="right" vertical="center"/>
      <protection locked="0"/>
    </xf>
    <xf numFmtId="3" fontId="21" fillId="0" borderId="46" xfId="0" applyNumberFormat="1" applyFont="1" applyBorder="1" applyAlignment="1" applyProtection="1">
      <alignment horizontal="right" vertical="center" wrapText="1"/>
      <protection locked="0"/>
    </xf>
    <xf numFmtId="3" fontId="21" fillId="0" borderId="47" xfId="0" applyNumberFormat="1" applyFont="1" applyFill="1" applyBorder="1" applyAlignment="1" applyProtection="1">
      <alignment horizontal="right" vertical="center" wrapText="1"/>
      <protection locked="0"/>
    </xf>
    <xf numFmtId="38" fontId="21" fillId="0" borderId="28" xfId="0" applyNumberFormat="1" applyFont="1" applyBorder="1" applyAlignment="1" applyProtection="1">
      <alignment horizontal="right" vertical="center" wrapText="1"/>
      <protection locked="0"/>
    </xf>
    <xf numFmtId="0" fontId="21" fillId="0" borderId="36" xfId="0" applyFont="1" applyBorder="1" applyAlignment="1">
      <alignment horizontal="right" vertical="center"/>
    </xf>
    <xf numFmtId="0" fontId="21" fillId="0" borderId="30" xfId="0" applyNumberFormat="1" applyFont="1" applyFill="1" applyBorder="1" applyAlignment="1" applyProtection="1">
      <alignment horizontal="right" vertical="center"/>
      <protection locked="0"/>
    </xf>
    <xf numFmtId="3" fontId="21" fillId="0" borderId="31" xfId="0" applyNumberFormat="1" applyFont="1" applyFill="1" applyBorder="1" applyAlignment="1" applyProtection="1">
      <alignment horizontal="right" vertical="center" wrapText="1"/>
      <protection locked="0"/>
    </xf>
    <xf numFmtId="3" fontId="21" fillId="0" borderId="44" xfId="0" applyNumberFormat="1" applyFont="1" applyBorder="1" applyAlignment="1" applyProtection="1">
      <alignment vertical="center" wrapText="1"/>
      <protection locked="0"/>
    </xf>
    <xf numFmtId="3" fontId="21" fillId="0" borderId="42" xfId="0" applyNumberFormat="1" applyFont="1" applyBorder="1" applyAlignment="1" applyProtection="1">
      <alignment vertical="center" wrapText="1"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1" fillId="0" borderId="30" xfId="0" applyFont="1" applyFill="1" applyBorder="1" applyAlignment="1" applyProtection="1">
      <alignment horizontal="right" vertical="center" wrapText="1"/>
      <protection locked="0"/>
    </xf>
    <xf numFmtId="0" fontId="21" fillId="0" borderId="11" xfId="0" applyFont="1" applyFill="1" applyBorder="1" applyAlignment="1" applyProtection="1">
      <alignment horizontal="right" vertical="center" wrapText="1"/>
      <protection locked="0"/>
    </xf>
    <xf numFmtId="3" fontId="21" fillId="0" borderId="31" xfId="0" applyNumberFormat="1" applyFont="1" applyBorder="1" applyAlignment="1" applyProtection="1">
      <alignment horizontal="right" vertical="center" wrapText="1"/>
      <protection locked="0"/>
    </xf>
    <xf numFmtId="3" fontId="21" fillId="0" borderId="32" xfId="0" applyNumberFormat="1" applyFont="1" applyFill="1" applyBorder="1" applyAlignment="1" applyProtection="1">
      <alignment horizontal="right" vertical="center" wrapText="1"/>
      <protection locked="0"/>
    </xf>
    <xf numFmtId="3" fontId="21" fillId="0" borderId="11" xfId="0" applyNumberFormat="1" applyFont="1" applyBorder="1" applyAlignment="1" applyProtection="1">
      <alignment horizontal="right" vertical="center" wrapText="1"/>
      <protection locked="0"/>
    </xf>
    <xf numFmtId="3" fontId="21" fillId="0" borderId="32" xfId="0" applyNumberFormat="1" applyFont="1" applyBorder="1" applyAlignment="1" applyProtection="1">
      <alignment horizontal="right" vertical="center" wrapText="1"/>
      <protection locked="0"/>
    </xf>
    <xf numFmtId="0" fontId="21" fillId="0" borderId="0" xfId="0" applyFont="1" applyAlignment="1">
      <alignment vertical="center"/>
    </xf>
    <xf numFmtId="38" fontId="21" fillId="0" borderId="0" xfId="0" applyNumberFormat="1" applyFont="1" applyAlignment="1">
      <alignment horizontal="right" vertical="center"/>
    </xf>
    <xf numFmtId="38" fontId="21" fillId="0" borderId="0" xfId="0" applyNumberFormat="1" applyFont="1" applyAlignment="1">
      <alignment vertical="center"/>
    </xf>
    <xf numFmtId="0" fontId="21" fillId="0" borderId="0" xfId="0" applyFont="1" applyAlignment="1">
      <alignment horizontal="left" vertical="center"/>
    </xf>
    <xf numFmtId="3" fontId="22" fillId="0" borderId="15" xfId="0" applyNumberFormat="1" applyFont="1" applyFill="1" applyBorder="1" applyAlignment="1" applyProtection="1">
      <alignment horizontal="right" vertical="center" wrapText="1"/>
      <protection/>
    </xf>
    <xf numFmtId="3" fontId="21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15" xfId="0" applyFont="1" applyFill="1" applyBorder="1" applyAlignment="1" applyProtection="1">
      <alignment horizontal="right" vertical="center" wrapText="1"/>
      <protection/>
    </xf>
    <xf numFmtId="0" fontId="22" fillId="0" borderId="16" xfId="0" applyFont="1" applyFill="1" applyBorder="1" applyAlignment="1" applyProtection="1">
      <alignment horizontal="right" vertical="center" wrapText="1"/>
      <protection/>
    </xf>
    <xf numFmtId="3" fontId="22" fillId="0" borderId="17" xfId="0" applyNumberFormat="1" applyFont="1" applyFill="1" applyBorder="1" applyAlignment="1" applyProtection="1">
      <alignment horizontal="right" vertical="center" wrapText="1"/>
      <protection/>
    </xf>
    <xf numFmtId="3" fontId="22" fillId="0" borderId="48" xfId="0" applyNumberFormat="1" applyFont="1" applyFill="1" applyBorder="1" applyAlignment="1" applyProtection="1">
      <alignment horizontal="right" vertical="center" wrapText="1"/>
      <protection/>
    </xf>
    <xf numFmtId="38" fontId="22" fillId="0" borderId="19" xfId="0" applyNumberFormat="1" applyFont="1" applyFill="1" applyBorder="1" applyAlignment="1" applyProtection="1">
      <alignment horizontal="right" vertical="center" wrapText="1"/>
      <protection/>
    </xf>
    <xf numFmtId="38" fontId="22" fillId="0" borderId="16" xfId="0" applyNumberFormat="1" applyFont="1" applyFill="1" applyBorder="1" applyAlignment="1" applyProtection="1">
      <alignment horizontal="right" vertical="center" wrapText="1"/>
      <protection/>
    </xf>
    <xf numFmtId="3" fontId="22" fillId="0" borderId="16" xfId="0" applyNumberFormat="1" applyFont="1" applyFill="1" applyBorder="1" applyAlignment="1" applyProtection="1">
      <alignment horizontal="right" vertical="center" wrapText="1"/>
      <protection/>
    </xf>
    <xf numFmtId="38" fontId="22" fillId="0" borderId="14" xfId="0" applyNumberFormat="1" applyFont="1" applyFill="1" applyBorder="1" applyAlignment="1" applyProtection="1">
      <alignment horizontal="right" vertical="center" wrapText="1"/>
      <protection/>
    </xf>
    <xf numFmtId="3" fontId="21" fillId="0" borderId="11" xfId="0" applyNumberFormat="1" applyFont="1" applyFill="1" applyBorder="1" applyAlignment="1" applyProtection="1">
      <alignment horizontal="right" vertical="center"/>
      <protection locked="0"/>
    </xf>
    <xf numFmtId="4" fontId="21" fillId="0" borderId="31" xfId="0" applyNumberFormat="1" applyFont="1" applyFill="1" applyBorder="1" applyAlignment="1" applyProtection="1">
      <alignment horizontal="right" vertical="center" wrapText="1"/>
      <protection locked="0"/>
    </xf>
    <xf numFmtId="38" fontId="21" fillId="0" borderId="33" xfId="0" applyNumberFormat="1" applyFont="1" applyBorder="1" applyAlignment="1" applyProtection="1">
      <alignment horizontal="center" vertical="center" wrapText="1"/>
      <protection/>
    </xf>
    <xf numFmtId="38" fontId="21" fillId="0" borderId="49" xfId="0" applyNumberFormat="1" applyFont="1" applyBorder="1" applyAlignment="1" applyProtection="1">
      <alignment horizontal="center" vertical="center" wrapText="1"/>
      <protection/>
    </xf>
    <xf numFmtId="38" fontId="21" fillId="0" borderId="50" xfId="0" applyNumberFormat="1" applyFont="1" applyBorder="1" applyAlignment="1" applyProtection="1">
      <alignment horizontal="center" vertical="center" wrapText="1"/>
      <protection/>
    </xf>
    <xf numFmtId="38" fontId="21" fillId="0" borderId="24" xfId="0" applyNumberFormat="1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/>
    </xf>
    <xf numFmtId="0" fontId="21" fillId="0" borderId="24" xfId="0" applyFont="1" applyBorder="1" applyAlignment="1" applyProtection="1">
      <alignment horizontal="center" vertical="center" wrapText="1"/>
      <protection/>
    </xf>
    <xf numFmtId="38" fontId="21" fillId="0" borderId="51" xfId="0" applyNumberFormat="1" applyFont="1" applyBorder="1" applyAlignment="1" applyProtection="1">
      <alignment horizontal="center" vertical="center" wrapText="1"/>
      <protection/>
    </xf>
    <xf numFmtId="38" fontId="21" fillId="0" borderId="52" xfId="0" applyNumberFormat="1" applyFont="1" applyBorder="1" applyAlignment="1" applyProtection="1">
      <alignment horizontal="center" vertical="center" wrapText="1"/>
      <protection/>
    </xf>
    <xf numFmtId="38" fontId="21" fillId="0" borderId="22" xfId="0" applyNumberFormat="1" applyFont="1" applyBorder="1" applyAlignment="1" applyProtection="1">
      <alignment horizontal="right" vertical="center" wrapText="1"/>
      <protection locked="0"/>
    </xf>
    <xf numFmtId="38" fontId="21" fillId="0" borderId="36" xfId="0" applyNumberFormat="1" applyFont="1" applyBorder="1" applyAlignment="1" applyProtection="1">
      <alignment horizontal="right" vertical="center" wrapText="1"/>
      <protection locked="0"/>
    </xf>
    <xf numFmtId="38" fontId="21" fillId="0" borderId="25" xfId="0" applyNumberFormat="1" applyFont="1" applyBorder="1" applyAlignment="1" applyProtection="1">
      <alignment horizontal="right" vertical="center" wrapText="1"/>
      <protection locked="0"/>
    </xf>
    <xf numFmtId="0" fontId="21" fillId="0" borderId="51" xfId="0" applyFont="1" applyBorder="1" applyAlignment="1" applyProtection="1">
      <alignment horizontal="center" vertical="center" wrapText="1"/>
      <protection/>
    </xf>
    <xf numFmtId="0" fontId="21" fillId="0" borderId="52" xfId="0" applyFont="1" applyBorder="1" applyAlignment="1" applyProtection="1">
      <alignment horizontal="center" vertical="center" wrapText="1"/>
      <protection/>
    </xf>
    <xf numFmtId="0" fontId="21" fillId="0" borderId="33" xfId="0" applyFont="1" applyBorder="1" applyAlignment="1" applyProtection="1">
      <alignment horizontal="center" vertical="center" wrapText="1"/>
      <protection/>
    </xf>
    <xf numFmtId="0" fontId="21" fillId="0" borderId="49" xfId="0" applyFont="1" applyBorder="1" applyAlignment="1" applyProtection="1">
      <alignment horizontal="center" vertical="center" wrapText="1"/>
      <protection/>
    </xf>
    <xf numFmtId="0" fontId="21" fillId="0" borderId="50" xfId="0" applyFont="1" applyBorder="1" applyAlignment="1" applyProtection="1">
      <alignment horizontal="center" vertical="center" wrapText="1"/>
      <protection/>
    </xf>
    <xf numFmtId="3" fontId="21" fillId="0" borderId="53" xfId="0" applyNumberFormat="1" applyFont="1" applyBorder="1" applyAlignment="1" applyProtection="1">
      <alignment horizontal="right" vertical="center" wrapText="1"/>
      <protection locked="0"/>
    </xf>
    <xf numFmtId="3" fontId="21" fillId="0" borderId="54" xfId="0" applyNumberFormat="1" applyFont="1" applyBorder="1" applyAlignment="1" applyProtection="1">
      <alignment horizontal="right" vertical="center" wrapText="1"/>
      <protection locked="0"/>
    </xf>
    <xf numFmtId="38" fontId="21" fillId="0" borderId="55" xfId="0" applyNumberFormat="1" applyFont="1" applyBorder="1" applyAlignment="1" applyProtection="1">
      <alignment horizontal="right" vertical="center" wrapText="1"/>
      <protection locked="0"/>
    </xf>
    <xf numFmtId="38" fontId="21" fillId="0" borderId="56" xfId="0" applyNumberFormat="1" applyFont="1" applyBorder="1" applyAlignment="1" applyProtection="1">
      <alignment horizontal="right" vertical="center" wrapText="1"/>
      <protection locked="0"/>
    </xf>
    <xf numFmtId="38" fontId="21" fillId="0" borderId="35" xfId="0" applyNumberFormat="1" applyFont="1" applyBorder="1" applyAlignment="1" applyProtection="1">
      <alignment horizontal="right" vertical="center" wrapText="1"/>
      <protection locked="0"/>
    </xf>
    <xf numFmtId="38" fontId="21" fillId="0" borderId="57" xfId="0" applyNumberFormat="1" applyFont="1" applyBorder="1" applyAlignment="1" applyProtection="1">
      <alignment horizontal="right" vertical="center" wrapText="1"/>
      <protection locked="0"/>
    </xf>
    <xf numFmtId="38" fontId="21" fillId="0" borderId="58" xfId="0" applyNumberFormat="1" applyFont="1" applyBorder="1" applyAlignment="1" applyProtection="1">
      <alignment horizontal="right" vertical="center" wrapText="1"/>
      <protection locked="0"/>
    </xf>
    <xf numFmtId="38" fontId="21" fillId="0" borderId="29" xfId="0" applyNumberFormat="1" applyFont="1" applyBorder="1" applyAlignment="1" applyProtection="1">
      <alignment horizontal="right" vertical="center" wrapText="1"/>
      <protection locked="0"/>
    </xf>
    <xf numFmtId="3" fontId="21" fillId="0" borderId="13" xfId="0" applyNumberFormat="1" applyFont="1" applyBorder="1" applyAlignment="1" applyProtection="1">
      <alignment horizontal="right" vertical="center" wrapText="1"/>
      <protection locked="0"/>
    </xf>
    <xf numFmtId="3" fontId="21" fillId="0" borderId="29" xfId="0" applyNumberFormat="1" applyFont="1" applyBorder="1" applyAlignment="1" applyProtection="1">
      <alignment horizontal="right" vertical="center" wrapText="1"/>
      <protection locked="0"/>
    </xf>
    <xf numFmtId="0" fontId="21" fillId="0" borderId="10" xfId="0" applyFont="1" applyBorder="1" applyAlignment="1">
      <alignment horizontal="right" vertical="center"/>
    </xf>
    <xf numFmtId="0" fontId="21" fillId="0" borderId="58" xfId="0" applyFont="1" applyBorder="1" applyAlignment="1">
      <alignment horizontal="right" vertical="center"/>
    </xf>
    <xf numFmtId="0" fontId="21" fillId="0" borderId="22" xfId="0" applyFont="1" applyBorder="1" applyAlignment="1">
      <alignment horizontal="right" vertical="center"/>
    </xf>
    <xf numFmtId="0" fontId="21" fillId="0" borderId="55" xfId="0" applyFont="1" applyBorder="1" applyAlignment="1">
      <alignment horizontal="right" vertical="center"/>
    </xf>
    <xf numFmtId="0" fontId="21" fillId="0" borderId="59" xfId="0" applyFont="1" applyBorder="1" applyAlignment="1">
      <alignment horizontal="right" vertical="center"/>
    </xf>
    <xf numFmtId="0" fontId="21" fillId="0" borderId="57" xfId="0" applyFont="1" applyBorder="1" applyAlignment="1">
      <alignment horizontal="right" vertical="center"/>
    </xf>
    <xf numFmtId="0" fontId="21" fillId="0" borderId="60" xfId="0" applyFont="1" applyBorder="1" applyAlignment="1">
      <alignment horizontal="right" vertical="center"/>
    </xf>
    <xf numFmtId="0" fontId="21" fillId="0" borderId="61" xfId="0" applyFont="1" applyBorder="1" applyAlignment="1">
      <alignment horizontal="right" vertical="center"/>
    </xf>
    <xf numFmtId="0" fontId="21" fillId="0" borderId="62" xfId="0" applyFont="1" applyBorder="1" applyAlignment="1">
      <alignment horizontal="right" vertical="center"/>
    </xf>
    <xf numFmtId="0" fontId="21" fillId="0" borderId="63" xfId="0" applyFont="1" applyBorder="1" applyAlignment="1">
      <alignment horizontal="right" vertical="center"/>
    </xf>
    <xf numFmtId="38" fontId="21" fillId="0" borderId="34" xfId="0" applyNumberFormat="1" applyFont="1" applyBorder="1" applyAlignment="1" applyProtection="1">
      <alignment horizontal="right" vertical="center" wrapText="1"/>
      <protection locked="0"/>
    </xf>
    <xf numFmtId="38" fontId="21" fillId="0" borderId="59" xfId="0" applyNumberFormat="1" applyFont="1" applyBorder="1" applyAlignment="1" applyProtection="1">
      <alignment horizontal="right" vertical="center" wrapText="1"/>
      <protection locked="0"/>
    </xf>
    <xf numFmtId="38" fontId="21" fillId="0" borderId="10" xfId="0" applyNumberFormat="1" applyFont="1" applyBorder="1" applyAlignment="1" applyProtection="1">
      <alignment horizontal="right" vertical="center" wrapText="1"/>
      <protection locked="0"/>
    </xf>
    <xf numFmtId="38" fontId="21" fillId="0" borderId="63" xfId="0" applyNumberFormat="1" applyFont="1" applyBorder="1" applyAlignment="1" applyProtection="1">
      <alignment horizontal="right" vertical="center" wrapText="1"/>
      <protection locked="0"/>
    </xf>
    <xf numFmtId="38" fontId="21" fillId="0" borderId="13" xfId="0" applyNumberFormat="1" applyFont="1" applyBorder="1" applyAlignment="1" applyProtection="1">
      <alignment horizontal="right" vertical="center" wrapText="1"/>
      <protection locked="0"/>
    </xf>
    <xf numFmtId="38" fontId="21" fillId="0" borderId="54" xfId="0" applyNumberFormat="1" applyFont="1" applyBorder="1" applyAlignment="1" applyProtection="1">
      <alignment horizontal="right" vertical="center" wrapText="1"/>
      <protection locked="0"/>
    </xf>
    <xf numFmtId="0" fontId="21" fillId="0" borderId="10" xfId="0" applyFont="1" applyBorder="1" applyAlignment="1" applyProtection="1">
      <alignment horizontal="left" vertical="center" wrapText="1"/>
      <protection locked="0"/>
    </xf>
    <xf numFmtId="0" fontId="21" fillId="0" borderId="63" xfId="0" applyFont="1" applyBorder="1" applyAlignment="1" applyProtection="1">
      <alignment horizontal="left" vertical="center" wrapText="1"/>
      <protection locked="0"/>
    </xf>
    <xf numFmtId="0" fontId="21" fillId="0" borderId="13" xfId="0" applyNumberFormat="1" applyFont="1" applyBorder="1" applyAlignment="1" applyProtection="1">
      <alignment horizontal="right" vertical="center"/>
      <protection locked="0"/>
    </xf>
    <xf numFmtId="0" fontId="21" fillId="0" borderId="54" xfId="0" applyNumberFormat="1" applyFont="1" applyBorder="1" applyAlignment="1" applyProtection="1">
      <alignment horizontal="right" vertical="center"/>
      <protection locked="0"/>
    </xf>
    <xf numFmtId="3" fontId="21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21" fillId="0" borderId="59" xfId="0" applyNumberFormat="1" applyFont="1" applyFill="1" applyBorder="1" applyAlignment="1" applyProtection="1">
      <alignment horizontal="right" vertical="center" wrapText="1"/>
      <protection locked="0"/>
    </xf>
    <xf numFmtId="38" fontId="21" fillId="0" borderId="37" xfId="0" applyNumberFormat="1" applyFont="1" applyBorder="1" applyAlignment="1" applyProtection="1">
      <alignment horizontal="right" vertical="center" wrapText="1"/>
      <protection locked="0"/>
    </xf>
    <xf numFmtId="38" fontId="21" fillId="0" borderId="64" xfId="0" applyNumberFormat="1" applyFont="1" applyBorder="1" applyAlignment="1" applyProtection="1">
      <alignment horizontal="right" vertical="center" wrapText="1"/>
      <protection locked="0"/>
    </xf>
    <xf numFmtId="0" fontId="21" fillId="0" borderId="65" xfId="0" applyFont="1" applyBorder="1" applyAlignment="1" applyProtection="1">
      <alignment horizontal="center" vertical="center" wrapText="1"/>
      <protection/>
    </xf>
    <xf numFmtId="3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57" xfId="0" applyNumberFormat="1" applyFont="1" applyFill="1" applyBorder="1" applyAlignment="1" applyProtection="1">
      <alignment horizontal="right" vertical="center" wrapText="1"/>
      <protection locked="0"/>
    </xf>
    <xf numFmtId="3" fontId="21" fillId="0" borderId="58" xfId="0" applyNumberFormat="1" applyFont="1" applyFill="1" applyBorder="1" applyAlignment="1" applyProtection="1">
      <alignment horizontal="right" vertical="center" wrapText="1"/>
      <protection locked="0"/>
    </xf>
    <xf numFmtId="3" fontId="21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21" fillId="0" borderId="66" xfId="0" applyNumberFormat="1" applyFont="1" applyBorder="1" applyAlignment="1" applyProtection="1">
      <alignment horizontal="right" vertical="center" wrapText="1"/>
      <protection locked="0"/>
    </xf>
    <xf numFmtId="38" fontId="21" fillId="0" borderId="66" xfId="0" applyNumberFormat="1" applyFont="1" applyBorder="1" applyAlignment="1" applyProtection="1">
      <alignment horizontal="right" vertical="center" wrapText="1"/>
      <protection locked="0"/>
    </xf>
    <xf numFmtId="38" fontId="21" fillId="0" borderId="12" xfId="0" applyNumberFormat="1" applyFont="1" applyBorder="1" applyAlignment="1" applyProtection="1">
      <alignment horizontal="right" vertical="center" wrapText="1"/>
      <protection locked="0"/>
    </xf>
    <xf numFmtId="38" fontId="21" fillId="0" borderId="62" xfId="0" applyNumberFormat="1" applyFont="1" applyBorder="1" applyAlignment="1" applyProtection="1">
      <alignment horizontal="right" vertical="center" wrapText="1"/>
      <protection locked="0"/>
    </xf>
    <xf numFmtId="38" fontId="21" fillId="0" borderId="28" xfId="0" applyNumberFormat="1" applyFont="1" applyBorder="1" applyAlignment="1" applyProtection="1">
      <alignment horizontal="righ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9" xfId="0" applyNumberFormat="1" applyFont="1" applyBorder="1" applyAlignment="1" applyProtection="1">
      <alignment horizontal="right" vertical="center"/>
      <protection locked="0"/>
    </xf>
    <xf numFmtId="3" fontId="21" fillId="0" borderId="34" xfId="0" applyNumberFormat="1" applyFont="1" applyBorder="1" applyAlignment="1" applyProtection="1">
      <alignment horizontal="center" vertical="center" wrapText="1"/>
      <protection locked="0"/>
    </xf>
    <xf numFmtId="3" fontId="21" fillId="0" borderId="35" xfId="0" applyNumberFormat="1" applyFont="1" applyBorder="1" applyAlignment="1" applyProtection="1">
      <alignment horizontal="center" vertical="center" wrapText="1"/>
      <protection locked="0"/>
    </xf>
    <xf numFmtId="3" fontId="2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10" xfId="0" applyFont="1" applyBorder="1" applyAlignment="1" applyProtection="1">
      <alignment vertical="center" wrapText="1"/>
      <protection locked="0"/>
    </xf>
    <xf numFmtId="0" fontId="21" fillId="0" borderId="58" xfId="0" applyFont="1" applyBorder="1" applyAlignment="1" applyProtection="1">
      <alignment vertical="center" wrapText="1"/>
      <protection locked="0"/>
    </xf>
    <xf numFmtId="0" fontId="21" fillId="0" borderId="22" xfId="0" applyFont="1" applyBorder="1" applyAlignment="1" applyProtection="1">
      <alignment vertical="center" wrapText="1"/>
      <protection locked="0"/>
    </xf>
    <xf numFmtId="0" fontId="21" fillId="0" borderId="58" xfId="0" applyFont="1" applyBorder="1" applyAlignment="1" applyProtection="1">
      <alignment horizontal="left" vertical="center" wrapText="1"/>
      <protection locked="0"/>
    </xf>
    <xf numFmtId="0" fontId="21" fillId="0" borderId="11" xfId="0" applyFont="1" applyBorder="1" applyAlignment="1" applyProtection="1">
      <alignment horizontal="right" vertical="center" wrapText="1"/>
      <protection locked="0"/>
    </xf>
    <xf numFmtId="0" fontId="21" fillId="0" borderId="11" xfId="0" applyFont="1" applyFill="1" applyBorder="1" applyAlignment="1" applyProtection="1">
      <alignment horizontal="right" vertical="center" wrapText="1"/>
      <protection locked="0"/>
    </xf>
    <xf numFmtId="3" fontId="21" fillId="0" borderId="11" xfId="0" applyNumberFormat="1" applyFont="1" applyBorder="1" applyAlignment="1" applyProtection="1">
      <alignment horizontal="center" vertical="center" wrapText="1"/>
      <protection locked="0"/>
    </xf>
    <xf numFmtId="0" fontId="21" fillId="0" borderId="11" xfId="0" applyFont="1" applyFill="1" applyBorder="1" applyAlignment="1" applyProtection="1">
      <alignment vertical="center" wrapText="1"/>
      <protection locked="0"/>
    </xf>
    <xf numFmtId="0" fontId="21" fillId="0" borderId="10" xfId="0" applyFont="1" applyBorder="1" applyAlignment="1" applyProtection="1">
      <alignment horizontal="right" vertical="center" wrapText="1"/>
      <protection locked="0"/>
    </xf>
    <xf numFmtId="0" fontId="21" fillId="0" borderId="22" xfId="0" applyFont="1" applyBorder="1" applyAlignment="1" applyProtection="1">
      <alignment horizontal="right" vertical="center" wrapText="1"/>
      <protection locked="0"/>
    </xf>
    <xf numFmtId="3" fontId="21" fillId="0" borderId="11" xfId="0" applyNumberFormat="1" applyFont="1" applyFill="1" applyBorder="1" applyAlignment="1" applyProtection="1">
      <alignment vertical="center" wrapText="1"/>
      <protection locked="0"/>
    </xf>
    <xf numFmtId="38" fontId="21" fillId="0" borderId="53" xfId="0" applyNumberFormat="1" applyFont="1" applyBorder="1" applyAlignment="1" applyProtection="1">
      <alignment horizontal="right" vertical="center" wrapText="1"/>
      <protection locked="0"/>
    </xf>
    <xf numFmtId="38" fontId="21" fillId="0" borderId="60" xfId="0" applyNumberFormat="1" applyFont="1" applyBorder="1" applyAlignment="1" applyProtection="1">
      <alignment horizontal="right" vertical="center" wrapText="1"/>
      <protection locked="0"/>
    </xf>
    <xf numFmtId="38" fontId="21" fillId="0" borderId="61" xfId="0" applyNumberFormat="1" applyFont="1" applyBorder="1" applyAlignment="1" applyProtection="1">
      <alignment horizontal="right" vertical="center" wrapText="1"/>
      <protection locked="0"/>
    </xf>
    <xf numFmtId="38" fontId="21" fillId="0" borderId="32" xfId="0" applyNumberFormat="1" applyFont="1" applyBorder="1" applyAlignment="1" applyProtection="1">
      <alignment horizontal="center" vertical="center" wrapText="1"/>
      <protection/>
    </xf>
    <xf numFmtId="38" fontId="21" fillId="0" borderId="11" xfId="0" applyNumberFormat="1" applyFont="1" applyBorder="1" applyAlignment="1" applyProtection="1">
      <alignment horizontal="center" vertical="center" wrapText="1"/>
      <protection/>
    </xf>
    <xf numFmtId="38" fontId="21" fillId="0" borderId="30" xfId="0" applyNumberFormat="1" applyFont="1" applyBorder="1" applyAlignment="1" applyProtection="1">
      <alignment horizontal="center" vertical="center" wrapText="1"/>
      <protection/>
    </xf>
    <xf numFmtId="38" fontId="21" fillId="0" borderId="47" xfId="0" applyNumberFormat="1" applyFont="1" applyBorder="1" applyAlignment="1" applyProtection="1">
      <alignment horizontal="right" vertical="center" wrapText="1"/>
      <protection locked="0"/>
    </xf>
    <xf numFmtId="38" fontId="21" fillId="0" borderId="40" xfId="0" applyNumberFormat="1" applyFont="1" applyBorder="1" applyAlignment="1" applyProtection="1">
      <alignment horizontal="right" vertical="center" wrapText="1"/>
      <protection locked="0"/>
    </xf>
    <xf numFmtId="0" fontId="21" fillId="0" borderId="10" xfId="0" applyFont="1" applyBorder="1" applyAlignment="1" applyProtection="1">
      <alignment horizontal="left" vertical="center" wrapText="1"/>
      <protection/>
    </xf>
    <xf numFmtId="0" fontId="21" fillId="0" borderId="58" xfId="0" applyFont="1" applyBorder="1" applyAlignment="1" applyProtection="1">
      <alignment horizontal="left" vertical="center" wrapText="1"/>
      <protection/>
    </xf>
    <xf numFmtId="0" fontId="21" fillId="0" borderId="56" xfId="0" applyFont="1" applyBorder="1" applyAlignment="1" applyProtection="1">
      <alignment horizontal="center" vertical="center" wrapText="1"/>
      <protection/>
    </xf>
    <xf numFmtId="0" fontId="21" fillId="0" borderId="11" xfId="0" applyFont="1" applyBorder="1" applyAlignment="1" applyProtection="1">
      <alignment horizontal="center" vertical="center" wrapText="1"/>
      <protection/>
    </xf>
    <xf numFmtId="3" fontId="21" fillId="0" borderId="33" xfId="0" applyNumberFormat="1" applyFont="1" applyBorder="1" applyAlignment="1" applyProtection="1">
      <alignment horizontal="right" vertical="center" wrapText="1"/>
      <protection locked="0"/>
    </xf>
    <xf numFmtId="3" fontId="21" fillId="0" borderId="65" xfId="0" applyNumberFormat="1" applyFont="1" applyBorder="1" applyAlignment="1" applyProtection="1">
      <alignment horizontal="right" vertical="center" wrapText="1"/>
      <protection locked="0"/>
    </xf>
    <xf numFmtId="3" fontId="21" fillId="0" borderId="24" xfId="0" applyNumberFormat="1" applyFont="1" applyBorder="1" applyAlignment="1" applyProtection="1">
      <alignment horizontal="right" vertical="center" wrapText="1"/>
      <protection locked="0"/>
    </xf>
    <xf numFmtId="0" fontId="21" fillId="0" borderId="57" xfId="0" applyFont="1" applyBorder="1" applyAlignment="1" applyProtection="1">
      <alignment vertical="center" wrapText="1"/>
      <protection locked="0"/>
    </xf>
    <xf numFmtId="0" fontId="21" fillId="0" borderId="57" xfId="0" applyFont="1" applyBorder="1" applyAlignment="1" applyProtection="1">
      <alignment horizontal="left" vertical="center" wrapText="1"/>
      <protection locked="0"/>
    </xf>
    <xf numFmtId="0" fontId="21" fillId="0" borderId="53" xfId="0" applyNumberFormat="1" applyFont="1" applyBorder="1" applyAlignment="1" applyProtection="1">
      <alignment horizontal="right" vertical="center"/>
      <protection locked="0"/>
    </xf>
    <xf numFmtId="0" fontId="21" fillId="0" borderId="66" xfId="0" applyNumberFormat="1" applyFont="1" applyBorder="1" applyAlignment="1" applyProtection="1">
      <alignment horizontal="right" vertical="center"/>
      <protection locked="0"/>
    </xf>
    <xf numFmtId="3" fontId="21" fillId="0" borderId="55" xfId="0" applyNumberFormat="1" applyFont="1" applyBorder="1" applyAlignment="1" applyProtection="1">
      <alignment horizontal="right" vertical="center" wrapText="1"/>
      <protection locked="0"/>
    </xf>
    <xf numFmtId="3" fontId="21" fillId="0" borderId="56" xfId="0" applyNumberFormat="1" applyFont="1" applyBorder="1" applyAlignment="1" applyProtection="1">
      <alignment horizontal="right" vertical="center" wrapText="1"/>
      <protection locked="0"/>
    </xf>
    <xf numFmtId="3" fontId="21" fillId="0" borderId="35" xfId="0" applyNumberFormat="1" applyFont="1" applyBorder="1" applyAlignment="1" applyProtection="1">
      <alignment horizontal="right" vertical="center" wrapText="1"/>
      <protection locked="0"/>
    </xf>
    <xf numFmtId="3" fontId="21" fillId="0" borderId="36" xfId="0" applyNumberFormat="1" applyFont="1" applyBorder="1" applyAlignment="1" applyProtection="1">
      <alignment horizontal="right" vertical="center" wrapText="1"/>
      <protection locked="0"/>
    </xf>
    <xf numFmtId="3" fontId="21" fillId="0" borderId="25" xfId="0" applyNumberFormat="1" applyFont="1" applyBorder="1" applyAlignment="1" applyProtection="1">
      <alignment horizontal="right" vertical="center" wrapText="1"/>
      <protection locked="0"/>
    </xf>
    <xf numFmtId="0" fontId="21" fillId="0" borderId="67" xfId="0" applyFont="1" applyBorder="1" applyAlignment="1" applyProtection="1">
      <alignment horizontal="center" vertical="center" wrapText="1"/>
      <protection/>
    </xf>
    <xf numFmtId="0" fontId="21" fillId="0" borderId="68" xfId="0" applyFont="1" applyBorder="1" applyAlignment="1" applyProtection="1">
      <alignment horizontal="center" vertical="center" wrapText="1"/>
      <protection/>
    </xf>
    <xf numFmtId="0" fontId="21" fillId="0" borderId="31" xfId="0" applyFont="1" applyBorder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0" fontId="21" fillId="0" borderId="58" xfId="0" applyFont="1" applyBorder="1" applyAlignment="1" applyProtection="1">
      <alignment horizontal="center" vertical="center" wrapText="1"/>
      <protection/>
    </xf>
    <xf numFmtId="0" fontId="20" fillId="0" borderId="66" xfId="0" applyFont="1" applyBorder="1" applyAlignment="1">
      <alignment horizontal="right" vertical="center"/>
    </xf>
    <xf numFmtId="0" fontId="20" fillId="0" borderId="29" xfId="0" applyFont="1" applyBorder="1" applyAlignment="1">
      <alignment horizontal="right" vertical="center"/>
    </xf>
    <xf numFmtId="3" fontId="21" fillId="0" borderId="37" xfId="0" applyNumberFormat="1" applyFont="1" applyBorder="1" applyAlignment="1" applyProtection="1">
      <alignment horizontal="right" vertical="center" wrapText="1"/>
      <protection locked="0"/>
    </xf>
    <xf numFmtId="3" fontId="21" fillId="0" borderId="64" xfId="0" applyNumberFormat="1" applyFont="1" applyBorder="1" applyAlignment="1" applyProtection="1">
      <alignment horizontal="right" vertical="center" wrapText="1"/>
      <protection locked="0"/>
    </xf>
    <xf numFmtId="3" fontId="21" fillId="0" borderId="31" xfId="0" applyNumberFormat="1" applyFont="1" applyBorder="1" applyAlignment="1" applyProtection="1">
      <alignment horizontal="right" vertical="center" wrapText="1"/>
      <protection locked="0"/>
    </xf>
    <xf numFmtId="0" fontId="21" fillId="0" borderId="30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3" fontId="21" fillId="0" borderId="69" xfId="0" applyNumberFormat="1" applyFont="1" applyBorder="1" applyAlignment="1" applyProtection="1">
      <alignment horizontal="right" vertical="center" wrapText="1"/>
      <protection locked="0"/>
    </xf>
    <xf numFmtId="3" fontId="21" fillId="0" borderId="63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63" xfId="0" applyFont="1" applyBorder="1" applyAlignment="1" applyProtection="1">
      <alignment vertical="center" wrapText="1"/>
      <protection locked="0"/>
    </xf>
    <xf numFmtId="3" fontId="21" fillId="0" borderId="10" xfId="0" applyNumberFormat="1" applyFont="1" applyBorder="1" applyAlignment="1" applyProtection="1">
      <alignment horizontal="right" vertical="center" wrapText="1"/>
      <protection locked="0"/>
    </xf>
    <xf numFmtId="3" fontId="21" fillId="0" borderId="58" xfId="0" applyNumberFormat="1" applyFont="1" applyBorder="1" applyAlignment="1" applyProtection="1">
      <alignment horizontal="right" vertical="center" wrapText="1"/>
      <protection locked="0"/>
    </xf>
    <xf numFmtId="3" fontId="21" fillId="0" borderId="22" xfId="0" applyNumberFormat="1" applyFont="1" applyBorder="1" applyAlignment="1" applyProtection="1">
      <alignment horizontal="right" vertical="center" wrapText="1"/>
      <protection locked="0"/>
    </xf>
    <xf numFmtId="0" fontId="21" fillId="0" borderId="13" xfId="0" applyNumberFormat="1" applyFont="1" applyFill="1" applyBorder="1" applyAlignment="1" applyProtection="1">
      <alignment horizontal="right" vertical="center"/>
      <protection locked="0"/>
    </xf>
    <xf numFmtId="0" fontId="21" fillId="0" borderId="29" xfId="0" applyNumberFormat="1" applyFont="1" applyFill="1" applyBorder="1" applyAlignment="1" applyProtection="1">
      <alignment horizontal="right" vertical="center"/>
      <protection locked="0"/>
    </xf>
    <xf numFmtId="0" fontId="22" fillId="0" borderId="14" xfId="0" applyFont="1" applyFill="1" applyBorder="1" applyAlignment="1" applyProtection="1">
      <alignment horizontal="right" vertical="center" wrapText="1"/>
      <protection/>
    </xf>
    <xf numFmtId="0" fontId="22" fillId="0" borderId="15" xfId="0" applyFont="1" applyFill="1" applyBorder="1" applyAlignment="1" applyProtection="1">
      <alignment horizontal="right" vertical="center" wrapText="1"/>
      <protection/>
    </xf>
    <xf numFmtId="38" fontId="21" fillId="0" borderId="70" xfId="0" applyNumberFormat="1" applyFont="1" applyBorder="1" applyAlignment="1" applyProtection="1">
      <alignment horizontal="right" vertical="center" wrapText="1"/>
      <protection locked="0"/>
    </xf>
    <xf numFmtId="38" fontId="21" fillId="0" borderId="71" xfId="0" applyNumberFormat="1" applyFont="1" applyBorder="1" applyAlignment="1" applyProtection="1">
      <alignment horizontal="right" vertical="center" wrapText="1"/>
      <protection locked="0"/>
    </xf>
    <xf numFmtId="38" fontId="21" fillId="0" borderId="72" xfId="0" applyNumberFormat="1" applyFont="1" applyBorder="1" applyAlignment="1" applyProtection="1">
      <alignment horizontal="right" vertical="center" wrapText="1"/>
      <protection locked="0"/>
    </xf>
    <xf numFmtId="38" fontId="21" fillId="0" borderId="52" xfId="0" applyNumberFormat="1" applyFont="1" applyBorder="1" applyAlignment="1" applyProtection="1">
      <alignment horizontal="right" vertical="center" wrapText="1"/>
      <protection locked="0"/>
    </xf>
    <xf numFmtId="38" fontId="21" fillId="0" borderId="50" xfId="0" applyNumberFormat="1" applyFont="1" applyBorder="1" applyAlignment="1" applyProtection="1">
      <alignment horizontal="right" vertical="center" wrapText="1"/>
      <protection locked="0"/>
    </xf>
    <xf numFmtId="0" fontId="21" fillId="0" borderId="47" xfId="0" applyFont="1" applyBorder="1" applyAlignment="1" applyProtection="1">
      <alignment horizontal="left" vertical="center" wrapText="1"/>
      <protection locked="0"/>
    </xf>
    <xf numFmtId="0" fontId="21" fillId="0" borderId="40" xfId="0" applyFont="1" applyBorder="1" applyAlignment="1" applyProtection="1">
      <alignment horizontal="left" vertical="center" wrapText="1"/>
      <protection locked="0"/>
    </xf>
    <xf numFmtId="0" fontId="21" fillId="0" borderId="36" xfId="0" applyFont="1" applyBorder="1" applyAlignment="1" applyProtection="1">
      <alignment horizontal="left" vertical="center" wrapText="1"/>
      <protection locked="0"/>
    </xf>
    <xf numFmtId="0" fontId="21" fillId="0" borderId="25" xfId="0" applyFont="1" applyBorder="1" applyAlignment="1" applyProtection="1">
      <alignment horizontal="left" vertical="center" wrapText="1"/>
      <protection locked="0"/>
    </xf>
    <xf numFmtId="0" fontId="21" fillId="0" borderId="73" xfId="0" applyNumberFormat="1" applyFont="1" applyBorder="1" applyAlignment="1" applyProtection="1">
      <alignment horizontal="right" vertical="center"/>
      <protection locked="0"/>
    </xf>
    <xf numFmtId="0" fontId="21" fillId="0" borderId="74" xfId="0" applyNumberFormat="1" applyFont="1" applyBorder="1" applyAlignment="1" applyProtection="1">
      <alignment horizontal="right" vertical="center"/>
      <protection locked="0"/>
    </xf>
    <xf numFmtId="3" fontId="21" fillId="0" borderId="47" xfId="0" applyNumberFormat="1" applyFont="1" applyBorder="1" applyAlignment="1" applyProtection="1">
      <alignment horizontal="right" vertical="center" wrapText="1"/>
      <protection locked="0"/>
    </xf>
    <xf numFmtId="3" fontId="21" fillId="0" borderId="40" xfId="0" applyNumberFormat="1" applyFont="1" applyBorder="1" applyAlignment="1" applyProtection="1">
      <alignment horizontal="right" vertical="center" wrapText="1"/>
      <protection locked="0"/>
    </xf>
    <xf numFmtId="38" fontId="21" fillId="0" borderId="51" xfId="0" applyNumberFormat="1" applyFont="1" applyBorder="1" applyAlignment="1" applyProtection="1">
      <alignment horizontal="right" vertical="center" wrapText="1"/>
      <protection locked="0"/>
    </xf>
    <xf numFmtId="38" fontId="21" fillId="0" borderId="49" xfId="0" applyNumberFormat="1" applyFont="1" applyBorder="1" applyAlignment="1" applyProtection="1">
      <alignment horizontal="right" vertical="center" wrapText="1"/>
      <protection locked="0"/>
    </xf>
    <xf numFmtId="38" fontId="21" fillId="0" borderId="75" xfId="0" applyNumberFormat="1" applyFont="1" applyBorder="1" applyAlignment="1" applyProtection="1">
      <alignment horizontal="right" vertical="center" wrapText="1"/>
      <protection locked="0"/>
    </xf>
    <xf numFmtId="38" fontId="21" fillId="0" borderId="23" xfId="0" applyNumberFormat="1" applyFont="1" applyBorder="1" applyAlignment="1" applyProtection="1">
      <alignment horizontal="right" vertical="center" wrapText="1"/>
      <protection locked="0"/>
    </xf>
    <xf numFmtId="40" fontId="21" fillId="0" borderId="53" xfId="0" applyNumberFormat="1" applyFont="1" applyBorder="1" applyAlignment="1" applyProtection="1">
      <alignment horizontal="right" vertical="center" wrapText="1"/>
      <protection locked="0"/>
    </xf>
    <xf numFmtId="40" fontId="21" fillId="0" borderId="66" xfId="0" applyNumberFormat="1" applyFont="1" applyBorder="1" applyAlignment="1" applyProtection="1">
      <alignment horizontal="right" vertical="center" wrapText="1"/>
      <protection locked="0"/>
    </xf>
    <xf numFmtId="40" fontId="21" fillId="0" borderId="54" xfId="0" applyNumberFormat="1" applyFont="1" applyBorder="1" applyAlignment="1" applyProtection="1">
      <alignment horizontal="right" vertical="center" wrapText="1"/>
      <protection locked="0"/>
    </xf>
    <xf numFmtId="38" fontId="21" fillId="0" borderId="10" xfId="0" applyNumberFormat="1" applyFont="1" applyFill="1" applyBorder="1" applyAlignment="1" applyProtection="1">
      <alignment horizontal="right" vertical="center" wrapText="1"/>
      <protection locked="0"/>
    </xf>
    <xf numFmtId="38" fontId="21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21" fillId="0" borderId="63" xfId="0" applyNumberFormat="1" applyFont="1" applyBorder="1" applyAlignment="1" applyProtection="1">
      <alignment horizontal="right" vertical="center" wrapText="1"/>
      <protection locked="0"/>
    </xf>
    <xf numFmtId="3" fontId="21" fillId="0" borderId="57" xfId="0" applyNumberFormat="1" applyFont="1" applyBorder="1" applyAlignment="1" applyProtection="1">
      <alignment horizontal="right" vertical="center" wrapText="1"/>
      <protection locked="0"/>
    </xf>
    <xf numFmtId="3" fontId="21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21" fillId="0" borderId="34" xfId="0" applyNumberFormat="1" applyFont="1" applyBorder="1" applyAlignment="1" applyProtection="1">
      <alignment horizontal="right" vertical="center" wrapText="1"/>
      <protection locked="0"/>
    </xf>
    <xf numFmtId="3" fontId="21" fillId="0" borderId="56" xfId="0" applyNumberFormat="1" applyFont="1" applyBorder="1" applyAlignment="1" applyProtection="1">
      <alignment horizontal="right" vertical="center" wrapText="1"/>
      <protection locked="0"/>
    </xf>
    <xf numFmtId="3" fontId="21" fillId="0" borderId="35" xfId="0" applyNumberFormat="1" applyFont="1" applyBorder="1" applyAlignment="1" applyProtection="1">
      <alignment horizontal="right" vertical="center" wrapText="1"/>
      <protection locked="0"/>
    </xf>
    <xf numFmtId="40" fontId="21" fillId="0" borderId="10" xfId="0" applyNumberFormat="1" applyFont="1" applyBorder="1" applyAlignment="1" applyProtection="1">
      <alignment horizontal="right" vertical="center" wrapText="1"/>
      <protection locked="0"/>
    </xf>
    <xf numFmtId="40" fontId="21" fillId="0" borderId="58" xfId="0" applyNumberFormat="1" applyFont="1" applyBorder="1" applyAlignment="1" applyProtection="1">
      <alignment horizontal="right" vertical="center" wrapText="1"/>
      <protection locked="0"/>
    </xf>
    <xf numFmtId="40" fontId="21" fillId="0" borderId="22" xfId="0" applyNumberFormat="1" applyFont="1" applyBorder="1" applyAlignment="1" applyProtection="1">
      <alignment horizontal="right" vertical="center" wrapText="1"/>
      <protection locked="0"/>
    </xf>
    <xf numFmtId="40" fontId="21" fillId="0" borderId="13" xfId="0" applyNumberFormat="1" applyFont="1" applyBorder="1" applyAlignment="1" applyProtection="1">
      <alignment horizontal="right" vertical="center" wrapText="1"/>
      <protection locked="0"/>
    </xf>
    <xf numFmtId="40" fontId="21" fillId="0" borderId="29" xfId="0" applyNumberFormat="1" applyFont="1" applyBorder="1" applyAlignment="1" applyProtection="1">
      <alignment horizontal="right" vertical="center" wrapText="1"/>
      <protection locked="0"/>
    </xf>
    <xf numFmtId="0" fontId="21" fillId="0" borderId="34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2"/>
  <sheetViews>
    <sheetView tabSelected="1" view="pageBreakPreview" zoomScaleSheetLayoutView="100" zoomScalePageLayoutView="0" workbookViewId="0" topLeftCell="A1">
      <selection activeCell="V3" sqref="V3"/>
    </sheetView>
  </sheetViews>
  <sheetFormatPr defaultColWidth="9.140625" defaultRowHeight="12.75"/>
  <cols>
    <col min="1" max="1" width="3.57421875" style="124" customWidth="1"/>
    <col min="2" max="2" width="24.7109375" style="121" customWidth="1"/>
    <col min="3" max="3" width="7.28125" style="121" hidden="1" customWidth="1"/>
    <col min="4" max="4" width="7.00390625" style="121" hidden="1" customWidth="1"/>
    <col min="5" max="5" width="7.7109375" style="121" hidden="1" customWidth="1"/>
    <col min="6" max="6" width="0" style="121" hidden="1" customWidth="1"/>
    <col min="7" max="7" width="8.57421875" style="121" hidden="1" customWidth="1"/>
    <col min="8" max="8" width="5.140625" style="121" customWidth="1"/>
    <col min="9" max="9" width="6.57421875" style="121" bestFit="1" customWidth="1"/>
    <col min="10" max="10" width="5.7109375" style="121" bestFit="1" customWidth="1"/>
    <col min="11" max="12" width="6.57421875" style="121" bestFit="1" customWidth="1"/>
    <col min="13" max="13" width="5.7109375" style="121" bestFit="1" customWidth="1"/>
    <col min="14" max="14" width="6.57421875" style="121" bestFit="1" customWidth="1"/>
    <col min="15" max="16" width="5.7109375" style="122" bestFit="1" customWidth="1"/>
    <col min="17" max="17" width="6.57421875" style="122" bestFit="1" customWidth="1"/>
    <col min="18" max="18" width="8.00390625" style="121" customWidth="1"/>
    <col min="19" max="19" width="5.7109375" style="123" bestFit="1" customWidth="1"/>
    <col min="20" max="20" width="7.00390625" style="123" bestFit="1" customWidth="1"/>
    <col min="21" max="21" width="7.57421875" style="123" bestFit="1" customWidth="1"/>
    <col min="22" max="22" width="13.00390625" style="5" customWidth="1"/>
    <col min="23" max="16384" width="9.140625" style="5" customWidth="1"/>
  </cols>
  <sheetData>
    <row r="1" spans="1:22" ht="15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2"/>
      <c r="S1" s="4"/>
      <c r="T1" s="4"/>
      <c r="U1" s="4"/>
      <c r="V1" s="141" t="s">
        <v>55</v>
      </c>
    </row>
    <row r="2" spans="1:21" ht="11.25">
      <c r="A2" s="6" t="s">
        <v>0</v>
      </c>
      <c r="B2" s="7"/>
      <c r="C2" s="7"/>
      <c r="D2" s="7"/>
      <c r="E2" s="7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2"/>
      <c r="S2" s="4"/>
      <c r="T2" s="4"/>
      <c r="U2" s="4"/>
    </row>
    <row r="3" spans="1:21" ht="11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  <c r="Q3" s="3"/>
      <c r="R3" s="2"/>
      <c r="S3" s="4"/>
      <c r="T3" s="4"/>
      <c r="U3" s="4"/>
    </row>
    <row r="4" spans="1:21" ht="11.25">
      <c r="A4" s="8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3"/>
      <c r="Q4" s="3"/>
      <c r="R4" s="2"/>
      <c r="S4" s="4"/>
      <c r="T4" s="4"/>
      <c r="U4" s="4"/>
    </row>
    <row r="5" spans="1:21" ht="11.25">
      <c r="A5" s="1"/>
      <c r="B5" s="2"/>
      <c r="C5" s="2"/>
      <c r="D5" s="2"/>
      <c r="E5" s="2"/>
      <c r="F5" s="2"/>
      <c r="G5" s="2"/>
      <c r="H5" s="9" t="s">
        <v>2</v>
      </c>
      <c r="I5" s="2"/>
      <c r="J5" s="2"/>
      <c r="K5" s="2"/>
      <c r="L5" s="2"/>
      <c r="M5" s="2"/>
      <c r="N5" s="2"/>
      <c r="O5" s="3"/>
      <c r="P5" s="3"/>
      <c r="Q5" s="3"/>
      <c r="R5" s="2"/>
      <c r="S5" s="4"/>
      <c r="T5" s="4"/>
      <c r="U5" s="4"/>
    </row>
    <row r="6" spans="1:21" ht="11.25">
      <c r="A6" s="1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  <c r="P6" s="3"/>
      <c r="Q6" s="3"/>
      <c r="R6" s="2"/>
      <c r="S6" s="4"/>
      <c r="T6" s="4"/>
      <c r="U6" s="4"/>
    </row>
    <row r="7" spans="1:21" ht="11.25">
      <c r="A7" s="1" t="s">
        <v>4</v>
      </c>
      <c r="B7" s="2"/>
      <c r="C7" s="2"/>
      <c r="D7" s="2"/>
      <c r="E7" s="2"/>
      <c r="F7" s="2"/>
      <c r="G7" s="2"/>
      <c r="H7" s="10"/>
      <c r="I7" s="10"/>
      <c r="J7" s="2"/>
      <c r="K7" s="2"/>
      <c r="L7" s="2"/>
      <c r="M7" s="2"/>
      <c r="N7" s="2"/>
      <c r="O7" s="3"/>
      <c r="P7" s="3"/>
      <c r="Q7" s="3"/>
      <c r="R7" s="2"/>
      <c r="S7" s="4"/>
      <c r="T7" s="4"/>
      <c r="U7" s="4"/>
    </row>
    <row r="8" spans="1:22" ht="11.25" customHeight="1">
      <c r="A8" s="222" t="s">
        <v>5</v>
      </c>
      <c r="B8" s="243" t="s">
        <v>6</v>
      </c>
      <c r="C8" s="225" t="s">
        <v>7</v>
      </c>
      <c r="D8" s="225"/>
      <c r="E8" s="225"/>
      <c r="F8" s="225"/>
      <c r="G8" s="225"/>
      <c r="H8" s="238" t="s">
        <v>8</v>
      </c>
      <c r="I8" s="239"/>
      <c r="J8" s="239"/>
      <c r="K8" s="240"/>
      <c r="L8" s="148" t="s">
        <v>9</v>
      </c>
      <c r="M8" s="149"/>
      <c r="N8" s="150"/>
      <c r="O8" s="143" t="s">
        <v>10</v>
      </c>
      <c r="P8" s="144"/>
      <c r="Q8" s="137"/>
      <c r="R8" s="150" t="s">
        <v>11</v>
      </c>
      <c r="S8" s="217" t="s">
        <v>12</v>
      </c>
      <c r="T8" s="218"/>
      <c r="U8" s="219"/>
      <c r="V8" s="295" t="s">
        <v>13</v>
      </c>
    </row>
    <row r="9" spans="1:22" ht="15" customHeight="1">
      <c r="A9" s="223"/>
      <c r="B9" s="244"/>
      <c r="C9" s="12" t="s">
        <v>14</v>
      </c>
      <c r="D9" s="12" t="s">
        <v>15</v>
      </c>
      <c r="E9" s="12" t="s">
        <v>16</v>
      </c>
      <c r="F9" s="12" t="s">
        <v>17</v>
      </c>
      <c r="G9" s="12" t="s">
        <v>18</v>
      </c>
      <c r="H9" s="250" t="s">
        <v>19</v>
      </c>
      <c r="I9" s="224" t="s">
        <v>20</v>
      </c>
      <c r="J9" s="241" t="s">
        <v>21</v>
      </c>
      <c r="K9" s="142" t="s">
        <v>22</v>
      </c>
      <c r="L9" s="151"/>
      <c r="M9" s="152"/>
      <c r="N9" s="142"/>
      <c r="O9" s="138"/>
      <c r="P9" s="139"/>
      <c r="Q9" s="140"/>
      <c r="R9" s="187"/>
      <c r="S9" s="217"/>
      <c r="T9" s="218"/>
      <c r="U9" s="219"/>
      <c r="V9" s="296"/>
    </row>
    <row r="10" spans="1:22" ht="15.75" customHeight="1" thickBot="1">
      <c r="A10" s="223"/>
      <c r="B10" s="244"/>
      <c r="C10" s="11"/>
      <c r="D10" s="11"/>
      <c r="E10" s="11"/>
      <c r="F10" s="11"/>
      <c r="G10" s="11"/>
      <c r="H10" s="251"/>
      <c r="I10" s="224"/>
      <c r="J10" s="242"/>
      <c r="K10" s="150"/>
      <c r="L10" s="13" t="s">
        <v>23</v>
      </c>
      <c r="M10" s="14" t="s">
        <v>21</v>
      </c>
      <c r="N10" s="15" t="s">
        <v>22</v>
      </c>
      <c r="O10" s="16" t="s">
        <v>20</v>
      </c>
      <c r="P10" s="17" t="s">
        <v>21</v>
      </c>
      <c r="Q10" s="18" t="s">
        <v>22</v>
      </c>
      <c r="R10" s="187"/>
      <c r="S10" s="16" t="s">
        <v>20</v>
      </c>
      <c r="T10" s="17" t="s">
        <v>21</v>
      </c>
      <c r="U10" s="19" t="s">
        <v>22</v>
      </c>
      <c r="V10" s="297"/>
    </row>
    <row r="11" spans="1:22" ht="12.75" customHeight="1" thickBot="1">
      <c r="A11" s="260" t="s">
        <v>22</v>
      </c>
      <c r="B11" s="261"/>
      <c r="C11" s="127">
        <f>SUM(C12:C79)</f>
        <v>291004</v>
      </c>
      <c r="D11" s="127">
        <f>SUM(D12:D79)</f>
        <v>61125</v>
      </c>
      <c r="E11" s="127">
        <f>SUM(E12:E79)</f>
        <v>352129</v>
      </c>
      <c r="F11" s="125">
        <f>SUM(F12:F79)</f>
        <v>338531</v>
      </c>
      <c r="G11" s="125">
        <f>SUM(G12:G79)</f>
        <v>312231</v>
      </c>
      <c r="H11" s="128"/>
      <c r="I11" s="125">
        <f aca="true" t="shared" si="0" ref="I11:V11">SUM(I12:I79)</f>
        <v>196616</v>
      </c>
      <c r="J11" s="125">
        <f t="shared" si="0"/>
        <v>95740</v>
      </c>
      <c r="K11" s="129">
        <f t="shared" si="0"/>
        <v>292356</v>
      </c>
      <c r="L11" s="130">
        <f>SUM(L12:L79)</f>
        <v>117665.77099999998</v>
      </c>
      <c r="M11" s="125">
        <f t="shared" si="0"/>
        <v>46964.84999999999</v>
      </c>
      <c r="N11" s="129">
        <f t="shared" si="0"/>
        <v>164630.621</v>
      </c>
      <c r="O11" s="131">
        <f t="shared" si="0"/>
        <v>78950.229</v>
      </c>
      <c r="P11" s="131">
        <f t="shared" si="0"/>
        <v>48775.15000000001</v>
      </c>
      <c r="Q11" s="132">
        <f t="shared" si="0"/>
        <v>127725.379</v>
      </c>
      <c r="R11" s="133">
        <f t="shared" si="0"/>
        <v>52277.76000000001</v>
      </c>
      <c r="S11" s="131">
        <f t="shared" si="0"/>
        <v>57109.04900000001</v>
      </c>
      <c r="T11" s="131">
        <f t="shared" si="0"/>
        <v>18708.28</v>
      </c>
      <c r="U11" s="132">
        <f t="shared" si="0"/>
        <v>76491.509</v>
      </c>
      <c r="V11" s="134">
        <f t="shared" si="0"/>
        <v>-3100</v>
      </c>
    </row>
    <row r="12" spans="1:23" ht="34.5" thickBot="1">
      <c r="A12" s="20">
        <v>1</v>
      </c>
      <c r="B12" s="21" t="s">
        <v>24</v>
      </c>
      <c r="C12" s="21">
        <v>20500</v>
      </c>
      <c r="D12" s="22"/>
      <c r="E12" s="22">
        <f>C12+D12</f>
        <v>20500</v>
      </c>
      <c r="F12" s="23">
        <v>20300</v>
      </c>
      <c r="G12" s="24">
        <v>20300</v>
      </c>
      <c r="H12" s="25">
        <v>2212</v>
      </c>
      <c r="I12" s="26">
        <f>17000-3000</f>
        <v>14000</v>
      </c>
      <c r="J12" s="126"/>
      <c r="K12" s="27">
        <f>I12+J12</f>
        <v>14000</v>
      </c>
      <c r="L12" s="28">
        <f>101.651+103.84+1265+1329.03+1410.66+1417.22+1417.85+1435.61+1529.7-3.01-0.06-0.11+0.11</f>
        <v>10007.491000000002</v>
      </c>
      <c r="M12" s="26"/>
      <c r="N12" s="29">
        <f>SUM(L12:M12)</f>
        <v>10007.491000000002</v>
      </c>
      <c r="O12" s="30">
        <f>I12-SUM(L12:L12)</f>
        <v>3992.508999999998</v>
      </c>
      <c r="P12" s="31"/>
      <c r="Q12" s="32">
        <f>SUM(O12:P12)</f>
        <v>3992.508999999998</v>
      </c>
      <c r="R12" s="33"/>
      <c r="S12" s="34">
        <f>I12-SUM(L12:L12)-R12</f>
        <v>3992.508999999998</v>
      </c>
      <c r="T12" s="34"/>
      <c r="U12" s="35">
        <f>SUM(S12:T12)</f>
        <v>3992.508999999998</v>
      </c>
      <c r="V12" s="36">
        <v>-200</v>
      </c>
      <c r="W12" s="37"/>
    </row>
    <row r="13" spans="1:22" ht="11.25">
      <c r="A13" s="206">
        <v>2</v>
      </c>
      <c r="B13" s="204" t="s">
        <v>25</v>
      </c>
      <c r="C13" s="38"/>
      <c r="D13" s="39"/>
      <c r="E13" s="39"/>
      <c r="F13" s="40"/>
      <c r="G13" s="41"/>
      <c r="H13" s="232">
        <v>2214</v>
      </c>
      <c r="I13" s="256">
        <f>14148-1000</f>
        <v>13148</v>
      </c>
      <c r="J13" s="191">
        <v>3000</v>
      </c>
      <c r="K13" s="227">
        <f>I13+J13</f>
        <v>16148</v>
      </c>
      <c r="L13" s="42">
        <f>1378.06+1275.06+1264.44+1506.88+1721.35+1548.54</f>
        <v>8694.330000000002</v>
      </c>
      <c r="M13" s="43">
        <f>1343.11</f>
        <v>1343.11</v>
      </c>
      <c r="N13" s="193">
        <f>SUM(L13:M14)</f>
        <v>12798.000000000002</v>
      </c>
      <c r="O13" s="156">
        <f>I13-SUM(L13:L14)</f>
        <v>1732.579999999998</v>
      </c>
      <c r="P13" s="159">
        <f>J13-SUM(M13:M14)</f>
        <v>1617.42</v>
      </c>
      <c r="Q13" s="194">
        <f>O13+P13</f>
        <v>3349.999999999998</v>
      </c>
      <c r="R13" s="44"/>
      <c r="S13" s="156">
        <f>I13-SUM(L13:L14)</f>
        <v>1732.579999999998</v>
      </c>
      <c r="T13" s="159">
        <f>J13-SUM(M13:M14)</f>
        <v>1617.42</v>
      </c>
      <c r="U13" s="194">
        <f>S13+T13</f>
        <v>3349.999999999998</v>
      </c>
      <c r="V13" s="166">
        <v>-100</v>
      </c>
    </row>
    <row r="14" spans="1:22" ht="13.5" customHeight="1" thickBot="1">
      <c r="A14" s="180"/>
      <c r="B14" s="254"/>
      <c r="C14" s="45">
        <v>25264</v>
      </c>
      <c r="D14" s="46">
        <v>2000</v>
      </c>
      <c r="E14" s="46">
        <f>C14+D14</f>
        <v>27264</v>
      </c>
      <c r="F14" s="47">
        <v>23764</v>
      </c>
      <c r="G14" s="48">
        <v>23764</v>
      </c>
      <c r="H14" s="182"/>
      <c r="I14" s="284"/>
      <c r="J14" s="253"/>
      <c r="K14" s="252"/>
      <c r="L14" s="49">
        <f>51.13+18+5.93+46.2+37.63+28.61+10.15+41.3+32.49+18+31.68+129.18+41.3+9.9+4.9+33.95+23.15+50.75+42.35+47.25+42.35+47.25+73.46+18.01+15.91+47.25+13+67.48+14.59+40.74+47.25+40.03+18+42.35+47.25+78.53+133.03+42.35+47.25+19.27+45.16+24.77+78.53+59.53+20.3+42.35+50.26+47.25+18+42.35+42.35+42.35+74.68+47.25+34.33+21.71+78.53+82.75+42.35+78.53+42.35+42.35+42.35+42.35+47.25+45.89-15.16-0.47+15.16-18.18-11.85-11.52-26.75+55.21-23.26-1.47-4.33-30.19-1.81-0.13-15.35-6.97-8.51-13.52-1.25-3.42-0.21+10</f>
        <v>2721.0899999999992</v>
      </c>
      <c r="M14" s="50">
        <f>39.47</f>
        <v>39.47</v>
      </c>
      <c r="N14" s="154"/>
      <c r="O14" s="174"/>
      <c r="P14" s="176"/>
      <c r="Q14" s="178"/>
      <c r="R14" s="51"/>
      <c r="S14" s="174"/>
      <c r="T14" s="176"/>
      <c r="U14" s="178"/>
      <c r="V14" s="167"/>
    </row>
    <row r="15" spans="1:22" ht="11.25">
      <c r="A15" s="230">
        <v>3</v>
      </c>
      <c r="B15" s="229" t="s">
        <v>26</v>
      </c>
      <c r="C15" s="38">
        <v>26500</v>
      </c>
      <c r="D15" s="39">
        <v>5000</v>
      </c>
      <c r="E15" s="39">
        <f>C15+D15</f>
        <v>31500</v>
      </c>
      <c r="F15" s="40">
        <v>37500</v>
      </c>
      <c r="G15" s="41">
        <v>37500</v>
      </c>
      <c r="H15" s="231">
        <v>2221</v>
      </c>
      <c r="I15" s="233">
        <v>29750</v>
      </c>
      <c r="J15" s="190">
        <v>12000</v>
      </c>
      <c r="K15" s="153">
        <f>I15+J15</f>
        <v>41750</v>
      </c>
      <c r="L15" s="52">
        <f>5947.24+6633+5932.83+5364.74+2930.19+145.41</f>
        <v>26953.409999999996</v>
      </c>
      <c r="M15" s="43">
        <f>822.49</f>
        <v>822.49</v>
      </c>
      <c r="N15" s="153">
        <f>SUM(L15:M17)</f>
        <v>28145.609999999997</v>
      </c>
      <c r="O15" s="155">
        <f>I15-SUM(L15:L17)</f>
        <v>2426.8800000000047</v>
      </c>
      <c r="P15" s="158">
        <f>J15-SUM(M15:M17)</f>
        <v>11177.51</v>
      </c>
      <c r="Q15" s="214">
        <f>O15+P15</f>
        <v>13604.390000000005</v>
      </c>
      <c r="R15" s="44"/>
      <c r="S15" s="155">
        <f>I15-L15-R15</f>
        <v>2796.590000000004</v>
      </c>
      <c r="T15" s="158">
        <f>J15-M15-R15</f>
        <v>11177.51</v>
      </c>
      <c r="U15" s="214">
        <f>S15+T15</f>
        <v>13974.100000000004</v>
      </c>
      <c r="V15" s="168">
        <v>-300</v>
      </c>
    </row>
    <row r="16" spans="1:22" ht="11.25">
      <c r="A16" s="206"/>
      <c r="B16" s="204"/>
      <c r="C16" s="38"/>
      <c r="D16" s="39"/>
      <c r="E16" s="39"/>
      <c r="F16" s="40"/>
      <c r="G16" s="41"/>
      <c r="H16" s="232"/>
      <c r="I16" s="234"/>
      <c r="J16" s="191"/>
      <c r="K16" s="193"/>
      <c r="L16" s="52">
        <f>98.62+124.51+102.8+30.46+13.32</f>
        <v>369.71</v>
      </c>
      <c r="M16" s="43"/>
      <c r="N16" s="193"/>
      <c r="O16" s="156"/>
      <c r="P16" s="159"/>
      <c r="Q16" s="194"/>
      <c r="R16" s="44"/>
      <c r="S16" s="156"/>
      <c r="T16" s="159"/>
      <c r="U16" s="194"/>
      <c r="V16" s="164"/>
    </row>
    <row r="17" spans="1:22" ht="11.25">
      <c r="A17" s="198"/>
      <c r="B17" s="205"/>
      <c r="C17" s="38"/>
      <c r="D17" s="39"/>
      <c r="E17" s="39"/>
      <c r="F17" s="40"/>
      <c r="G17" s="41"/>
      <c r="H17" s="199"/>
      <c r="I17" s="235"/>
      <c r="J17" s="192"/>
      <c r="K17" s="162"/>
      <c r="L17" s="52"/>
      <c r="M17" s="43"/>
      <c r="N17" s="162"/>
      <c r="O17" s="157"/>
      <c r="P17" s="145"/>
      <c r="Q17" s="160"/>
      <c r="R17" s="44"/>
      <c r="S17" s="157"/>
      <c r="T17" s="145"/>
      <c r="U17" s="160"/>
      <c r="V17" s="165"/>
    </row>
    <row r="18" spans="1:22" ht="22.5">
      <c r="A18" s="57">
        <v>4</v>
      </c>
      <c r="B18" s="58" t="s">
        <v>27</v>
      </c>
      <c r="C18" s="58">
        <v>3550</v>
      </c>
      <c r="D18" s="59">
        <v>1000</v>
      </c>
      <c r="E18" s="59">
        <f>C18+D18</f>
        <v>4550</v>
      </c>
      <c r="F18" s="60">
        <v>4550</v>
      </c>
      <c r="G18" s="61">
        <v>4550</v>
      </c>
      <c r="H18" s="62">
        <v>2222</v>
      </c>
      <c r="I18" s="63">
        <v>4376</v>
      </c>
      <c r="J18" s="80">
        <v>1000</v>
      </c>
      <c r="K18" s="64">
        <f>I18+J18</f>
        <v>5376</v>
      </c>
      <c r="L18" s="65">
        <f>352.75+783.17+343.24+273.5+1054.95+397.13</f>
        <v>3204.7400000000002</v>
      </c>
      <c r="M18" s="63"/>
      <c r="N18" s="66">
        <f>L18+M18</f>
        <v>3204.7400000000002</v>
      </c>
      <c r="O18" s="67">
        <f>I18-L18</f>
        <v>1171.2599999999998</v>
      </c>
      <c r="P18" s="68">
        <f>J18-M18</f>
        <v>1000</v>
      </c>
      <c r="Q18" s="69">
        <f>O18+P18</f>
        <v>2171.2599999999998</v>
      </c>
      <c r="R18" s="64"/>
      <c r="S18" s="67">
        <f>I18-L18-R18</f>
        <v>1171.2599999999998</v>
      </c>
      <c r="T18" s="68">
        <f>J18-M18-R18</f>
        <v>1000</v>
      </c>
      <c r="U18" s="69">
        <f>S18+T18</f>
        <v>2171.2599999999998</v>
      </c>
      <c r="V18" s="70">
        <v>-300</v>
      </c>
    </row>
    <row r="19" spans="1:22" ht="11.25">
      <c r="A19" s="179">
        <v>5</v>
      </c>
      <c r="B19" s="203" t="s">
        <v>28</v>
      </c>
      <c r="C19" s="58">
        <v>22015</v>
      </c>
      <c r="D19" s="59">
        <v>1085</v>
      </c>
      <c r="E19" s="59">
        <f>C19+D19</f>
        <v>23100</v>
      </c>
      <c r="F19" s="60">
        <v>38800</v>
      </c>
      <c r="G19" s="61">
        <v>38800</v>
      </c>
      <c r="H19" s="181">
        <v>2223</v>
      </c>
      <c r="I19" s="255">
        <v>37000</v>
      </c>
      <c r="J19" s="202">
        <v>10000</v>
      </c>
      <c r="K19" s="226">
        <f>I19+J19</f>
        <v>47000</v>
      </c>
      <c r="L19" s="76">
        <f>2491.18+2608.93+2210.44+2236.03+1992.93+1827.66</f>
        <v>13367.17</v>
      </c>
      <c r="M19" s="63">
        <f>2321.48-401.88</f>
        <v>1919.6</v>
      </c>
      <c r="N19" s="161">
        <f>SUM(L19:M20)</f>
        <v>15286.77</v>
      </c>
      <c r="O19" s="173">
        <f>I19-SUM(L19:L20)</f>
        <v>23632.83</v>
      </c>
      <c r="P19" s="265">
        <f>J19-SUM(M19:M20)</f>
        <v>8080.4</v>
      </c>
      <c r="Q19" s="177">
        <f>O19+P19</f>
        <v>31713.230000000003</v>
      </c>
      <c r="R19" s="64"/>
      <c r="S19" s="275">
        <f>O19-SUM(R19:R20)</f>
        <v>23632.83</v>
      </c>
      <c r="T19" s="277">
        <f>P19-SUM(R19:R20)</f>
        <v>8080.4</v>
      </c>
      <c r="U19" s="177">
        <f>S19+T19</f>
        <v>31713.230000000003</v>
      </c>
      <c r="V19" s="163">
        <v>-500</v>
      </c>
    </row>
    <row r="20" spans="1:22" ht="11.25">
      <c r="A20" s="198"/>
      <c r="B20" s="205"/>
      <c r="C20" s="58"/>
      <c r="D20" s="59"/>
      <c r="E20" s="59"/>
      <c r="F20" s="60"/>
      <c r="G20" s="61"/>
      <c r="H20" s="199"/>
      <c r="I20" s="257"/>
      <c r="J20" s="192"/>
      <c r="K20" s="228"/>
      <c r="L20" s="76"/>
      <c r="M20" s="63"/>
      <c r="N20" s="162"/>
      <c r="O20" s="157"/>
      <c r="P20" s="266"/>
      <c r="Q20" s="160"/>
      <c r="R20" s="64"/>
      <c r="S20" s="276"/>
      <c r="T20" s="278"/>
      <c r="U20" s="160"/>
      <c r="V20" s="165"/>
    </row>
    <row r="21" spans="1:22" ht="11.25">
      <c r="A21" s="179">
        <v>6</v>
      </c>
      <c r="B21" s="179" t="s">
        <v>29</v>
      </c>
      <c r="C21" s="58">
        <v>2550</v>
      </c>
      <c r="D21" s="59">
        <v>1000</v>
      </c>
      <c r="E21" s="59">
        <f aca="true" t="shared" si="1" ref="E21:E28">C21+D21</f>
        <v>3550</v>
      </c>
      <c r="F21" s="60">
        <v>3550</v>
      </c>
      <c r="G21" s="61">
        <v>3550</v>
      </c>
      <c r="H21" s="181">
        <v>2224</v>
      </c>
      <c r="I21" s="183">
        <v>1760</v>
      </c>
      <c r="J21" s="202">
        <f>2500-699</f>
        <v>1801</v>
      </c>
      <c r="K21" s="161">
        <f aca="true" t="shared" si="2" ref="K21:K28">I21+J21</f>
        <v>3561</v>
      </c>
      <c r="L21" s="76">
        <f>247.4+282.55+254.47+249.55+235.85+228.37+74.55</f>
        <v>1572.74</v>
      </c>
      <c r="M21" s="63"/>
      <c r="N21" s="161">
        <f>SUM(L21:M22)</f>
        <v>1662.46</v>
      </c>
      <c r="O21" s="173">
        <f>I21-SUM(L21:L22)</f>
        <v>97.53999999999996</v>
      </c>
      <c r="P21" s="175">
        <f>J21-SUM(M21:M22)</f>
        <v>1801</v>
      </c>
      <c r="Q21" s="177">
        <f>K21-N21</f>
        <v>1898.54</v>
      </c>
      <c r="R21" s="64">
        <f>1926.45-SUM(L21:M21)</f>
        <v>353.71000000000004</v>
      </c>
      <c r="S21" s="173">
        <f>O21-R21</f>
        <v>-256.1700000000001</v>
      </c>
      <c r="T21" s="282">
        <f>P21-R22</f>
        <v>257</v>
      </c>
      <c r="U21" s="293">
        <f>Q21-SUM(R21:R22)</f>
        <v>0.8299999999999272</v>
      </c>
      <c r="V21" s="163"/>
    </row>
    <row r="22" spans="1:22" ht="11.25">
      <c r="A22" s="198"/>
      <c r="B22" s="198"/>
      <c r="C22" s="58">
        <v>24300</v>
      </c>
      <c r="D22" s="59"/>
      <c r="E22" s="59">
        <f t="shared" si="1"/>
        <v>24300</v>
      </c>
      <c r="F22" s="60">
        <v>0</v>
      </c>
      <c r="G22" s="61">
        <v>0</v>
      </c>
      <c r="H22" s="199"/>
      <c r="I22" s="286"/>
      <c r="J22" s="192"/>
      <c r="K22" s="162"/>
      <c r="L22" s="79">
        <f>107.58-17.86</f>
        <v>89.72</v>
      </c>
      <c r="M22" s="63"/>
      <c r="N22" s="162"/>
      <c r="O22" s="157"/>
      <c r="P22" s="145"/>
      <c r="Q22" s="160"/>
      <c r="R22" s="64">
        <f>3267.44/2-SUM(L22:M22)</f>
        <v>1544</v>
      </c>
      <c r="S22" s="157"/>
      <c r="T22" s="283"/>
      <c r="U22" s="294"/>
      <c r="V22" s="165"/>
    </row>
    <row r="23" spans="1:22" ht="22.5">
      <c r="A23" s="57">
        <v>7</v>
      </c>
      <c r="B23" s="58" t="s">
        <v>30</v>
      </c>
      <c r="C23" s="58">
        <v>200</v>
      </c>
      <c r="D23" s="59">
        <v>300</v>
      </c>
      <c r="E23" s="59">
        <f t="shared" si="1"/>
        <v>500</v>
      </c>
      <c r="F23" s="60">
        <v>500</v>
      </c>
      <c r="G23" s="61">
        <v>500</v>
      </c>
      <c r="H23" s="62">
        <v>2236</v>
      </c>
      <c r="I23" s="80">
        <v>100</v>
      </c>
      <c r="J23" s="80">
        <v>350</v>
      </c>
      <c r="K23" s="64">
        <f t="shared" si="2"/>
        <v>450</v>
      </c>
      <c r="L23" s="76">
        <f>20.97</f>
        <v>20.97</v>
      </c>
      <c r="M23" s="63"/>
      <c r="N23" s="66">
        <f>L23+M23</f>
        <v>20.97</v>
      </c>
      <c r="O23" s="67">
        <f>I23-L23</f>
        <v>79.03</v>
      </c>
      <c r="P23" s="68">
        <f>J23-M23</f>
        <v>350</v>
      </c>
      <c r="Q23" s="69">
        <f>O23+P23</f>
        <v>429.03</v>
      </c>
      <c r="R23" s="64"/>
      <c r="S23" s="67">
        <f>I23-L23-R23</f>
        <v>79.03</v>
      </c>
      <c r="T23" s="68">
        <f>J23-M23-R23</f>
        <v>350</v>
      </c>
      <c r="U23" s="69">
        <f>S23+T23</f>
        <v>429.03</v>
      </c>
      <c r="V23" s="70"/>
    </row>
    <row r="24" spans="1:22" ht="13.5" customHeight="1">
      <c r="A24" s="179">
        <v>8</v>
      </c>
      <c r="B24" s="179" t="s">
        <v>31</v>
      </c>
      <c r="C24" s="58">
        <v>500</v>
      </c>
      <c r="D24" s="59"/>
      <c r="E24" s="59">
        <f t="shared" si="1"/>
        <v>500</v>
      </c>
      <c r="F24" s="60">
        <v>1900</v>
      </c>
      <c r="G24" s="61">
        <v>1900</v>
      </c>
      <c r="H24" s="181">
        <v>2239</v>
      </c>
      <c r="I24" s="183">
        <v>1900</v>
      </c>
      <c r="J24" s="202"/>
      <c r="K24" s="161">
        <f t="shared" si="2"/>
        <v>1900</v>
      </c>
      <c r="L24" s="76">
        <f>632.5+5.69+5.69+19.9+5.69+17.06+5.69+19.9+5.69+5.69+17.06+19.9+2.84+19.9+2.84+2.84+5.69+5.69+19.9+5.69+19.9+5.69+19.9+2.84+5.69+5.69+19.9+2.84+5.69+5.69+19.9+2.84+5.69+19.9+5.69+19.9+5.69+2.84+5.69+19.9+5.69+19.9+34.12</f>
        <v>1087.430000000001</v>
      </c>
      <c r="M24" s="63"/>
      <c r="N24" s="161">
        <f>SUM(L24:M25)</f>
        <v>1155.190000000001</v>
      </c>
      <c r="O24" s="173">
        <f>I24-SUM(L24:L25)</f>
        <v>744.809999999999</v>
      </c>
      <c r="P24" s="175"/>
      <c r="Q24" s="177">
        <f>O24+P24</f>
        <v>744.809999999999</v>
      </c>
      <c r="R24" s="64">
        <f>1592.08-L24-N51</f>
        <v>213.37999999999897</v>
      </c>
      <c r="S24" s="173">
        <f>I24-SUM(L24:L25)-SUM(R24:R25)</f>
        <v>531.4300000000001</v>
      </c>
      <c r="T24" s="175"/>
      <c r="U24" s="177">
        <f>SUM(S24:T25)</f>
        <v>531.4300000000001</v>
      </c>
      <c r="V24" s="163"/>
    </row>
    <row r="25" spans="1:22" ht="12" thickBot="1">
      <c r="A25" s="180"/>
      <c r="B25" s="180"/>
      <c r="C25" s="72"/>
      <c r="D25" s="81"/>
      <c r="E25" s="81"/>
      <c r="F25" s="82"/>
      <c r="G25" s="83"/>
      <c r="H25" s="182"/>
      <c r="I25" s="184"/>
      <c r="J25" s="253"/>
      <c r="K25" s="154"/>
      <c r="L25" s="84">
        <f>48.4+19.36</f>
        <v>67.75999999999999</v>
      </c>
      <c r="M25" s="74"/>
      <c r="N25" s="154"/>
      <c r="O25" s="174"/>
      <c r="P25" s="176"/>
      <c r="Q25" s="178"/>
      <c r="R25" s="75"/>
      <c r="S25" s="174"/>
      <c r="T25" s="176"/>
      <c r="U25" s="178"/>
      <c r="V25" s="172"/>
    </row>
    <row r="26" spans="1:22" ht="11.25">
      <c r="A26" s="267">
        <v>10</v>
      </c>
      <c r="B26" s="269" t="s">
        <v>32</v>
      </c>
      <c r="C26" s="85">
        <v>3000</v>
      </c>
      <c r="D26" s="86"/>
      <c r="E26" s="86">
        <f t="shared" si="1"/>
        <v>3000</v>
      </c>
      <c r="F26" s="87">
        <v>6000</v>
      </c>
      <c r="G26" s="88">
        <v>6000</v>
      </c>
      <c r="H26" s="271">
        <v>2242</v>
      </c>
      <c r="I26" s="273">
        <f>2000+1500</f>
        <v>3500</v>
      </c>
      <c r="J26" s="236"/>
      <c r="K26" s="247">
        <f t="shared" si="2"/>
        <v>3500</v>
      </c>
      <c r="L26" s="91">
        <f>803</f>
        <v>803</v>
      </c>
      <c r="M26" s="89"/>
      <c r="N26" s="153">
        <f>SUM(L26:M27)</f>
        <v>3220.0200000000004</v>
      </c>
      <c r="O26" s="220">
        <f>I26-SUM(L26:L27)</f>
        <v>279.97999999999956</v>
      </c>
      <c r="P26" s="146"/>
      <c r="Q26" s="185">
        <f>O26+P26</f>
        <v>279.97999999999956</v>
      </c>
      <c r="R26" s="92"/>
      <c r="S26" s="220">
        <f>I26-SUM(L26:L27)-SUM(R26:R27)</f>
        <v>279.97999999999956</v>
      </c>
      <c r="T26" s="158"/>
      <c r="U26" s="214">
        <f>S26+T26</f>
        <v>279.97999999999956</v>
      </c>
      <c r="V26" s="168">
        <v>600</v>
      </c>
    </row>
    <row r="27" spans="1:22" ht="13.5" customHeight="1" thickBot="1">
      <c r="A27" s="268"/>
      <c r="B27" s="270"/>
      <c r="C27" s="45"/>
      <c r="D27" s="46"/>
      <c r="E27" s="46"/>
      <c r="F27" s="47"/>
      <c r="G27" s="48"/>
      <c r="H27" s="272"/>
      <c r="I27" s="274"/>
      <c r="J27" s="237"/>
      <c r="K27" s="248"/>
      <c r="L27" s="94">
        <f>11.98+16.85+12.5+13.3+9.9+19.99+7+3.25+9.09+7.8+11+12.15+9.3+5.99+8.6+2.11+5.99+40+9.7+20+3.6+15+11.15+4.05+8+35.31+9+165.49+17+5.4+1+3+7.88+16+195.16+12.78+33.44+17.95+6.39+4.42+9+186.16+98.83+124.52+3.64+50.38+26.2+27.98+414.33+327.47+81.32+86.13+126.7+21.15+24.69</f>
        <v>2417.0200000000004</v>
      </c>
      <c r="M27" s="50"/>
      <c r="N27" s="154"/>
      <c r="O27" s="221"/>
      <c r="P27" s="147"/>
      <c r="Q27" s="186"/>
      <c r="R27" s="95"/>
      <c r="S27" s="221"/>
      <c r="T27" s="176"/>
      <c r="U27" s="178"/>
      <c r="V27" s="172"/>
    </row>
    <row r="28" spans="1:22" ht="11.25">
      <c r="A28" s="206">
        <v>11</v>
      </c>
      <c r="B28" s="204" t="s">
        <v>33</v>
      </c>
      <c r="C28" s="38">
        <v>6500</v>
      </c>
      <c r="D28" s="39"/>
      <c r="E28" s="39">
        <f t="shared" si="1"/>
        <v>6500</v>
      </c>
      <c r="F28" s="40">
        <v>7500</v>
      </c>
      <c r="G28" s="41">
        <v>7500</v>
      </c>
      <c r="H28" s="232">
        <v>2243</v>
      </c>
      <c r="I28" s="256">
        <v>6493</v>
      </c>
      <c r="J28" s="256"/>
      <c r="K28" s="227">
        <f t="shared" si="2"/>
        <v>6493</v>
      </c>
      <c r="L28" s="96">
        <f>7.99+28+99.2+208.19+15+20+53.55+33.28+33.28+94.38+33.28+221.3+81.74+11.76+33.28+36.3+12.1+31.53+33.28+75.02+42.35</f>
        <v>1204.81</v>
      </c>
      <c r="M28" s="43"/>
      <c r="N28" s="153">
        <f>SUM(L28:M29)</f>
        <v>1306.45</v>
      </c>
      <c r="O28" s="263">
        <f>I28-SUM(L28:L29)</f>
        <v>5186.55</v>
      </c>
      <c r="P28" s="159"/>
      <c r="Q28" s="194">
        <f>O28+P28</f>
        <v>5186.55</v>
      </c>
      <c r="R28" s="44"/>
      <c r="S28" s="156">
        <f>O28-SUM(R28:R29)</f>
        <v>5186.55</v>
      </c>
      <c r="T28" s="159"/>
      <c r="U28" s="214">
        <f>S28+T28</f>
        <v>5186.55</v>
      </c>
      <c r="V28" s="169">
        <v>-300</v>
      </c>
    </row>
    <row r="29" spans="1:22" ht="13.5" customHeight="1" thickBot="1">
      <c r="A29" s="206"/>
      <c r="B29" s="254"/>
      <c r="C29" s="58"/>
      <c r="D29" s="59"/>
      <c r="E29" s="59"/>
      <c r="F29" s="60"/>
      <c r="G29" s="61"/>
      <c r="H29" s="232"/>
      <c r="I29" s="284"/>
      <c r="J29" s="256"/>
      <c r="K29" s="252"/>
      <c r="L29" s="93">
        <f>101.64</f>
        <v>101.64</v>
      </c>
      <c r="M29" s="74"/>
      <c r="N29" s="154"/>
      <c r="O29" s="263"/>
      <c r="P29" s="159"/>
      <c r="Q29" s="194"/>
      <c r="R29" s="97">
        <f>101.64-L29</f>
        <v>0</v>
      </c>
      <c r="S29" s="156"/>
      <c r="T29" s="159"/>
      <c r="U29" s="194"/>
      <c r="V29" s="170"/>
    </row>
    <row r="30" spans="1:22" ht="11.25">
      <c r="A30" s="230">
        <v>12</v>
      </c>
      <c r="B30" s="204" t="s">
        <v>34</v>
      </c>
      <c r="C30" s="58">
        <v>7500</v>
      </c>
      <c r="D30" s="59"/>
      <c r="E30" s="59">
        <f>C30+D30</f>
        <v>7500</v>
      </c>
      <c r="F30" s="60">
        <v>10300</v>
      </c>
      <c r="G30" s="61">
        <v>10300</v>
      </c>
      <c r="H30" s="231">
        <v>2244</v>
      </c>
      <c r="I30" s="285">
        <v>10300</v>
      </c>
      <c r="J30" s="285"/>
      <c r="K30" s="227">
        <f>I30+J30</f>
        <v>10300</v>
      </c>
      <c r="L30" s="78">
        <f>10+54.81+102.85+102.85+378.44+5+13.52+15.56</f>
        <v>683.03</v>
      </c>
      <c r="M30" s="98"/>
      <c r="N30" s="153">
        <f>SUM(L30:M42)</f>
        <v>4716.7699999999995</v>
      </c>
      <c r="O30" s="262">
        <f>I30-SUM(L30:L42)</f>
        <v>5583.2300000000005</v>
      </c>
      <c r="P30" s="158"/>
      <c r="Q30" s="214">
        <f>O30+P30</f>
        <v>5583.2300000000005</v>
      </c>
      <c r="R30" s="92"/>
      <c r="S30" s="215">
        <f>O30-SUM(R30:R42)</f>
        <v>792.2900000000009</v>
      </c>
      <c r="T30" s="158"/>
      <c r="U30" s="279">
        <f>S30+T30</f>
        <v>792.2900000000009</v>
      </c>
      <c r="V30" s="169"/>
    </row>
    <row r="31" spans="1:22" ht="11.25">
      <c r="A31" s="206"/>
      <c r="B31" s="204"/>
      <c r="C31" s="58"/>
      <c r="D31" s="59"/>
      <c r="E31" s="59"/>
      <c r="F31" s="60"/>
      <c r="G31" s="61"/>
      <c r="H31" s="232"/>
      <c r="I31" s="256"/>
      <c r="J31" s="256"/>
      <c r="K31" s="227"/>
      <c r="L31" s="78">
        <f>396.75</f>
        <v>396.75</v>
      </c>
      <c r="M31" s="52"/>
      <c r="N31" s="193"/>
      <c r="O31" s="263"/>
      <c r="P31" s="159"/>
      <c r="Q31" s="194"/>
      <c r="R31" s="99">
        <f>1848.84-L31</f>
        <v>1452.09</v>
      </c>
      <c r="S31" s="196"/>
      <c r="T31" s="159"/>
      <c r="U31" s="280"/>
      <c r="V31" s="171"/>
    </row>
    <row r="32" spans="1:22" ht="11.25">
      <c r="A32" s="206"/>
      <c r="B32" s="204"/>
      <c r="C32" s="58"/>
      <c r="D32" s="59"/>
      <c r="E32" s="59"/>
      <c r="F32" s="60"/>
      <c r="G32" s="61"/>
      <c r="H32" s="232"/>
      <c r="I32" s="256"/>
      <c r="J32" s="256"/>
      <c r="K32" s="227"/>
      <c r="L32" s="100">
        <f>273.46+273.46+273.46+273.46+273.46+273.46+273.46</f>
        <v>1914.22</v>
      </c>
      <c r="M32" s="65"/>
      <c r="N32" s="193"/>
      <c r="O32" s="263"/>
      <c r="P32" s="159"/>
      <c r="Q32" s="194"/>
      <c r="R32" s="101">
        <f>273.46*12-L32</f>
        <v>1367.2999999999995</v>
      </c>
      <c r="S32" s="196"/>
      <c r="T32" s="159"/>
      <c r="U32" s="280"/>
      <c r="V32" s="171"/>
    </row>
    <row r="33" spans="1:22" ht="11.25">
      <c r="A33" s="206"/>
      <c r="B33" s="204"/>
      <c r="C33" s="58"/>
      <c r="D33" s="59"/>
      <c r="E33" s="59"/>
      <c r="F33" s="60"/>
      <c r="G33" s="61"/>
      <c r="H33" s="232"/>
      <c r="I33" s="256"/>
      <c r="J33" s="256"/>
      <c r="K33" s="227"/>
      <c r="L33" s="100">
        <f>15.99+13.12+13.12+9.59+16.4+13.12+13.12+16.4</f>
        <v>110.86000000000001</v>
      </c>
      <c r="M33" s="65"/>
      <c r="N33" s="193"/>
      <c r="O33" s="263"/>
      <c r="P33" s="159"/>
      <c r="Q33" s="194"/>
      <c r="R33" s="101">
        <f>13.12*12-L33</f>
        <v>46.579999999999984</v>
      </c>
      <c r="S33" s="196"/>
      <c r="T33" s="159"/>
      <c r="U33" s="280"/>
      <c r="V33" s="171"/>
    </row>
    <row r="34" spans="1:22" ht="11.25">
      <c r="A34" s="206"/>
      <c r="B34" s="204"/>
      <c r="C34" s="58"/>
      <c r="D34" s="59"/>
      <c r="E34" s="59"/>
      <c r="F34" s="60"/>
      <c r="G34" s="61"/>
      <c r="H34" s="232"/>
      <c r="I34" s="256"/>
      <c r="J34" s="256"/>
      <c r="K34" s="227"/>
      <c r="L34" s="100">
        <f>50.29+50.29+53.77+50.29+62.86+37.72+15.9</f>
        <v>321.12</v>
      </c>
      <c r="M34" s="65"/>
      <c r="N34" s="193"/>
      <c r="O34" s="263"/>
      <c r="P34" s="159"/>
      <c r="Q34" s="194"/>
      <c r="R34" s="101">
        <f>50.29*12-L34</f>
        <v>282.36</v>
      </c>
      <c r="S34" s="196"/>
      <c r="T34" s="159"/>
      <c r="U34" s="280"/>
      <c r="V34" s="171"/>
    </row>
    <row r="35" spans="1:22" ht="11.25">
      <c r="A35" s="206"/>
      <c r="B35" s="204"/>
      <c r="C35" s="58"/>
      <c r="D35" s="59"/>
      <c r="E35" s="59"/>
      <c r="F35" s="60"/>
      <c r="G35" s="61"/>
      <c r="H35" s="232"/>
      <c r="I35" s="256"/>
      <c r="J35" s="256"/>
      <c r="K35" s="227"/>
      <c r="L35" s="100">
        <f>15.38+15.38+15.38+15.38+12.61+12.61</f>
        <v>86.74</v>
      </c>
      <c r="M35" s="65"/>
      <c r="N35" s="193"/>
      <c r="O35" s="263"/>
      <c r="P35" s="159"/>
      <c r="Q35" s="194"/>
      <c r="R35" s="101">
        <f>15.38*4+12.61*2-L35</f>
        <v>0</v>
      </c>
      <c r="S35" s="196"/>
      <c r="T35" s="159"/>
      <c r="U35" s="280"/>
      <c r="V35" s="171"/>
    </row>
    <row r="36" spans="1:22" ht="11.25">
      <c r="A36" s="206"/>
      <c r="B36" s="204"/>
      <c r="C36" s="58"/>
      <c r="D36" s="59"/>
      <c r="E36" s="59"/>
      <c r="F36" s="60"/>
      <c r="G36" s="61"/>
      <c r="H36" s="232"/>
      <c r="I36" s="256"/>
      <c r="J36" s="256"/>
      <c r="K36" s="227"/>
      <c r="L36" s="100">
        <f>13.12+13.12+13.12+16.4+13.12+13.12</f>
        <v>82</v>
      </c>
      <c r="M36" s="65"/>
      <c r="N36" s="193"/>
      <c r="O36" s="263"/>
      <c r="P36" s="159"/>
      <c r="Q36" s="194"/>
      <c r="R36" s="101">
        <f>13.12*12-L36</f>
        <v>75.44</v>
      </c>
      <c r="S36" s="196"/>
      <c r="T36" s="159"/>
      <c r="U36" s="280"/>
      <c r="V36" s="171"/>
    </row>
    <row r="37" spans="1:22" ht="11.25">
      <c r="A37" s="206"/>
      <c r="B37" s="204"/>
      <c r="C37" s="58"/>
      <c r="D37" s="59"/>
      <c r="E37" s="59"/>
      <c r="F37" s="60"/>
      <c r="G37" s="61"/>
      <c r="H37" s="232"/>
      <c r="I37" s="256"/>
      <c r="J37" s="256"/>
      <c r="K37" s="227"/>
      <c r="L37" s="100"/>
      <c r="M37" s="65"/>
      <c r="N37" s="193"/>
      <c r="O37" s="263"/>
      <c r="P37" s="159"/>
      <c r="Q37" s="194"/>
      <c r="R37" s="101">
        <f>61.3/4*26-L37</f>
        <v>398.45</v>
      </c>
      <c r="S37" s="196"/>
      <c r="T37" s="159"/>
      <c r="U37" s="280"/>
      <c r="V37" s="171"/>
    </row>
    <row r="38" spans="1:22" ht="11.25">
      <c r="A38" s="206"/>
      <c r="B38" s="204"/>
      <c r="C38" s="58"/>
      <c r="D38" s="59"/>
      <c r="E38" s="59"/>
      <c r="F38" s="60"/>
      <c r="G38" s="61"/>
      <c r="H38" s="232"/>
      <c r="I38" s="256"/>
      <c r="J38" s="256"/>
      <c r="K38" s="227"/>
      <c r="L38" s="100">
        <f>57.98+58.18+58.08+58.08+58.08+58.08+58.08</f>
        <v>406.55999999999995</v>
      </c>
      <c r="M38" s="65"/>
      <c r="N38" s="193"/>
      <c r="O38" s="263"/>
      <c r="P38" s="159"/>
      <c r="Q38" s="194"/>
      <c r="R38" s="101">
        <f>700-L38</f>
        <v>293.44000000000005</v>
      </c>
      <c r="S38" s="196"/>
      <c r="T38" s="159"/>
      <c r="U38" s="280"/>
      <c r="V38" s="171"/>
    </row>
    <row r="39" spans="1:22" ht="11.25">
      <c r="A39" s="206"/>
      <c r="B39" s="204"/>
      <c r="C39" s="72"/>
      <c r="D39" s="81"/>
      <c r="E39" s="81"/>
      <c r="F39" s="82"/>
      <c r="G39" s="83"/>
      <c r="H39" s="232"/>
      <c r="I39" s="256"/>
      <c r="J39" s="256"/>
      <c r="K39" s="227"/>
      <c r="L39" s="77">
        <f>96.8+94.4+96.8+96.8+62.45+96.8</f>
        <v>544.05</v>
      </c>
      <c r="M39" s="102"/>
      <c r="N39" s="193"/>
      <c r="O39" s="263"/>
      <c r="P39" s="159"/>
      <c r="Q39" s="194"/>
      <c r="R39" s="103"/>
      <c r="S39" s="196"/>
      <c r="T39" s="159"/>
      <c r="U39" s="280"/>
      <c r="V39" s="171"/>
    </row>
    <row r="40" spans="1:22" ht="11.25">
      <c r="A40" s="206"/>
      <c r="B40" s="204"/>
      <c r="C40" s="72"/>
      <c r="D40" s="81"/>
      <c r="E40" s="81"/>
      <c r="F40" s="82"/>
      <c r="G40" s="83"/>
      <c r="H40" s="232"/>
      <c r="I40" s="256"/>
      <c r="J40" s="256"/>
      <c r="K40" s="227"/>
      <c r="L40" s="77">
        <v>48.4</v>
      </c>
      <c r="M40" s="102"/>
      <c r="N40" s="193"/>
      <c r="O40" s="263"/>
      <c r="P40" s="159"/>
      <c r="Q40" s="194"/>
      <c r="R40" s="104">
        <f>96.8*7-L40</f>
        <v>629.2</v>
      </c>
      <c r="S40" s="196"/>
      <c r="T40" s="159"/>
      <c r="U40" s="280"/>
      <c r="V40" s="171"/>
    </row>
    <row r="41" spans="1:22" ht="11.25">
      <c r="A41" s="206"/>
      <c r="B41" s="204"/>
      <c r="C41" s="72"/>
      <c r="D41" s="81"/>
      <c r="E41" s="81"/>
      <c r="F41" s="82"/>
      <c r="G41" s="83"/>
      <c r="H41" s="232"/>
      <c r="I41" s="256"/>
      <c r="J41" s="256"/>
      <c r="K41" s="227"/>
      <c r="L41" s="77"/>
      <c r="M41" s="102"/>
      <c r="N41" s="193"/>
      <c r="O41" s="263"/>
      <c r="P41" s="159"/>
      <c r="Q41" s="194"/>
      <c r="R41" s="104"/>
      <c r="S41" s="196"/>
      <c r="T41" s="159"/>
      <c r="U41" s="280"/>
      <c r="V41" s="171"/>
    </row>
    <row r="42" spans="1:22" ht="14.25" customHeight="1" thickBot="1">
      <c r="A42" s="180"/>
      <c r="B42" s="254"/>
      <c r="C42" s="45"/>
      <c r="D42" s="46"/>
      <c r="E42" s="46"/>
      <c r="F42" s="47"/>
      <c r="G42" s="48"/>
      <c r="H42" s="232"/>
      <c r="I42" s="284"/>
      <c r="J42" s="284"/>
      <c r="K42" s="227"/>
      <c r="L42" s="77">
        <f>30.76+30.76+30.76+30.76</f>
        <v>123.04</v>
      </c>
      <c r="M42" s="49"/>
      <c r="N42" s="154"/>
      <c r="O42" s="264"/>
      <c r="P42" s="176"/>
      <c r="Q42" s="178"/>
      <c r="R42" s="95">
        <f>30.76*12-L42</f>
        <v>246.07999999999998</v>
      </c>
      <c r="S42" s="216"/>
      <c r="T42" s="176"/>
      <c r="U42" s="281"/>
      <c r="V42" s="170"/>
    </row>
    <row r="43" spans="1:22" ht="22.5">
      <c r="A43" s="53">
        <v>13</v>
      </c>
      <c r="B43" s="38" t="s">
        <v>35</v>
      </c>
      <c r="C43" s="38">
        <v>2000</v>
      </c>
      <c r="D43" s="39"/>
      <c r="E43" s="39">
        <f>C43+D43</f>
        <v>2000</v>
      </c>
      <c r="F43" s="40">
        <v>2000</v>
      </c>
      <c r="G43" s="41">
        <v>2000</v>
      </c>
      <c r="H43" s="105">
        <v>2245</v>
      </c>
      <c r="I43" s="43">
        <v>600</v>
      </c>
      <c r="J43" s="43"/>
      <c r="K43" s="106">
        <f>I43+J43</f>
        <v>600</v>
      </c>
      <c r="L43" s="107">
        <f>109.57+109.76</f>
        <v>219.32999999999998</v>
      </c>
      <c r="M43" s="43"/>
      <c r="N43" s="90">
        <f>L43+M43</f>
        <v>219.32999999999998</v>
      </c>
      <c r="O43" s="108">
        <f>I43-L43</f>
        <v>380.67</v>
      </c>
      <c r="P43" s="55"/>
      <c r="Q43" s="56">
        <f>O43+P43</f>
        <v>380.67</v>
      </c>
      <c r="R43" s="44"/>
      <c r="S43" s="108">
        <f>I43-L43-R43</f>
        <v>380.67</v>
      </c>
      <c r="T43" s="55"/>
      <c r="U43" s="56">
        <f>S43+T43</f>
        <v>380.67</v>
      </c>
      <c r="V43" s="109"/>
    </row>
    <row r="44" spans="1:22" ht="22.5">
      <c r="A44" s="57">
        <v>14</v>
      </c>
      <c r="B44" s="58" t="s">
        <v>36</v>
      </c>
      <c r="C44" s="58">
        <v>1000</v>
      </c>
      <c r="D44" s="59"/>
      <c r="E44" s="59">
        <f>C44+D44</f>
        <v>1000</v>
      </c>
      <c r="F44" s="60">
        <v>800</v>
      </c>
      <c r="G44" s="60">
        <v>0</v>
      </c>
      <c r="H44" s="110">
        <v>2249</v>
      </c>
      <c r="I44" s="80">
        <v>50</v>
      </c>
      <c r="J44" s="80"/>
      <c r="K44" s="64">
        <v>50</v>
      </c>
      <c r="L44" s="65"/>
      <c r="M44" s="63"/>
      <c r="N44" s="54">
        <f>L44+M44</f>
        <v>0</v>
      </c>
      <c r="O44" s="67">
        <f>I44-L44</f>
        <v>50</v>
      </c>
      <c r="P44" s="68"/>
      <c r="Q44" s="69">
        <f>O44+P44</f>
        <v>50</v>
      </c>
      <c r="R44" s="64"/>
      <c r="S44" s="67">
        <f>I44-L44-R44</f>
        <v>50</v>
      </c>
      <c r="T44" s="68"/>
      <c r="U44" s="69">
        <f>S44+T44</f>
        <v>50</v>
      </c>
      <c r="V44" s="70"/>
    </row>
    <row r="45" spans="1:22" ht="11.25">
      <c r="A45" s="179">
        <v>15</v>
      </c>
      <c r="B45" s="203" t="s">
        <v>37</v>
      </c>
      <c r="C45" s="58"/>
      <c r="D45" s="59">
        <v>20000</v>
      </c>
      <c r="E45" s="59">
        <f>C45+D45</f>
        <v>20000</v>
      </c>
      <c r="F45" s="60">
        <v>22500</v>
      </c>
      <c r="G45" s="60"/>
      <c r="H45" s="258">
        <v>2261</v>
      </c>
      <c r="I45" s="183"/>
      <c r="J45" s="202">
        <f>22500+6782</f>
        <v>29282</v>
      </c>
      <c r="K45" s="161">
        <f>SUM(I45:J46)</f>
        <v>29282</v>
      </c>
      <c r="L45" s="65"/>
      <c r="M45" s="63">
        <f>2139.46+2371.28</f>
        <v>4510.74</v>
      </c>
      <c r="N45" s="161">
        <f>SUM(L45:M46)</f>
        <v>26759.39</v>
      </c>
      <c r="O45" s="173"/>
      <c r="P45" s="175">
        <f>J45-SUM(M45:M46)</f>
        <v>2522.6100000000006</v>
      </c>
      <c r="Q45" s="177">
        <f>O45+P45</f>
        <v>2522.6100000000006</v>
      </c>
      <c r="R45" s="64"/>
      <c r="S45" s="173"/>
      <c r="T45" s="175">
        <f>P45-SUM(R45:R46)</f>
        <v>-16250.620000000006</v>
      </c>
      <c r="U45" s="177">
        <f>S45+T45</f>
        <v>-16250.620000000006</v>
      </c>
      <c r="V45" s="163"/>
    </row>
    <row r="46" spans="1:22" ht="11.25">
      <c r="A46" s="198"/>
      <c r="B46" s="205"/>
      <c r="C46" s="58"/>
      <c r="D46" s="59"/>
      <c r="E46" s="59"/>
      <c r="F46" s="60"/>
      <c r="G46" s="60"/>
      <c r="H46" s="259"/>
      <c r="I46" s="286"/>
      <c r="J46" s="192"/>
      <c r="K46" s="162"/>
      <c r="L46" s="65"/>
      <c r="M46" s="80">
        <f>3661.56+3661.56+3661.56+3661.56+3661.56+3940.85</f>
        <v>22248.649999999998</v>
      </c>
      <c r="N46" s="162"/>
      <c r="O46" s="157"/>
      <c r="P46" s="145"/>
      <c r="Q46" s="160"/>
      <c r="R46" s="64">
        <f>3661.56*3+3754.65*8-M46</f>
        <v>18773.230000000007</v>
      </c>
      <c r="S46" s="157"/>
      <c r="T46" s="145"/>
      <c r="U46" s="160"/>
      <c r="V46" s="165"/>
    </row>
    <row r="47" spans="1:22" ht="11.25">
      <c r="A47" s="179">
        <v>16</v>
      </c>
      <c r="B47" s="203" t="s">
        <v>38</v>
      </c>
      <c r="C47" s="58">
        <v>25900</v>
      </c>
      <c r="D47" s="59">
        <v>3000</v>
      </c>
      <c r="E47" s="59">
        <f>C47+D47</f>
        <v>28900</v>
      </c>
      <c r="F47" s="60">
        <v>28900</v>
      </c>
      <c r="G47" s="61">
        <f>28900-3000</f>
        <v>25900</v>
      </c>
      <c r="H47" s="181">
        <v>2262</v>
      </c>
      <c r="I47" s="255">
        <v>25900</v>
      </c>
      <c r="J47" s="202">
        <v>3000</v>
      </c>
      <c r="K47" s="226">
        <f>I47+J47</f>
        <v>28900</v>
      </c>
      <c r="L47" s="76">
        <f>436.77+436.77+436.77+436.77+436.77+436.77</f>
        <v>2620.62</v>
      </c>
      <c r="M47" s="63">
        <f>436.77</f>
        <v>436.77</v>
      </c>
      <c r="N47" s="161">
        <f>SUM(L47:M50)</f>
        <v>15770.98</v>
      </c>
      <c r="O47" s="275">
        <f>I47-SUM(L47:L50)</f>
        <v>10565.79</v>
      </c>
      <c r="P47" s="175">
        <f>J47-SUM(M47:M50)</f>
        <v>2563.23</v>
      </c>
      <c r="Q47" s="177">
        <f>SUM(O47:O50)+SUM(P47:P50)</f>
        <v>13129.02</v>
      </c>
      <c r="R47" s="64">
        <f>436.77*12-L47</f>
        <v>2620.62</v>
      </c>
      <c r="S47" s="173">
        <f>O47-SUM(R47:R50)</f>
        <v>1886.2100000000028</v>
      </c>
      <c r="T47" s="175">
        <f>P47</f>
        <v>2563.23</v>
      </c>
      <c r="U47" s="177">
        <f>SUM(S47:S50)+SUM(T47:T50)</f>
        <v>4449.440000000002</v>
      </c>
      <c r="V47" s="163">
        <v>-1300</v>
      </c>
    </row>
    <row r="48" spans="1:22" ht="11.25">
      <c r="A48" s="206"/>
      <c r="B48" s="204"/>
      <c r="C48" s="58"/>
      <c r="D48" s="59"/>
      <c r="E48" s="59"/>
      <c r="F48" s="60"/>
      <c r="G48" s="61"/>
      <c r="H48" s="232"/>
      <c r="I48" s="256"/>
      <c r="J48" s="191"/>
      <c r="K48" s="227"/>
      <c r="L48" s="76">
        <f>753.44+753.44+753.44+753.44</f>
        <v>3013.76</v>
      </c>
      <c r="M48" s="63"/>
      <c r="N48" s="193"/>
      <c r="O48" s="263"/>
      <c r="P48" s="159"/>
      <c r="Q48" s="194"/>
      <c r="R48" s="64">
        <f>7534.38-L48</f>
        <v>4520.62</v>
      </c>
      <c r="S48" s="156"/>
      <c r="T48" s="159"/>
      <c r="U48" s="194"/>
      <c r="V48" s="164"/>
    </row>
    <row r="49" spans="1:22" ht="11.25">
      <c r="A49" s="206"/>
      <c r="B49" s="204"/>
      <c r="C49" s="58"/>
      <c r="D49" s="59"/>
      <c r="E49" s="59"/>
      <c r="F49" s="60"/>
      <c r="G49" s="61"/>
      <c r="H49" s="232"/>
      <c r="I49" s="256"/>
      <c r="J49" s="191"/>
      <c r="K49" s="227"/>
      <c r="L49" s="76">
        <f>1534.11+1530.6+1530.58+1530.58+1530.58+1530.6+512.78</f>
        <v>9699.83</v>
      </c>
      <c r="M49" s="63"/>
      <c r="N49" s="193"/>
      <c r="O49" s="263"/>
      <c r="P49" s="159"/>
      <c r="Q49" s="194"/>
      <c r="R49" s="64">
        <f>1531*6+1.05-L49+512.78*4</f>
        <v>1538.3399999999992</v>
      </c>
      <c r="S49" s="156"/>
      <c r="T49" s="159"/>
      <c r="U49" s="194"/>
      <c r="V49" s="164"/>
    </row>
    <row r="50" spans="1:22" ht="11.25">
      <c r="A50" s="198"/>
      <c r="B50" s="205"/>
      <c r="C50" s="58"/>
      <c r="D50" s="59"/>
      <c r="E50" s="59"/>
      <c r="F50" s="60"/>
      <c r="G50" s="61"/>
      <c r="H50" s="199"/>
      <c r="I50" s="257"/>
      <c r="J50" s="192"/>
      <c r="K50" s="228"/>
      <c r="L50" s="76"/>
      <c r="M50" s="63"/>
      <c r="N50" s="162"/>
      <c r="O50" s="276"/>
      <c r="P50" s="145"/>
      <c r="Q50" s="160"/>
      <c r="R50" s="64"/>
      <c r="S50" s="157"/>
      <c r="T50" s="145"/>
      <c r="U50" s="160"/>
      <c r="V50" s="165"/>
    </row>
    <row r="51" spans="1:22" ht="22.5">
      <c r="A51" s="57">
        <v>17</v>
      </c>
      <c r="B51" s="58" t="s">
        <v>39</v>
      </c>
      <c r="C51" s="58">
        <v>300</v>
      </c>
      <c r="D51" s="59"/>
      <c r="E51" s="59">
        <f>C51+D51</f>
        <v>300</v>
      </c>
      <c r="F51" s="60">
        <v>500</v>
      </c>
      <c r="G51" s="61">
        <v>500</v>
      </c>
      <c r="H51" s="62">
        <v>2264</v>
      </c>
      <c r="I51" s="63">
        <v>200</v>
      </c>
      <c r="J51" s="80">
        <v>300</v>
      </c>
      <c r="K51" s="64">
        <f>I51+J51</f>
        <v>500</v>
      </c>
      <c r="L51" s="76">
        <f>3.45+3.45+11.74+3.45+3.45+3.45+1.71+5.5+1.79+11.74+44.17+44.17+44.17</f>
        <v>182.24</v>
      </c>
      <c r="M51" s="63">
        <f>44.17+44.17+20.69</f>
        <v>109.03</v>
      </c>
      <c r="N51" s="54">
        <f>L51+M51</f>
        <v>291.27</v>
      </c>
      <c r="O51" s="67">
        <f>I51-L51</f>
        <v>17.75999999999999</v>
      </c>
      <c r="P51" s="68">
        <f>J51-M51</f>
        <v>190.97</v>
      </c>
      <c r="Q51" s="69">
        <f>O51+P51</f>
        <v>208.73</v>
      </c>
      <c r="R51" s="64"/>
      <c r="S51" s="67">
        <f>I51-L51-R51</f>
        <v>17.75999999999999</v>
      </c>
      <c r="T51" s="68">
        <f>J51-M51-R51</f>
        <v>190.97</v>
      </c>
      <c r="U51" s="69">
        <f>S51+T51</f>
        <v>208.73</v>
      </c>
      <c r="V51" s="70"/>
    </row>
    <row r="52" spans="1:22" ht="11.25">
      <c r="A52" s="57">
        <v>18</v>
      </c>
      <c r="B52" s="58" t="s">
        <v>40</v>
      </c>
      <c r="C52" s="58"/>
      <c r="D52" s="59"/>
      <c r="E52" s="59"/>
      <c r="F52" s="60"/>
      <c r="G52" s="61"/>
      <c r="H52" s="62">
        <v>2275</v>
      </c>
      <c r="I52" s="63"/>
      <c r="J52" s="80">
        <f>4083-4083</f>
        <v>0</v>
      </c>
      <c r="K52" s="64">
        <f>I52+J52</f>
        <v>0</v>
      </c>
      <c r="L52" s="76"/>
      <c r="M52" s="63"/>
      <c r="N52" s="54">
        <f>L52+M52</f>
        <v>0</v>
      </c>
      <c r="O52" s="67"/>
      <c r="P52" s="68">
        <f>J52-M52</f>
        <v>0</v>
      </c>
      <c r="Q52" s="69">
        <f>O52+P52</f>
        <v>0</v>
      </c>
      <c r="R52" s="64"/>
      <c r="S52" s="67"/>
      <c r="T52" s="68">
        <f>J52-M52-R52</f>
        <v>0</v>
      </c>
      <c r="U52" s="69">
        <f>S52+T52</f>
        <v>0</v>
      </c>
      <c r="V52" s="70"/>
    </row>
    <row r="53" spans="1:22" ht="22.5">
      <c r="A53" s="57">
        <v>19</v>
      </c>
      <c r="B53" s="58" t="s">
        <v>41</v>
      </c>
      <c r="C53" s="58">
        <v>0</v>
      </c>
      <c r="D53" s="59">
        <v>0</v>
      </c>
      <c r="E53" s="59">
        <f>C53+D53</f>
        <v>0</v>
      </c>
      <c r="F53" s="60">
        <v>0</v>
      </c>
      <c r="G53" s="61">
        <v>0</v>
      </c>
      <c r="H53" s="62">
        <v>2279</v>
      </c>
      <c r="I53" s="63">
        <v>0</v>
      </c>
      <c r="J53" s="80">
        <f>1000-1000</f>
        <v>0</v>
      </c>
      <c r="K53" s="64">
        <f>I53+J53</f>
        <v>0</v>
      </c>
      <c r="L53" s="76"/>
      <c r="M53" s="63"/>
      <c r="N53" s="54">
        <f>L53+M53</f>
        <v>0</v>
      </c>
      <c r="O53" s="67"/>
      <c r="P53" s="68">
        <f>J53-M53</f>
        <v>0</v>
      </c>
      <c r="Q53" s="69">
        <f>O53+P53</f>
        <v>0</v>
      </c>
      <c r="R53" s="64"/>
      <c r="S53" s="67"/>
      <c r="T53" s="68">
        <f>J53-M53-R53</f>
        <v>0</v>
      </c>
      <c r="U53" s="69">
        <f>S53+T53</f>
        <v>0</v>
      </c>
      <c r="V53" s="70"/>
    </row>
    <row r="54" spans="1:22" ht="11.25">
      <c r="A54" s="179">
        <v>20</v>
      </c>
      <c r="B54" s="203" t="s">
        <v>42</v>
      </c>
      <c r="C54" s="58">
        <v>15000</v>
      </c>
      <c r="D54" s="59">
        <v>6000</v>
      </c>
      <c r="E54" s="59">
        <f>C54+D54</f>
        <v>21000</v>
      </c>
      <c r="F54" s="60">
        <v>23000</v>
      </c>
      <c r="G54" s="61">
        <v>23000</v>
      </c>
      <c r="H54" s="181">
        <v>2311</v>
      </c>
      <c r="I54" s="255">
        <v>10000</v>
      </c>
      <c r="J54" s="202">
        <v>6000</v>
      </c>
      <c r="K54" s="226">
        <f>I54+J54</f>
        <v>16000</v>
      </c>
      <c r="L54" s="76">
        <f>59.88+514.99+524.17+546.56+524.17+524.17+433.18</f>
        <v>3127.12</v>
      </c>
      <c r="M54" s="63"/>
      <c r="N54" s="161">
        <f>SUM(L54:M59)</f>
        <v>5854.79</v>
      </c>
      <c r="O54" s="173">
        <f>I54-SUM(L54:L59)</f>
        <v>4327.32</v>
      </c>
      <c r="P54" s="195">
        <f>J54-SUM(M54:M59)</f>
        <v>5817.89</v>
      </c>
      <c r="Q54" s="177">
        <f>O54+P54</f>
        <v>10145.21</v>
      </c>
      <c r="R54" s="64">
        <f>4164.62-SUM(L54:M54)</f>
        <v>1037.5</v>
      </c>
      <c r="S54" s="173">
        <f>I54-SUM(L54:L59)-SUM(R55)-SUM(R54)</f>
        <v>-530.3200000000002</v>
      </c>
      <c r="T54" s="175">
        <f>J54-SUM(M54:M59)-R56-R57-R58</f>
        <v>-3931.749999999999</v>
      </c>
      <c r="U54" s="293">
        <f>S54+T54</f>
        <v>-4462.07</v>
      </c>
      <c r="V54" s="163"/>
    </row>
    <row r="55" spans="1:22" ht="11.25">
      <c r="A55" s="206"/>
      <c r="B55" s="204"/>
      <c r="C55" s="58"/>
      <c r="D55" s="59"/>
      <c r="E55" s="59"/>
      <c r="F55" s="60"/>
      <c r="G55" s="61"/>
      <c r="H55" s="232"/>
      <c r="I55" s="256"/>
      <c r="J55" s="191"/>
      <c r="K55" s="227"/>
      <c r="L55" s="76">
        <f>140.12+6.36+120.94+10.31</f>
        <v>277.73</v>
      </c>
      <c r="M55" s="63">
        <f>72.56+30.32</f>
        <v>102.88</v>
      </c>
      <c r="N55" s="193"/>
      <c r="O55" s="156"/>
      <c r="P55" s="196"/>
      <c r="Q55" s="194"/>
      <c r="R55" s="111">
        <f>4840-639.25-SUM(L55:M55)</f>
        <v>3820.14</v>
      </c>
      <c r="S55" s="156"/>
      <c r="T55" s="159"/>
      <c r="U55" s="280"/>
      <c r="V55" s="164"/>
    </row>
    <row r="56" spans="1:22" ht="12.75" customHeight="1">
      <c r="A56" s="206"/>
      <c r="B56" s="204"/>
      <c r="C56" s="58"/>
      <c r="D56" s="59"/>
      <c r="E56" s="59"/>
      <c r="F56" s="60"/>
      <c r="G56" s="61"/>
      <c r="H56" s="232"/>
      <c r="I56" s="256"/>
      <c r="J56" s="191"/>
      <c r="K56" s="227"/>
      <c r="L56" s="76">
        <f>70.29+45.62+92.73</f>
        <v>208.64</v>
      </c>
      <c r="M56" s="63">
        <v>58.93</v>
      </c>
      <c r="N56" s="193"/>
      <c r="O56" s="156"/>
      <c r="P56" s="196"/>
      <c r="Q56" s="194"/>
      <c r="R56" s="111">
        <f>4235-544.27-51.68-SUM(L56:M56)</f>
        <v>3371.48</v>
      </c>
      <c r="S56" s="156"/>
      <c r="T56" s="159"/>
      <c r="U56" s="280"/>
      <c r="V56" s="164"/>
    </row>
    <row r="57" spans="1:22" ht="12.75" customHeight="1">
      <c r="A57" s="206"/>
      <c r="B57" s="204"/>
      <c r="C57" s="58"/>
      <c r="D57" s="59"/>
      <c r="E57" s="59"/>
      <c r="F57" s="60"/>
      <c r="G57" s="61"/>
      <c r="H57" s="232"/>
      <c r="I57" s="256"/>
      <c r="J57" s="191"/>
      <c r="K57" s="227"/>
      <c r="L57" s="76"/>
      <c r="M57" s="63">
        <v>7.5</v>
      </c>
      <c r="N57" s="193"/>
      <c r="O57" s="156"/>
      <c r="P57" s="196"/>
      <c r="Q57" s="194"/>
      <c r="R57" s="111">
        <f>2420-240.53-SUM(L57:M57)</f>
        <v>2171.97</v>
      </c>
      <c r="S57" s="156"/>
      <c r="T57" s="159"/>
      <c r="U57" s="280"/>
      <c r="V57" s="164"/>
    </row>
    <row r="58" spans="1:22" ht="12.75" customHeight="1">
      <c r="A58" s="206"/>
      <c r="B58" s="204"/>
      <c r="C58" s="58"/>
      <c r="D58" s="59"/>
      <c r="E58" s="59"/>
      <c r="F58" s="60"/>
      <c r="G58" s="61"/>
      <c r="H58" s="232"/>
      <c r="I58" s="256"/>
      <c r="J58" s="191"/>
      <c r="K58" s="227"/>
      <c r="L58" s="76">
        <f>524.17</f>
        <v>524.17</v>
      </c>
      <c r="M58" s="63"/>
      <c r="N58" s="193"/>
      <c r="O58" s="156"/>
      <c r="P58" s="196"/>
      <c r="Q58" s="194"/>
      <c r="R58" s="111">
        <f>9460.72/2-SUM(L58:M58)</f>
        <v>4206.19</v>
      </c>
      <c r="S58" s="156"/>
      <c r="T58" s="159"/>
      <c r="U58" s="280"/>
      <c r="V58" s="164"/>
    </row>
    <row r="59" spans="1:22" ht="11.25">
      <c r="A59" s="198"/>
      <c r="B59" s="205"/>
      <c r="C59" s="58"/>
      <c r="D59" s="59"/>
      <c r="E59" s="59"/>
      <c r="F59" s="60"/>
      <c r="G59" s="61"/>
      <c r="H59" s="199"/>
      <c r="I59" s="257"/>
      <c r="J59" s="192"/>
      <c r="K59" s="228"/>
      <c r="L59" s="76">
        <f>261.9+14.8+69.41+7.12+2.95+36.12+86.49+15.88+2.85+182.84+80.61+2.6+425.8+219.98+119.67+6</f>
        <v>1535.0200000000002</v>
      </c>
      <c r="M59" s="63">
        <v>12.8</v>
      </c>
      <c r="N59" s="162"/>
      <c r="O59" s="157"/>
      <c r="P59" s="197"/>
      <c r="Q59" s="160"/>
      <c r="R59" s="64"/>
      <c r="S59" s="157"/>
      <c r="T59" s="145"/>
      <c r="U59" s="294"/>
      <c r="V59" s="165"/>
    </row>
    <row r="60" spans="1:22" ht="11.25">
      <c r="A60" s="57">
        <v>21</v>
      </c>
      <c r="B60" s="58" t="s">
        <v>43</v>
      </c>
      <c r="C60" s="58">
        <v>3500</v>
      </c>
      <c r="D60" s="58"/>
      <c r="E60" s="59">
        <f>C60+D60</f>
        <v>3500</v>
      </c>
      <c r="F60" s="60">
        <v>5500</v>
      </c>
      <c r="G60" s="61">
        <v>5500</v>
      </c>
      <c r="H60" s="62">
        <v>2312</v>
      </c>
      <c r="I60" s="63">
        <v>400</v>
      </c>
      <c r="J60" s="80"/>
      <c r="K60" s="64">
        <f>I60+J60</f>
        <v>400</v>
      </c>
      <c r="L60" s="76">
        <f>108.29+1+2+2+14.76+28.68+1+4+1+9+91+15.29+91+2+1</f>
        <v>372.02000000000004</v>
      </c>
      <c r="M60" s="63"/>
      <c r="N60" s="54">
        <f>L60+M60</f>
        <v>372.02000000000004</v>
      </c>
      <c r="O60" s="67">
        <f>I60-L60</f>
        <v>27.97999999999996</v>
      </c>
      <c r="P60" s="68"/>
      <c r="Q60" s="69">
        <f>O60+P60</f>
        <v>27.97999999999996</v>
      </c>
      <c r="R60" s="64"/>
      <c r="S60" s="67">
        <f>I60-L60-R60</f>
        <v>27.97999999999996</v>
      </c>
      <c r="T60" s="68"/>
      <c r="U60" s="69">
        <f>S60+T60</f>
        <v>27.97999999999996</v>
      </c>
      <c r="V60" s="70">
        <v>300</v>
      </c>
    </row>
    <row r="61" spans="1:22" ht="11.25">
      <c r="A61" s="179">
        <v>22</v>
      </c>
      <c r="B61" s="203" t="s">
        <v>44</v>
      </c>
      <c r="C61" s="58">
        <v>35500</v>
      </c>
      <c r="D61" s="58"/>
      <c r="E61" s="59">
        <f>C61+D61</f>
        <v>35500</v>
      </c>
      <c r="F61" s="60">
        <v>40000</v>
      </c>
      <c r="G61" s="61">
        <v>40000</v>
      </c>
      <c r="H61" s="181">
        <v>2322</v>
      </c>
      <c r="I61" s="255">
        <v>28000</v>
      </c>
      <c r="J61" s="202">
        <v>5000</v>
      </c>
      <c r="K61" s="226">
        <f>I61+J61</f>
        <v>33000</v>
      </c>
      <c r="L61" s="76">
        <f>560.67+573.89+2000+72.31-1839.83</f>
        <v>1367.04</v>
      </c>
      <c r="M61" s="63"/>
      <c r="N61" s="161">
        <f>SUM(L61:M63)</f>
        <v>19363.72</v>
      </c>
      <c r="O61" s="173">
        <f>I61-SUM(L61:L63)</f>
        <v>12170.57</v>
      </c>
      <c r="P61" s="195">
        <f>J61-SUM(M61:M63)</f>
        <v>1465.71</v>
      </c>
      <c r="Q61" s="177">
        <f>O61+P61</f>
        <v>13636.279999999999</v>
      </c>
      <c r="R61" s="112"/>
      <c r="S61" s="173">
        <f>I61-SUM(L61:L63)-R61</f>
        <v>12170.57</v>
      </c>
      <c r="T61" s="175">
        <f>J61-SUM(M61:M63)-R61</f>
        <v>1465.71</v>
      </c>
      <c r="U61" s="177">
        <f>S61+T61</f>
        <v>13636.279999999999</v>
      </c>
      <c r="V61" s="163"/>
    </row>
    <row r="62" spans="1:22" ht="11.25">
      <c r="A62" s="206"/>
      <c r="B62" s="204"/>
      <c r="C62" s="58"/>
      <c r="D62" s="58"/>
      <c r="E62" s="59"/>
      <c r="F62" s="60"/>
      <c r="G62" s="61"/>
      <c r="H62" s="232"/>
      <c r="I62" s="256"/>
      <c r="J62" s="191"/>
      <c r="K62" s="227"/>
      <c r="L62" s="76">
        <f>2473.99+3190.9+3123.48+3290.77-3.59</f>
        <v>12075.55</v>
      </c>
      <c r="M62" s="63">
        <f>3446.65</f>
        <v>3446.65</v>
      </c>
      <c r="N62" s="193"/>
      <c r="O62" s="156"/>
      <c r="P62" s="196"/>
      <c r="Q62" s="194"/>
      <c r="R62" s="112"/>
      <c r="S62" s="156"/>
      <c r="T62" s="159"/>
      <c r="U62" s="194"/>
      <c r="V62" s="164"/>
    </row>
    <row r="63" spans="1:22" ht="11.25">
      <c r="A63" s="198"/>
      <c r="B63" s="205"/>
      <c r="C63" s="58"/>
      <c r="D63" s="58"/>
      <c r="E63" s="59"/>
      <c r="F63" s="60"/>
      <c r="G63" s="61"/>
      <c r="H63" s="199"/>
      <c r="I63" s="257"/>
      <c r="J63" s="192"/>
      <c r="K63" s="228"/>
      <c r="L63" s="76">
        <f>2386.84</f>
        <v>2386.84</v>
      </c>
      <c r="M63" s="63">
        <f>87.64</f>
        <v>87.64</v>
      </c>
      <c r="N63" s="162"/>
      <c r="O63" s="157"/>
      <c r="P63" s="197"/>
      <c r="Q63" s="160"/>
      <c r="R63" s="113"/>
      <c r="S63" s="157"/>
      <c r="T63" s="145"/>
      <c r="U63" s="160"/>
      <c r="V63" s="165"/>
    </row>
    <row r="64" spans="1:22" ht="11.25" hidden="1">
      <c r="A64" s="57">
        <v>22</v>
      </c>
      <c r="B64" s="58"/>
      <c r="C64" s="58">
        <v>1200</v>
      </c>
      <c r="D64" s="58"/>
      <c r="E64" s="59">
        <f>C64+D64</f>
        <v>1200</v>
      </c>
      <c r="F64" s="60">
        <v>0</v>
      </c>
      <c r="G64" s="61">
        <v>0</v>
      </c>
      <c r="H64" s="62">
        <v>2329</v>
      </c>
      <c r="I64" s="63">
        <v>0</v>
      </c>
      <c r="J64" s="80"/>
      <c r="K64" s="64">
        <v>0</v>
      </c>
      <c r="L64" s="76"/>
      <c r="M64" s="63"/>
      <c r="N64" s="54">
        <f>L64+M64</f>
        <v>0</v>
      </c>
      <c r="O64" s="67">
        <f>I64-L64</f>
        <v>0</v>
      </c>
      <c r="P64" s="68">
        <f>J64-M64</f>
        <v>0</v>
      </c>
      <c r="Q64" s="69">
        <f aca="true" t="shared" si="3" ref="Q64:Q73">O64+P64</f>
        <v>0</v>
      </c>
      <c r="R64" s="64"/>
      <c r="S64" s="67">
        <f aca="true" t="shared" si="4" ref="S64:S73">I64-L64-R64</f>
        <v>0</v>
      </c>
      <c r="T64" s="68">
        <f aca="true" t="shared" si="5" ref="T64:T73">J64-M64-R64</f>
        <v>0</v>
      </c>
      <c r="U64" s="69">
        <f aca="true" t="shared" si="6" ref="U64:U73">S64+T64</f>
        <v>0</v>
      </c>
      <c r="V64" s="70"/>
    </row>
    <row r="65" spans="1:22" ht="11.25">
      <c r="A65" s="57">
        <v>23</v>
      </c>
      <c r="B65" s="58" t="s">
        <v>45</v>
      </c>
      <c r="C65" s="58">
        <v>300</v>
      </c>
      <c r="D65" s="58"/>
      <c r="E65" s="59">
        <f>C65+D65</f>
        <v>300</v>
      </c>
      <c r="F65" s="60">
        <v>300</v>
      </c>
      <c r="G65" s="61">
        <v>300</v>
      </c>
      <c r="H65" s="62">
        <v>2351</v>
      </c>
      <c r="I65" s="63">
        <v>50</v>
      </c>
      <c r="J65" s="80"/>
      <c r="K65" s="64">
        <f aca="true" t="shared" si="7" ref="K65:K73">I65+J65</f>
        <v>50</v>
      </c>
      <c r="L65" s="76">
        <f>14.73</f>
        <v>14.73</v>
      </c>
      <c r="M65" s="63"/>
      <c r="N65" s="54">
        <f>L65+M65</f>
        <v>14.73</v>
      </c>
      <c r="O65" s="67">
        <f>I65-L65</f>
        <v>35.269999999999996</v>
      </c>
      <c r="P65" s="68"/>
      <c r="Q65" s="69">
        <f t="shared" si="3"/>
        <v>35.269999999999996</v>
      </c>
      <c r="R65" s="64"/>
      <c r="S65" s="67">
        <f t="shared" si="4"/>
        <v>35.269999999999996</v>
      </c>
      <c r="T65" s="68"/>
      <c r="U65" s="69">
        <f t="shared" si="6"/>
        <v>35.269999999999996</v>
      </c>
      <c r="V65" s="70"/>
    </row>
    <row r="66" spans="1:22" ht="11.25">
      <c r="A66" s="179">
        <v>24</v>
      </c>
      <c r="B66" s="179" t="s">
        <v>46</v>
      </c>
      <c r="C66" s="58">
        <v>7345</v>
      </c>
      <c r="D66" s="58"/>
      <c r="E66" s="59">
        <f>C66+D66</f>
        <v>7345</v>
      </c>
      <c r="F66" s="60">
        <v>7345</v>
      </c>
      <c r="G66" s="61">
        <v>7345</v>
      </c>
      <c r="H66" s="181">
        <v>2352</v>
      </c>
      <c r="I66" s="200">
        <v>5000</v>
      </c>
      <c r="J66" s="188"/>
      <c r="K66" s="161">
        <f t="shared" si="7"/>
        <v>5000</v>
      </c>
      <c r="L66" s="76">
        <f>8.19+40.5+3.84+11.6+2.19+50+11.49+15.43+11+130.63+26.61+12.71+15.81+414.57+165.09+14.23+21.6+3.35+240.84+10.89</f>
        <v>1210.5700000000002</v>
      </c>
      <c r="M66" s="63"/>
      <c r="N66" s="161">
        <f>SUM(L66:M67)</f>
        <v>1794.8600000000001</v>
      </c>
      <c r="O66" s="173">
        <f>I66-SUM(L66:L67)</f>
        <v>3205.14</v>
      </c>
      <c r="P66" s="175"/>
      <c r="Q66" s="177">
        <f t="shared" si="3"/>
        <v>3205.14</v>
      </c>
      <c r="R66" s="64"/>
      <c r="S66" s="173">
        <f>I66-SUM(N66:N67,R66:R67)</f>
        <v>33.590000000000146</v>
      </c>
      <c r="T66" s="175"/>
      <c r="U66" s="177">
        <f t="shared" si="6"/>
        <v>33.590000000000146</v>
      </c>
      <c r="V66" s="163"/>
    </row>
    <row r="67" spans="1:22" ht="11.25">
      <c r="A67" s="198"/>
      <c r="B67" s="198"/>
      <c r="C67" s="58"/>
      <c r="D67" s="58"/>
      <c r="E67" s="59"/>
      <c r="F67" s="60"/>
      <c r="G67" s="61"/>
      <c r="H67" s="199"/>
      <c r="I67" s="201"/>
      <c r="J67" s="189"/>
      <c r="K67" s="162"/>
      <c r="L67" s="76">
        <f>148.1+208.22+129.23+98.74</f>
        <v>584.29</v>
      </c>
      <c r="M67" s="63"/>
      <c r="N67" s="162"/>
      <c r="O67" s="157"/>
      <c r="P67" s="145"/>
      <c r="Q67" s="160"/>
      <c r="R67" s="64">
        <f>3755.84-L67</f>
        <v>3171.55</v>
      </c>
      <c r="S67" s="157"/>
      <c r="T67" s="145"/>
      <c r="U67" s="160"/>
      <c r="V67" s="165"/>
    </row>
    <row r="68" spans="1:22" ht="22.5" customHeight="1">
      <c r="A68" s="114">
        <v>25</v>
      </c>
      <c r="B68" s="71" t="s">
        <v>47</v>
      </c>
      <c r="C68" s="58">
        <v>2825</v>
      </c>
      <c r="D68" s="58"/>
      <c r="E68" s="59">
        <f>C68+D68</f>
        <v>2825</v>
      </c>
      <c r="F68" s="60">
        <v>2845</v>
      </c>
      <c r="G68" s="61">
        <v>2845</v>
      </c>
      <c r="H68" s="73">
        <v>2353</v>
      </c>
      <c r="I68" s="80">
        <v>1500</v>
      </c>
      <c r="J68" s="80"/>
      <c r="K68" s="64">
        <f t="shared" si="7"/>
        <v>1500</v>
      </c>
      <c r="L68" s="76">
        <f>48.75+54.44</f>
        <v>103.19</v>
      </c>
      <c r="M68" s="63"/>
      <c r="N68" s="54">
        <f aca="true" t="shared" si="8" ref="N68:N73">L68+M68</f>
        <v>103.19</v>
      </c>
      <c r="O68" s="67">
        <f>I68-L68</f>
        <v>1396.81</v>
      </c>
      <c r="P68" s="68"/>
      <c r="Q68" s="69">
        <f t="shared" si="3"/>
        <v>1396.81</v>
      </c>
      <c r="R68" s="64">
        <f>247.28-L68</f>
        <v>144.09</v>
      </c>
      <c r="S68" s="67">
        <f t="shared" si="4"/>
        <v>1252.72</v>
      </c>
      <c r="T68" s="68"/>
      <c r="U68" s="69">
        <f t="shared" si="6"/>
        <v>1252.72</v>
      </c>
      <c r="V68" s="70">
        <f>-300-100</f>
        <v>-400</v>
      </c>
    </row>
    <row r="69" spans="1:22" ht="22.5">
      <c r="A69" s="57">
        <v>26</v>
      </c>
      <c r="B69" s="58" t="s">
        <v>48</v>
      </c>
      <c r="C69" s="58">
        <v>2825</v>
      </c>
      <c r="D69" s="58"/>
      <c r="E69" s="59">
        <f>C69+D69</f>
        <v>2825</v>
      </c>
      <c r="F69" s="60">
        <v>1825</v>
      </c>
      <c r="G69" s="61">
        <v>1825</v>
      </c>
      <c r="H69" s="62">
        <v>2354</v>
      </c>
      <c r="I69" s="63">
        <v>1000</v>
      </c>
      <c r="J69" s="80"/>
      <c r="K69" s="64">
        <f t="shared" si="7"/>
        <v>1000</v>
      </c>
      <c r="L69" s="76">
        <f>10.22+4.79+15.1+3.59+3.59</f>
        <v>37.290000000000006</v>
      </c>
      <c r="M69" s="63"/>
      <c r="N69" s="54">
        <f t="shared" si="8"/>
        <v>37.290000000000006</v>
      </c>
      <c r="O69" s="67">
        <f>I69-L69</f>
        <v>962.71</v>
      </c>
      <c r="P69" s="68"/>
      <c r="Q69" s="69">
        <f t="shared" si="3"/>
        <v>962.71</v>
      </c>
      <c r="R69" s="64"/>
      <c r="S69" s="67">
        <f t="shared" si="4"/>
        <v>962.71</v>
      </c>
      <c r="T69" s="68"/>
      <c r="U69" s="69">
        <f t="shared" si="6"/>
        <v>962.71</v>
      </c>
      <c r="V69" s="70">
        <v>-600</v>
      </c>
    </row>
    <row r="70" spans="1:22" ht="11.25">
      <c r="A70" s="57">
        <v>27</v>
      </c>
      <c r="B70" s="58" t="s">
        <v>49</v>
      </c>
      <c r="C70" s="58">
        <v>50</v>
      </c>
      <c r="D70" s="58"/>
      <c r="E70" s="59">
        <f>C70+D70</f>
        <v>50</v>
      </c>
      <c r="F70" s="60">
        <v>50</v>
      </c>
      <c r="G70" s="61">
        <v>50</v>
      </c>
      <c r="H70" s="62">
        <v>2490</v>
      </c>
      <c r="I70" s="63">
        <v>0</v>
      </c>
      <c r="J70" s="80"/>
      <c r="K70" s="64">
        <f t="shared" si="7"/>
        <v>0</v>
      </c>
      <c r="L70" s="76"/>
      <c r="M70" s="63"/>
      <c r="N70" s="66">
        <f t="shared" si="8"/>
        <v>0</v>
      </c>
      <c r="O70" s="67">
        <f>I70-L70</f>
        <v>0</v>
      </c>
      <c r="P70" s="68">
        <f>J70-M70</f>
        <v>0</v>
      </c>
      <c r="Q70" s="69">
        <f t="shared" si="3"/>
        <v>0</v>
      </c>
      <c r="R70" s="64"/>
      <c r="S70" s="67">
        <f t="shared" si="4"/>
        <v>0</v>
      </c>
      <c r="T70" s="68">
        <f t="shared" si="5"/>
        <v>0</v>
      </c>
      <c r="U70" s="69">
        <f t="shared" si="6"/>
        <v>0</v>
      </c>
      <c r="V70" s="70"/>
    </row>
    <row r="71" spans="1:22" ht="22.5">
      <c r="A71" s="57">
        <v>28</v>
      </c>
      <c r="B71" s="59" t="s">
        <v>50</v>
      </c>
      <c r="C71" s="59"/>
      <c r="D71" s="59">
        <v>16740</v>
      </c>
      <c r="E71" s="60">
        <v>16740</v>
      </c>
      <c r="F71" s="60">
        <v>18000</v>
      </c>
      <c r="G71" s="60">
        <v>18000</v>
      </c>
      <c r="H71" s="115">
        <v>2512</v>
      </c>
      <c r="I71" s="80"/>
      <c r="J71" s="135">
        <v>20007</v>
      </c>
      <c r="K71" s="64">
        <f t="shared" si="7"/>
        <v>20007</v>
      </c>
      <c r="L71" s="76"/>
      <c r="M71" s="63">
        <f>9714.99</f>
        <v>9714.99</v>
      </c>
      <c r="N71" s="54">
        <f t="shared" si="8"/>
        <v>9714.99</v>
      </c>
      <c r="O71" s="67"/>
      <c r="P71" s="68">
        <f>J71-M71</f>
        <v>10292.01</v>
      </c>
      <c r="Q71" s="69">
        <f t="shared" si="3"/>
        <v>10292.01</v>
      </c>
      <c r="R71" s="64"/>
      <c r="S71" s="67"/>
      <c r="T71" s="68">
        <f t="shared" si="5"/>
        <v>10292.01</v>
      </c>
      <c r="U71" s="69">
        <f t="shared" si="6"/>
        <v>10292.01</v>
      </c>
      <c r="V71" s="70"/>
    </row>
    <row r="72" spans="1:22" ht="22.5">
      <c r="A72" s="57">
        <v>29</v>
      </c>
      <c r="B72" s="58" t="s">
        <v>51</v>
      </c>
      <c r="C72" s="58">
        <v>400</v>
      </c>
      <c r="D72" s="59"/>
      <c r="E72" s="59">
        <f>C72+D72</f>
        <v>400</v>
      </c>
      <c r="F72" s="60">
        <v>400</v>
      </c>
      <c r="G72" s="61">
        <v>400</v>
      </c>
      <c r="H72" s="62">
        <v>2519</v>
      </c>
      <c r="I72" s="63">
        <v>400</v>
      </c>
      <c r="J72" s="80"/>
      <c r="K72" s="64">
        <f t="shared" si="7"/>
        <v>400</v>
      </c>
      <c r="L72" s="76">
        <f>54+2+72</f>
        <v>128</v>
      </c>
      <c r="M72" s="63"/>
      <c r="N72" s="54">
        <f t="shared" si="8"/>
        <v>128</v>
      </c>
      <c r="O72" s="67">
        <f>I72-L72</f>
        <v>272</v>
      </c>
      <c r="P72" s="68"/>
      <c r="Q72" s="69">
        <f t="shared" si="3"/>
        <v>272</v>
      </c>
      <c r="R72" s="64"/>
      <c r="S72" s="67">
        <f t="shared" si="4"/>
        <v>272</v>
      </c>
      <c r="T72" s="68">
        <f t="shared" si="5"/>
        <v>0</v>
      </c>
      <c r="U72" s="69">
        <f t="shared" si="6"/>
        <v>272</v>
      </c>
      <c r="V72" s="70"/>
    </row>
    <row r="73" spans="1:22" ht="11.25">
      <c r="A73" s="57">
        <v>30</v>
      </c>
      <c r="B73" s="58" t="s">
        <v>52</v>
      </c>
      <c r="C73" s="58">
        <v>13000</v>
      </c>
      <c r="D73" s="116">
        <v>2000</v>
      </c>
      <c r="E73" s="59">
        <f>D73+C73</f>
        <v>15000</v>
      </c>
      <c r="F73" s="60">
        <v>4000</v>
      </c>
      <c r="G73" s="61">
        <v>4000</v>
      </c>
      <c r="H73" s="62">
        <v>5238</v>
      </c>
      <c r="I73" s="63"/>
      <c r="J73" s="80">
        <v>500</v>
      </c>
      <c r="K73" s="64">
        <f t="shared" si="7"/>
        <v>500</v>
      </c>
      <c r="L73" s="76"/>
      <c r="M73" s="63"/>
      <c r="N73" s="54">
        <f t="shared" si="8"/>
        <v>0</v>
      </c>
      <c r="O73" s="67"/>
      <c r="P73" s="68">
        <f>J73-M73</f>
        <v>500</v>
      </c>
      <c r="Q73" s="69">
        <f t="shared" si="3"/>
        <v>500</v>
      </c>
      <c r="R73" s="64"/>
      <c r="S73" s="67">
        <f t="shared" si="4"/>
        <v>0</v>
      </c>
      <c r="T73" s="68">
        <f t="shared" si="5"/>
        <v>500</v>
      </c>
      <c r="U73" s="69">
        <f t="shared" si="6"/>
        <v>500</v>
      </c>
      <c r="V73" s="70"/>
    </row>
    <row r="74" spans="1:22" ht="11.25">
      <c r="A74" s="179">
        <v>31</v>
      </c>
      <c r="B74" s="203" t="s">
        <v>53</v>
      </c>
      <c r="C74" s="207">
        <v>37480</v>
      </c>
      <c r="D74" s="208">
        <v>3000</v>
      </c>
      <c r="E74" s="210">
        <f>C74+D74</f>
        <v>40480</v>
      </c>
      <c r="F74" s="213">
        <v>25902</v>
      </c>
      <c r="G74" s="209">
        <v>25902</v>
      </c>
      <c r="H74" s="181">
        <v>5239</v>
      </c>
      <c r="I74" s="287">
        <v>1189</v>
      </c>
      <c r="J74" s="202">
        <v>3500</v>
      </c>
      <c r="K74" s="249">
        <f>SUM(I74:J79)</f>
        <v>4689</v>
      </c>
      <c r="L74" s="118"/>
      <c r="M74" s="119">
        <v>2103.6</v>
      </c>
      <c r="N74" s="161">
        <f>SUM(L74:M79)</f>
        <v>2681.59</v>
      </c>
      <c r="O74" s="173">
        <f>I74-SUM(L74:L79)</f>
        <v>611.01</v>
      </c>
      <c r="P74" s="175">
        <f>J74-SUM(M74:M79)</f>
        <v>1396.4</v>
      </c>
      <c r="Q74" s="177">
        <f>SUM(K74-N74)</f>
        <v>2007.4099999999999</v>
      </c>
      <c r="R74" s="136">
        <v>0</v>
      </c>
      <c r="S74" s="173">
        <f>I74-SUM(L74:L79)-SUM(R74:R79)</f>
        <v>611.01</v>
      </c>
      <c r="T74" s="290">
        <f>P74-R74</f>
        <v>1396.4</v>
      </c>
      <c r="U74" s="177">
        <f>K74-Q74-SUM(R74:R79)</f>
        <v>2681.59</v>
      </c>
      <c r="V74" s="163"/>
    </row>
    <row r="75" spans="1:22" ht="11.25">
      <c r="A75" s="206"/>
      <c r="B75" s="204"/>
      <c r="C75" s="207"/>
      <c r="D75" s="208"/>
      <c r="E75" s="210"/>
      <c r="F75" s="213"/>
      <c r="G75" s="209"/>
      <c r="H75" s="245"/>
      <c r="I75" s="288"/>
      <c r="J75" s="191"/>
      <c r="K75" s="249"/>
      <c r="L75" s="120">
        <f>279.99</f>
        <v>279.99</v>
      </c>
      <c r="M75" s="119"/>
      <c r="N75" s="193"/>
      <c r="O75" s="156"/>
      <c r="P75" s="159"/>
      <c r="Q75" s="194"/>
      <c r="R75" s="117"/>
      <c r="S75" s="156"/>
      <c r="T75" s="291"/>
      <c r="U75" s="194"/>
      <c r="V75" s="164"/>
    </row>
    <row r="76" spans="1:22" ht="11.25" customHeight="1" hidden="1">
      <c r="A76" s="206"/>
      <c r="B76" s="204"/>
      <c r="C76" s="207"/>
      <c r="D76" s="208"/>
      <c r="E76" s="210"/>
      <c r="F76" s="213"/>
      <c r="G76" s="209"/>
      <c r="H76" s="245"/>
      <c r="I76" s="288"/>
      <c r="J76" s="191"/>
      <c r="K76" s="249"/>
      <c r="L76" s="120"/>
      <c r="M76" s="119"/>
      <c r="N76" s="193"/>
      <c r="O76" s="156"/>
      <c r="P76" s="159"/>
      <c r="Q76" s="194"/>
      <c r="R76" s="117"/>
      <c r="S76" s="156"/>
      <c r="T76" s="291"/>
      <c r="U76" s="194"/>
      <c r="V76" s="164"/>
    </row>
    <row r="77" spans="1:22" ht="11.25">
      <c r="A77" s="198"/>
      <c r="B77" s="205"/>
      <c r="C77" s="207"/>
      <c r="D77" s="208"/>
      <c r="E77" s="210"/>
      <c r="F77" s="213"/>
      <c r="G77" s="209"/>
      <c r="H77" s="245"/>
      <c r="I77" s="288"/>
      <c r="J77" s="191"/>
      <c r="K77" s="249"/>
      <c r="L77" s="120"/>
      <c r="M77" s="119"/>
      <c r="N77" s="193"/>
      <c r="O77" s="156"/>
      <c r="P77" s="159"/>
      <c r="Q77" s="194"/>
      <c r="R77" s="117"/>
      <c r="S77" s="156"/>
      <c r="T77" s="291"/>
      <c r="U77" s="194"/>
      <c r="V77" s="164"/>
    </row>
    <row r="78" spans="1:22" ht="12.75" customHeight="1">
      <c r="A78" s="211">
        <v>32</v>
      </c>
      <c r="B78" s="179" t="s">
        <v>54</v>
      </c>
      <c r="C78" s="207"/>
      <c r="D78" s="208"/>
      <c r="E78" s="210"/>
      <c r="F78" s="213"/>
      <c r="G78" s="209"/>
      <c r="H78" s="245"/>
      <c r="I78" s="288"/>
      <c r="J78" s="191"/>
      <c r="K78" s="249"/>
      <c r="L78" s="120">
        <f>298</f>
        <v>298</v>
      </c>
      <c r="M78" s="119"/>
      <c r="N78" s="193"/>
      <c r="O78" s="156"/>
      <c r="P78" s="159"/>
      <c r="Q78" s="194"/>
      <c r="R78" s="117"/>
      <c r="S78" s="156"/>
      <c r="T78" s="291"/>
      <c r="U78" s="194"/>
      <c r="V78" s="164"/>
    </row>
    <row r="79" spans="1:22" ht="11.25">
      <c r="A79" s="212"/>
      <c r="B79" s="198"/>
      <c r="C79" s="207"/>
      <c r="D79" s="208"/>
      <c r="E79" s="210"/>
      <c r="F79" s="213"/>
      <c r="G79" s="209"/>
      <c r="H79" s="246"/>
      <c r="I79" s="289"/>
      <c r="J79" s="192"/>
      <c r="K79" s="249"/>
      <c r="L79" s="120"/>
      <c r="M79" s="119"/>
      <c r="N79" s="162"/>
      <c r="O79" s="157"/>
      <c r="P79" s="145"/>
      <c r="Q79" s="160"/>
      <c r="R79" s="117"/>
      <c r="S79" s="157"/>
      <c r="T79" s="292"/>
      <c r="U79" s="160"/>
      <c r="V79" s="165"/>
    </row>
    <row r="80" ht="11.25"/>
    <row r="81" spans="9:10" ht="11.25">
      <c r="I81" s="121">
        <v>354</v>
      </c>
      <c r="J81" s="121">
        <v>3000</v>
      </c>
    </row>
    <row r="82" spans="9:10" ht="11.25">
      <c r="I82" s="121">
        <v>835</v>
      </c>
      <c r="J82" s="121">
        <v>500</v>
      </c>
    </row>
  </sheetData>
  <sheetProtection/>
  <mergeCells count="217">
    <mergeCell ref="V8:V10"/>
    <mergeCell ref="U21:U22"/>
    <mergeCell ref="U74:U79"/>
    <mergeCell ref="J74:J79"/>
    <mergeCell ref="P13:P14"/>
    <mergeCell ref="O13:O14"/>
    <mergeCell ref="N13:N14"/>
    <mergeCell ref="U13:U14"/>
    <mergeCell ref="T13:T14"/>
    <mergeCell ref="S13:S14"/>
    <mergeCell ref="O45:O46"/>
    <mergeCell ref="P45:P46"/>
    <mergeCell ref="Q45:Q46"/>
    <mergeCell ref="N45:N46"/>
    <mergeCell ref="T74:T79"/>
    <mergeCell ref="U45:U46"/>
    <mergeCell ref="T45:T46"/>
    <mergeCell ref="S45:S46"/>
    <mergeCell ref="U61:U63"/>
    <mergeCell ref="T61:T63"/>
    <mergeCell ref="S61:S63"/>
    <mergeCell ref="U54:U59"/>
    <mergeCell ref="T54:T59"/>
    <mergeCell ref="S66:S67"/>
    <mergeCell ref="K45:K46"/>
    <mergeCell ref="J45:J46"/>
    <mergeCell ref="I45:I46"/>
    <mergeCell ref="I74:I79"/>
    <mergeCell ref="Q13:Q14"/>
    <mergeCell ref="A45:A46"/>
    <mergeCell ref="I13:I14"/>
    <mergeCell ref="J13:J14"/>
    <mergeCell ref="H13:H14"/>
    <mergeCell ref="A21:A22"/>
    <mergeCell ref="B21:B22"/>
    <mergeCell ref="H21:H22"/>
    <mergeCell ref="I21:I22"/>
    <mergeCell ref="J21:J22"/>
    <mergeCell ref="A28:A29"/>
    <mergeCell ref="I28:I29"/>
    <mergeCell ref="J28:J29"/>
    <mergeCell ref="A30:A42"/>
    <mergeCell ref="H30:H42"/>
    <mergeCell ref="I30:I42"/>
    <mergeCell ref="J30:J42"/>
    <mergeCell ref="S19:S20"/>
    <mergeCell ref="T19:T20"/>
    <mergeCell ref="T30:T42"/>
    <mergeCell ref="U47:U50"/>
    <mergeCell ref="U30:U42"/>
    <mergeCell ref="S47:S50"/>
    <mergeCell ref="T47:T50"/>
    <mergeCell ref="S28:S29"/>
    <mergeCell ref="S21:S22"/>
    <mergeCell ref="T21:T22"/>
    <mergeCell ref="Q47:Q50"/>
    <mergeCell ref="O47:O50"/>
    <mergeCell ref="P47:P50"/>
    <mergeCell ref="U19:U20"/>
    <mergeCell ref="Q19:Q20"/>
    <mergeCell ref="O28:O29"/>
    <mergeCell ref="P28:P29"/>
    <mergeCell ref="U28:U29"/>
    <mergeCell ref="T28:T29"/>
    <mergeCell ref="Q28:Q29"/>
    <mergeCell ref="A26:A27"/>
    <mergeCell ref="B26:B27"/>
    <mergeCell ref="H26:H27"/>
    <mergeCell ref="I26:I27"/>
    <mergeCell ref="A19:A20"/>
    <mergeCell ref="I19:I20"/>
    <mergeCell ref="J19:J20"/>
    <mergeCell ref="B19:B20"/>
    <mergeCell ref="O30:O42"/>
    <mergeCell ref="P30:P42"/>
    <mergeCell ref="K19:K20"/>
    <mergeCell ref="O19:O20"/>
    <mergeCell ref="P19:P20"/>
    <mergeCell ref="K30:K42"/>
    <mergeCell ref="N30:N42"/>
    <mergeCell ref="N28:N29"/>
    <mergeCell ref="P21:P22"/>
    <mergeCell ref="O26:O27"/>
    <mergeCell ref="A11:B11"/>
    <mergeCell ref="A61:A63"/>
    <mergeCell ref="A54:A59"/>
    <mergeCell ref="I54:I59"/>
    <mergeCell ref="H47:H50"/>
    <mergeCell ref="B28:B29"/>
    <mergeCell ref="B30:B42"/>
    <mergeCell ref="A47:A50"/>
    <mergeCell ref="I47:I50"/>
    <mergeCell ref="A13:A14"/>
    <mergeCell ref="B13:B14"/>
    <mergeCell ref="K13:K14"/>
    <mergeCell ref="B54:B59"/>
    <mergeCell ref="I61:I63"/>
    <mergeCell ref="J47:J50"/>
    <mergeCell ref="B47:B50"/>
    <mergeCell ref="K47:K50"/>
    <mergeCell ref="B45:B46"/>
    <mergeCell ref="K21:K22"/>
    <mergeCell ref="H45:H46"/>
    <mergeCell ref="H9:H10"/>
    <mergeCell ref="K9:K10"/>
    <mergeCell ref="H19:H20"/>
    <mergeCell ref="H28:H29"/>
    <mergeCell ref="K28:K29"/>
    <mergeCell ref="J24:J25"/>
    <mergeCell ref="K24:K25"/>
    <mergeCell ref="H8:K8"/>
    <mergeCell ref="J9:J10"/>
    <mergeCell ref="B8:B10"/>
    <mergeCell ref="H74:H79"/>
    <mergeCell ref="K26:K27"/>
    <mergeCell ref="K74:K79"/>
    <mergeCell ref="H61:H63"/>
    <mergeCell ref="K54:K59"/>
    <mergeCell ref="H54:H59"/>
    <mergeCell ref="J61:J63"/>
    <mergeCell ref="A8:A10"/>
    <mergeCell ref="I9:I10"/>
    <mergeCell ref="C8:G8"/>
    <mergeCell ref="O61:O63"/>
    <mergeCell ref="K61:K63"/>
    <mergeCell ref="B15:B17"/>
    <mergeCell ref="A15:A17"/>
    <mergeCell ref="H15:H17"/>
    <mergeCell ref="I15:I17"/>
    <mergeCell ref="J26:J27"/>
    <mergeCell ref="O54:O59"/>
    <mergeCell ref="P54:P59"/>
    <mergeCell ref="Q54:Q59"/>
    <mergeCell ref="S54:S59"/>
    <mergeCell ref="Q30:Q42"/>
    <mergeCell ref="S30:S42"/>
    <mergeCell ref="S8:U9"/>
    <mergeCell ref="U15:U17"/>
    <mergeCell ref="S15:S17"/>
    <mergeCell ref="T15:T17"/>
    <mergeCell ref="S26:S27"/>
    <mergeCell ref="U26:U27"/>
    <mergeCell ref="T26:T27"/>
    <mergeCell ref="Q15:Q17"/>
    <mergeCell ref="A74:A77"/>
    <mergeCell ref="C74:C79"/>
    <mergeCell ref="D74:D79"/>
    <mergeCell ref="G74:G79"/>
    <mergeCell ref="E74:E79"/>
    <mergeCell ref="A78:A79"/>
    <mergeCell ref="B78:B79"/>
    <mergeCell ref="F74:F79"/>
    <mergeCell ref="B74:B77"/>
    <mergeCell ref="P74:P79"/>
    <mergeCell ref="Q74:Q79"/>
    <mergeCell ref="S74:S79"/>
    <mergeCell ref="N74:N79"/>
    <mergeCell ref="O74:O79"/>
    <mergeCell ref="A66:A67"/>
    <mergeCell ref="H66:H67"/>
    <mergeCell ref="I66:I67"/>
    <mergeCell ref="N47:N50"/>
    <mergeCell ref="N54:N59"/>
    <mergeCell ref="N61:N63"/>
    <mergeCell ref="J54:J59"/>
    <mergeCell ref="B61:B63"/>
    <mergeCell ref="B66:B67"/>
    <mergeCell ref="N66:N67"/>
    <mergeCell ref="U66:U67"/>
    <mergeCell ref="Q66:Q67"/>
    <mergeCell ref="O66:O67"/>
    <mergeCell ref="P66:P67"/>
    <mergeCell ref="T66:T67"/>
    <mergeCell ref="L8:N9"/>
    <mergeCell ref="O8:Q9"/>
    <mergeCell ref="R8:R10"/>
    <mergeCell ref="J66:J67"/>
    <mergeCell ref="K66:K67"/>
    <mergeCell ref="J15:J17"/>
    <mergeCell ref="K15:K17"/>
    <mergeCell ref="Q61:Q63"/>
    <mergeCell ref="P61:P63"/>
    <mergeCell ref="N15:N17"/>
    <mergeCell ref="N19:N20"/>
    <mergeCell ref="N26:N27"/>
    <mergeCell ref="O15:O17"/>
    <mergeCell ref="P15:P17"/>
    <mergeCell ref="P26:P27"/>
    <mergeCell ref="N21:N22"/>
    <mergeCell ref="O21:O22"/>
    <mergeCell ref="N24:N25"/>
    <mergeCell ref="O24:O25"/>
    <mergeCell ref="Q26:Q27"/>
    <mergeCell ref="P24:P25"/>
    <mergeCell ref="Q24:Q25"/>
    <mergeCell ref="Q21:Q22"/>
    <mergeCell ref="S24:S25"/>
    <mergeCell ref="T24:T25"/>
    <mergeCell ref="U24:U25"/>
    <mergeCell ref="A24:A25"/>
    <mergeCell ref="B24:B25"/>
    <mergeCell ref="H24:H25"/>
    <mergeCell ref="I24:I25"/>
    <mergeCell ref="V26:V27"/>
    <mergeCell ref="V19:V20"/>
    <mergeCell ref="V21:V22"/>
    <mergeCell ref="V24:V25"/>
    <mergeCell ref="V74:V79"/>
    <mergeCell ref="V61:V63"/>
    <mergeCell ref="V13:V14"/>
    <mergeCell ref="V15:V17"/>
    <mergeCell ref="V66:V67"/>
    <mergeCell ref="V47:V50"/>
    <mergeCell ref="V54:V59"/>
    <mergeCell ref="V45:V46"/>
    <mergeCell ref="V28:V29"/>
    <mergeCell ref="V30:V42"/>
  </mergeCells>
  <printOptions horizontalCentered="1"/>
  <pageMargins left="0.3937007874015748" right="0.4330708661417323" top="0.7874015748031497" bottom="0.1968503937007874" header="0" footer="0"/>
  <pageSetup horizontalDpi="600" verticalDpi="600" orientation="landscape" paperSize="9" scale="75" r:id="rId3"/>
  <headerFooter alignWithMargins="0">
    <oddFooter>&amp;R&amp;P</oddFooter>
  </headerFooter>
  <rowBreaks count="1" manualBreakCount="1">
    <brk id="5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Jurmalas pilsetas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JPD</dc:creator>
  <cp:keywords/>
  <dc:description/>
  <cp:lastModifiedBy>Daina.Leinarte</cp:lastModifiedBy>
  <cp:lastPrinted>2009-08-17T10:05:53Z</cp:lastPrinted>
  <dcterms:created xsi:type="dcterms:W3CDTF">2009-08-06T11:17:31Z</dcterms:created>
  <dcterms:modified xsi:type="dcterms:W3CDTF">2009-08-17T10:06:31Z</dcterms:modified>
  <cp:category/>
  <cp:version/>
  <cp:contentType/>
  <cp:contentStatus/>
</cp:coreProperties>
</file>