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3.pielikums" sheetId="1" r:id="rId1"/>
  </sheets>
  <definedNames>
    <definedName name="_xlnm.Print_Area" localSheetId="0">'3.pielikums'!$A$1:$V$145</definedName>
  </definedNames>
  <calcPr fullCalcOnLoad="1"/>
</workbook>
</file>

<file path=xl/comments1.xml><?xml version="1.0" encoding="utf-8"?>
<comments xmlns="http://schemas.openxmlformats.org/spreadsheetml/2006/main">
  <authors>
    <author>arita.moroza</author>
    <author>JPD</author>
  </authors>
  <commentList>
    <comment ref="S14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līgumsumma=8850
2008.g.samaksāts= 1770(avanss); 2655(starpmaksājums)</t>
        </r>
      </text>
    </comment>
    <comment ref="S15" authorId="0">
      <text>
        <r>
          <rPr>
            <b/>
            <sz val="8"/>
            <rFont val="Tahoma"/>
            <family val="0"/>
          </rPr>
          <t>arita.moroza:
līgums=9500+pvn</t>
        </r>
        <r>
          <rPr>
            <sz val="8"/>
            <rFont val="Tahoma"/>
            <family val="0"/>
          </rPr>
          <t xml:space="preserve">
2008.g.samaksāts 4750+pvn:
-avanss=1900+18%=2242.00
-starpmaksājums=2850+18%=3363.00
</t>
        </r>
        <r>
          <rPr>
            <b/>
            <sz val="8"/>
            <rFont val="Tahoma"/>
            <family val="2"/>
          </rPr>
          <t>2009.g.=4750*21%= 5747.50</t>
        </r>
      </text>
    </comment>
    <comment ref="S16" authorId="0">
      <text>
        <r>
          <rPr>
            <b/>
            <sz val="8"/>
            <rFont val="Tahoma"/>
            <family val="0"/>
          </rPr>
          <t>arita.moroza:
līgums=5651.02</t>
        </r>
        <r>
          <rPr>
            <sz val="8"/>
            <rFont val="Tahoma"/>
            <family val="0"/>
          </rPr>
          <t xml:space="preserve">
avanss 2008.g.sam.=1130.20
gala=4520.82 Ls</t>
        </r>
      </text>
    </comment>
    <comment ref="S1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 summa 8260 Ls 
3304-2009.g.pārejošais</t>
        </r>
      </text>
    </comment>
    <comment ref="D70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39=-110518</t>
        </r>
      </text>
    </comment>
    <comment ref="D5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34=-4981
izziņa 87=-11477; -4062</t>
        </r>
      </text>
    </comment>
    <comment ref="D8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91=+1122</t>
        </r>
      </text>
    </comment>
    <comment ref="D9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91=+2940</t>
        </r>
      </text>
    </comment>
    <comment ref="D139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90=+11477</t>
        </r>
      </text>
    </comment>
    <comment ref="D19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87=-1000</t>
        </r>
      </text>
    </comment>
    <comment ref="D4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87=+1000</t>
        </r>
      </text>
    </comment>
    <comment ref="D1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87=-100</t>
        </r>
      </text>
    </comment>
    <comment ref="D35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87=-15000</t>
        </r>
      </text>
    </comment>
    <comment ref="D2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 -3300 </t>
        </r>
      </text>
    </comment>
    <comment ref="D26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108=+2650</t>
        </r>
      </text>
    </comment>
    <comment ref="D24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108=+50</t>
        </r>
      </text>
    </comment>
    <comment ref="D25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108=+600</t>
        </r>
      </text>
    </comment>
    <comment ref="J140" authorId="1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Vija Jansone - Ls 50
Līga Pīrante - Ls 50</t>
        </r>
      </text>
    </comment>
    <comment ref="J141" authorId="1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Līga Pīrante - Ls 52.53</t>
        </r>
      </text>
    </comment>
    <comment ref="K2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samaksāts no 08.120.2390. grozīts!!
Ls 363 - dekoratīvie šķīvji</t>
        </r>
      </text>
    </comment>
    <comment ref="S9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par katskaites periodu saskaņā ar grafiku</t>
        </r>
      </text>
    </comment>
  </commentList>
</comments>
</file>

<file path=xl/sharedStrings.xml><?xml version="1.0" encoding="utf-8"?>
<sst xmlns="http://schemas.openxmlformats.org/spreadsheetml/2006/main" count="174" uniqueCount="105">
  <si>
    <t>Jūrmalas pilsētas dome</t>
  </si>
  <si>
    <t>mērķis</t>
  </si>
  <si>
    <t>Konta Nr. LV84PARX0002484572001</t>
  </si>
  <si>
    <t>Nr.</t>
  </si>
  <si>
    <t>Pasākums/ aktivitāte/ projekts/ pakalpojuma nosaukums/ objekts</t>
  </si>
  <si>
    <t>EKK</t>
  </si>
  <si>
    <t>2009.gada budžeta projekts</t>
  </si>
  <si>
    <t>Izpilde</t>
  </si>
  <si>
    <t>Kases atlikums</t>
  </si>
  <si>
    <t>Atlikums</t>
  </si>
  <si>
    <t>Iesniegti grozījumi</t>
  </si>
  <si>
    <t>Mēnesī</t>
  </si>
  <si>
    <t>Kopā</t>
  </si>
  <si>
    <t>Līg.izpilde 2009</t>
  </si>
  <si>
    <t>Rezervētā līg. summa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</si>
  <si>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</si>
  <si>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</si>
  <si>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</si>
  <si>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</si>
  <si>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</si>
  <si>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</si>
  <si>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</si>
  <si>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</si>
  <si>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</si>
  <si>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</si>
  <si>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</si>
  <si>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</si>
  <si>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01.320   KOPĀ</t>
  </si>
  <si>
    <t>Projektu izstrāde (ES struktūrfondi un Valsts Investīciju Programma)</t>
  </si>
  <si>
    <t>Jūrmalas attīstības plānošanas darbi</t>
  </si>
  <si>
    <t>Ekonomikas un attīstības plānošanas darbiem</t>
  </si>
  <si>
    <t>Poligrāfiskie izdevumi</t>
  </si>
  <si>
    <t>Sadarbība ar Jūrmalas uzņēmējiem</t>
  </si>
  <si>
    <t>Nodarbinātības veicināšanas pasākumi Jūrmalā</t>
  </si>
  <si>
    <t>Statistikas iepirkšana</t>
  </si>
  <si>
    <t>Sadarbības mehānismu ar privāto sektoru pilnveidošanai, to skaitā Valsts un privātās partnerības projektu attīstībai, koncesiju un nomas noteikumu izstrādei</t>
  </si>
  <si>
    <t>Juridiskas konsultācijas un atzinumi kapitāldaļu pārvaldīšanas jautājumos</t>
  </si>
  <si>
    <t>Mūžizglītības attīstības plānošanai Jūrmalas pilsētas teritorijā</t>
  </si>
  <si>
    <t>Skolēnu un studentu vasaras prakses vietu izveide pašvaldības institūcijās</t>
  </si>
  <si>
    <t>Izdevumi izglītības pasākumiem</t>
  </si>
  <si>
    <t>Starptautiskās pilsētplānotāju asociācijas INTA ekspertu uzņemšana Jūrmalas pilsētā</t>
  </si>
  <si>
    <t>Sociālās mājas Valkas ielā 3 energoefektivitātes paaugstināšana</t>
  </si>
  <si>
    <t>Projektu pieteikumu, līgumu, u.c. dokumentu tulkošanas darbiem</t>
  </si>
  <si>
    <t>Papildus izdevumi Jūrmalas pilsētas domes budžetā:</t>
  </si>
  <si>
    <t>Līdzekļi ES struktūrfondu līdzfinansēto projektu ieviešanai</t>
  </si>
  <si>
    <t>KOPĀ</t>
  </si>
  <si>
    <t>Rezervētā līg.summa</t>
  </si>
  <si>
    <t>05.100   KOPĀ</t>
  </si>
  <si>
    <t>Līdzfinansējums Piejūras reģiona sadzīves atkritumu apsaimniekošanas projekta realizācijai SIA "AAS Piejūra"</t>
  </si>
  <si>
    <t>Projekts "Beach Hopping"</t>
  </si>
  <si>
    <t>Konta Nr. LV93TREL9800377130000</t>
  </si>
  <si>
    <t>Personāla mēneša amatalga</t>
  </si>
  <si>
    <t>DD VSAOI</t>
  </si>
  <si>
    <t>Mobilo telefonu apmaksa</t>
  </si>
  <si>
    <t>Sanāksmju, pasākumu organizēšana</t>
  </si>
  <si>
    <t>Baseina īre 06.-10.04.2009.</t>
  </si>
  <si>
    <t>Kafija/Pusdienas</t>
  </si>
  <si>
    <t>Viesu izmitināšana</t>
  </si>
  <si>
    <t>Telpu īre</t>
  </si>
  <si>
    <t>Kafijas pārtraukumi</t>
  </si>
  <si>
    <t>Paraugdemonstrējumi (+kafija/uzkodas)</t>
  </si>
  <si>
    <t>Vakariņas</t>
  </si>
  <si>
    <t>Uz līguma pamata pieaicināto ekspertu izdevumi</t>
  </si>
  <si>
    <t>Projekta vadības vienība</t>
  </si>
  <si>
    <t>Projekta vadītājs</t>
  </si>
  <si>
    <t>Video filmēšana un montāža</t>
  </si>
  <si>
    <t>IT administrators</t>
  </si>
  <si>
    <t>Trenneris</t>
  </si>
  <si>
    <t>Stratēģija</t>
  </si>
  <si>
    <t>Tulkojumi</t>
  </si>
  <si>
    <t>Mācību materiālu dizains un drukāšana</t>
  </si>
  <si>
    <t>Ēku, būvju un telpu remonts</t>
  </si>
  <si>
    <t>Pārējie pakalpojumi</t>
  </si>
  <si>
    <t>Inventāra iegāde</t>
  </si>
  <si>
    <t>Karogs uz pamatnes (10 gb)</t>
  </si>
  <si>
    <t>Pludiņi (6 gb)</t>
  </si>
  <si>
    <t>Maskas (6 gb)</t>
  </si>
  <si>
    <t>Glābšanas vestes (12 gb)</t>
  </si>
  <si>
    <t>Benzīns</t>
  </si>
  <si>
    <t>Reklāma</t>
  </si>
  <si>
    <t>Transportlīdzekļi</t>
  </si>
  <si>
    <t>Ūdensmotocikls (2 gb)</t>
  </si>
  <si>
    <t>Motorlaiva (7 gb)</t>
  </si>
  <si>
    <t>Kvadracikls (2 gb)</t>
  </si>
  <si>
    <t>Pārējie pamatlīdzekļi</t>
  </si>
  <si>
    <t>Drošības zīmes (10 gb)</t>
  </si>
  <si>
    <t>Kompresors</t>
  </si>
  <si>
    <t>Rācijas (20 gb)</t>
  </si>
  <si>
    <t>Niršanas ekipējums (3 gb)</t>
  </si>
  <si>
    <t>Hidrokostīms (slapjais) (6 gb)</t>
  </si>
  <si>
    <t>Hidrokostīms (sausais) (6 gb)</t>
  </si>
  <si>
    <t>Pirmās palīdzības manekens (2 gb)</t>
  </si>
  <si>
    <t>LV14TREL980037D130000</t>
  </si>
  <si>
    <t>Komandējumu dienas nauda</t>
  </si>
  <si>
    <t>Komandējumu pārējie izdevumi</t>
  </si>
  <si>
    <t>Organizatoriskie izdevumi</t>
  </si>
  <si>
    <t>Pieaicināto ekspertu izdevumi</t>
  </si>
  <si>
    <t>Reklāma, tipogrāfija</t>
  </si>
  <si>
    <r>
      <t>2009.gada budžeta projekta atšifrējums __________</t>
    </r>
    <r>
      <rPr>
        <b/>
        <u val="single"/>
        <sz val="10"/>
        <rFont val="Times New Roman"/>
        <family val="1"/>
      </rPr>
      <t>Pilsētas attīstības pasākumi</t>
    </r>
    <r>
      <rPr>
        <b/>
        <sz val="10"/>
        <rFont val="Times New Roman"/>
        <family val="1"/>
      </rPr>
      <t>_______</t>
    </r>
  </si>
  <si>
    <r>
      <t>Struktūrvienības nosaukums _____________</t>
    </r>
    <r>
      <rPr>
        <b/>
        <u val="single"/>
        <sz val="10"/>
        <rFont val="Times New Roman"/>
        <family val="1"/>
      </rPr>
      <t>Ekonomikas un attīstības nodaļa</t>
    </r>
    <r>
      <rPr>
        <sz val="10"/>
        <rFont val="Times New Roman"/>
        <family val="1"/>
      </rPr>
      <t>______________</t>
    </r>
  </si>
  <si>
    <r>
      <t>2009.gada budžeta projekta atšifrējums __________</t>
    </r>
    <r>
      <rPr>
        <b/>
        <u val="single"/>
        <sz val="10"/>
        <rFont val="Times New Roman"/>
        <family val="1"/>
      </rPr>
      <t>Projekti</t>
    </r>
    <r>
      <rPr>
        <b/>
        <sz val="10"/>
        <rFont val="Times New Roman"/>
        <family val="1"/>
      </rPr>
      <t>_______</t>
    </r>
  </si>
  <si>
    <r>
      <t>2009.gada budžeta projekta atšifrējums __________</t>
    </r>
    <r>
      <rPr>
        <b/>
        <u val="single"/>
        <sz val="10"/>
        <rFont val="Times New Roman"/>
        <family val="1"/>
      </rPr>
      <t>Projekts "Dziedošie kaimiņi ("Singing Neighbours")"</t>
    </r>
    <r>
      <rPr>
        <b/>
        <sz val="10"/>
        <rFont val="Times New Roman"/>
        <family val="1"/>
      </rPr>
      <t>_______</t>
    </r>
  </si>
  <si>
    <t>Samazinājums</t>
  </si>
  <si>
    <t>3. pielikums</t>
  </si>
  <si>
    <r>
      <t>2009.gada budžeta projekta atšifrējums __</t>
    </r>
    <r>
      <rPr>
        <b/>
        <u val="single"/>
        <sz val="10"/>
        <rFont val="Times New Roman"/>
        <family val="1"/>
      </rPr>
      <t>Projekts "Zilā karoga prasību nodrošināšana Baltijas jūras reģionā"__</t>
    </r>
  </si>
</sst>
</file>

<file path=xl/styles.xml><?xml version="1.0" encoding="utf-8"?>
<styleSheet xmlns="http://schemas.openxmlformats.org/spreadsheetml/2006/main">
  <numFmts count="5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0.0"/>
    <numFmt numFmtId="169" formatCode="_-* #,##0\ _L_s_-;\-* #,##0\ _L_s_-;_-* &quot;-&quot;??\ _L_s_-;_-@_-"/>
    <numFmt numFmtId="170" formatCode="#,##0_ ;[Red]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26]dddd\,\ yyyy&quot;. gada &quot;d\.\ mmmm"/>
    <numFmt numFmtId="176" formatCode="#,##0.0"/>
    <numFmt numFmtId="177" formatCode="#,##0.000"/>
    <numFmt numFmtId="178" formatCode="#,##0.0000"/>
    <numFmt numFmtId="179" formatCode="#,##0_ ;\-#,##0\ "/>
    <numFmt numFmtId="180" formatCode="#,##0.0;[Red]\-#,##0.0"/>
    <numFmt numFmtId="181" formatCode="#,##0.000;[Red]\-#,##0.000"/>
    <numFmt numFmtId="182" formatCode="#,##0.0000;[Red]\-#,##0.0000"/>
    <numFmt numFmtId="183" formatCode="_-&quot;Ls&quot;\ * #,##0.000_-;\-&quot;Ls&quot;\ * #,##0.000_-;_-&quot;Ls&quot;\ * &quot;-&quot;??_-;_-@_-"/>
    <numFmt numFmtId="184" formatCode="_-&quot;Ls&quot;\ * #,##0.0_-;\-&quot;Ls&quot;\ * #,##0.0_-;_-&quot;Ls&quot;\ * &quot;-&quot;??_-;_-@_-"/>
    <numFmt numFmtId="185" formatCode="_-&quot;Ls&quot;\ * #,##0_-;\-&quot;Ls&quot;\ * #,##0_-;_-&quot;Ls&quot;\ * &quot;-&quot;??_-;_-@_-"/>
    <numFmt numFmtId="186" formatCode="0.000"/>
    <numFmt numFmtId="187" formatCode="0.0000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  <numFmt numFmtId="192" formatCode="&quot;Ls&quot;\ #,##0_);\(&quot;Ls&quot;\ #,##0\)"/>
    <numFmt numFmtId="193" formatCode="&quot;Ls&quot;\ #,##0_);[Red]\(&quot;Ls&quot;\ #,##0\)"/>
    <numFmt numFmtId="194" formatCode="&quot;Ls&quot;\ #,##0.00_);\(&quot;Ls&quot;\ #,##0.00\)"/>
    <numFmt numFmtId="195" formatCode="&quot;Ls&quot;\ #,##0.00_);[Red]\(&quot;Ls&quot;\ #,##0.00\)"/>
    <numFmt numFmtId="196" formatCode="_(&quot;Ls&quot;\ * #,##0_);_(&quot;Ls&quot;\ * \(#,##0\);_(&quot;Ls&quot;\ * &quot;-&quot;_);_(@_)"/>
    <numFmt numFmtId="197" formatCode="_(* #,##0_);_(* \(#,##0\);_(* &quot;-&quot;_);_(@_)"/>
    <numFmt numFmtId="198" formatCode="_(&quot;Ls&quot;\ * #,##0.00_);_(&quot;Ls&quot;\ * \(#,##0.00\);_(&quot;Ls&quot;\ * &quot;-&quot;??_);_(@_)"/>
    <numFmt numFmtId="199" formatCode="_(* #,##0.00_);_(* \(#,##0.00\);_(* &quot;-&quot;??_);_(@_)"/>
    <numFmt numFmtId="200" formatCode="#,##0\ &quot;Ls&quot;;\-#,##0\ &quot;Ls&quot;"/>
    <numFmt numFmtId="201" formatCode="#,##0\ &quot;Ls&quot;;[Red]\-#,##0\ &quot;Ls&quot;"/>
    <numFmt numFmtId="202" formatCode="#,##0.00\ &quot;Ls&quot;;\-#,##0.00\ &quot;Ls&quot;"/>
    <numFmt numFmtId="203" formatCode="#,##0.00\ &quot;Ls&quot;;[Red]\-#,##0.00\ &quot;Ls&quot;"/>
    <numFmt numFmtId="204" formatCode="0.0000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%"/>
    <numFmt numFmtId="211" formatCode="mmm/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i/>
      <sz val="10"/>
      <color indexed="9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38" fontId="24" fillId="0" borderId="11" xfId="0" applyNumberFormat="1" applyFont="1" applyBorder="1" applyAlignment="1">
      <alignment horizontal="center" vertical="center" wrapText="1"/>
    </xf>
    <xf numFmtId="38" fontId="24" fillId="0" borderId="12" xfId="0" applyNumberFormat="1" applyFont="1" applyBorder="1" applyAlignment="1">
      <alignment horizontal="center" vertical="center" wrapText="1"/>
    </xf>
    <xf numFmtId="38" fontId="24" fillId="0" borderId="13" xfId="0" applyNumberFormat="1" applyFont="1" applyBorder="1" applyAlignment="1">
      <alignment horizontal="center" vertical="center" wrapText="1"/>
    </xf>
    <xf numFmtId="38" fontId="24" fillId="0" borderId="14" xfId="0" applyNumberFormat="1" applyFont="1" applyBorder="1" applyAlignment="1">
      <alignment horizontal="center" vertical="center" wrapText="1"/>
    </xf>
    <xf numFmtId="38" fontId="24" fillId="0" borderId="15" xfId="0" applyNumberFormat="1" applyFont="1" applyBorder="1" applyAlignment="1">
      <alignment horizontal="center" vertical="center" wrapText="1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38" fontId="24" fillId="0" borderId="13" xfId="0" applyNumberFormat="1" applyFont="1" applyBorder="1" applyAlignment="1" applyProtection="1">
      <alignment horizontal="right" vertical="center" wrapText="1"/>
      <protection locked="0"/>
    </xf>
    <xf numFmtId="38" fontId="24" fillId="0" borderId="14" xfId="0" applyNumberFormat="1" applyFont="1" applyFill="1" applyBorder="1" applyAlignment="1">
      <alignment horizontal="right" vertical="center" wrapText="1"/>
    </xf>
    <xf numFmtId="38" fontId="24" fillId="0" borderId="14" xfId="0" applyNumberFormat="1" applyFont="1" applyFill="1" applyBorder="1" applyAlignment="1">
      <alignment horizontal="left" vertical="center" wrapText="1"/>
    </xf>
    <xf numFmtId="38" fontId="24" fillId="0" borderId="13" xfId="0" applyNumberFormat="1" applyFont="1" applyFill="1" applyBorder="1" applyAlignment="1">
      <alignment horizontal="right" vertical="center" wrapText="1"/>
    </xf>
    <xf numFmtId="0" fontId="24" fillId="0" borderId="14" xfId="0" applyFont="1" applyBorder="1" applyAlignment="1" applyProtection="1">
      <alignment vertical="center" wrapText="1"/>
      <protection locked="0"/>
    </xf>
    <xf numFmtId="38" fontId="27" fillId="0" borderId="14" xfId="0" applyNumberFormat="1" applyFont="1" applyFill="1" applyBorder="1" applyAlignment="1">
      <alignment horizontal="right" vertical="center" wrapText="1"/>
    </xf>
    <xf numFmtId="40" fontId="24" fillId="0" borderId="14" xfId="0" applyNumberFormat="1" applyFont="1" applyFill="1" applyBorder="1" applyAlignment="1">
      <alignment horizontal="right" vertical="center" wrapText="1"/>
    </xf>
    <xf numFmtId="0" fontId="24" fillId="0" borderId="16" xfId="0" applyNumberFormat="1" applyFont="1" applyBorder="1" applyAlignment="1" applyProtection="1">
      <alignment horizontal="right" vertical="center" wrapText="1"/>
      <protection locked="0"/>
    </xf>
    <xf numFmtId="38" fontId="24" fillId="0" borderId="16" xfId="0" applyNumberFormat="1" applyFont="1" applyBorder="1" applyAlignment="1" applyProtection="1">
      <alignment horizontal="right" vertical="center" wrapText="1"/>
      <protection locked="0"/>
    </xf>
    <xf numFmtId="0" fontId="24" fillId="0" borderId="14" xfId="0" applyNumberFormat="1" applyFont="1" applyBorder="1" applyAlignment="1" applyProtection="1">
      <alignment horizontal="right" vertical="center" wrapText="1"/>
      <protection locked="0"/>
    </xf>
    <xf numFmtId="38" fontId="24" fillId="0" borderId="14" xfId="0" applyNumberFormat="1" applyFont="1" applyBorder="1" applyAlignment="1" applyProtection="1">
      <alignment horizontal="right" vertical="center" wrapText="1"/>
      <protection locked="0"/>
    </xf>
    <xf numFmtId="0" fontId="24" fillId="0" borderId="14" xfId="0" applyNumberFormat="1" applyFont="1" applyBorder="1" applyAlignment="1" applyProtection="1">
      <alignment vertical="center" wrapText="1"/>
      <protection locked="0"/>
    </xf>
    <xf numFmtId="38" fontId="24" fillId="0" borderId="14" xfId="0" applyNumberFormat="1" applyFont="1" applyBorder="1" applyAlignment="1" applyProtection="1">
      <alignment vertical="center" wrapText="1"/>
      <protection locked="0"/>
    </xf>
    <xf numFmtId="38" fontId="27" fillId="0" borderId="14" xfId="0" applyNumberFormat="1" applyFont="1" applyFill="1" applyBorder="1" applyAlignment="1">
      <alignment vertical="center" wrapText="1"/>
    </xf>
    <xf numFmtId="38" fontId="24" fillId="0" borderId="14" xfId="0" applyNumberFormat="1" applyFont="1" applyFill="1" applyBorder="1" applyAlignment="1">
      <alignment vertical="center" wrapText="1"/>
    </xf>
    <xf numFmtId="40" fontId="24" fillId="0" borderId="14" xfId="0" applyNumberFormat="1" applyFont="1" applyFill="1" applyBorder="1" applyAlignment="1">
      <alignment vertical="center" wrapText="1"/>
    </xf>
    <xf numFmtId="0" fontId="24" fillId="0" borderId="13" xfId="0" applyFont="1" applyBorder="1" applyAlignment="1" applyProtection="1">
      <alignment vertical="center" wrapText="1"/>
      <protection locked="0"/>
    </xf>
    <xf numFmtId="0" fontId="27" fillId="0" borderId="14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38" fontId="24" fillId="0" borderId="0" xfId="0" applyNumberFormat="1" applyFont="1" applyFill="1" applyBorder="1" applyAlignment="1">
      <alignment horizontal="right" vertical="center" wrapText="1"/>
    </xf>
    <xf numFmtId="38" fontId="27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 vertical="center" wrapText="1"/>
      <protection locked="0"/>
    </xf>
    <xf numFmtId="170" fontId="27" fillId="0" borderId="0" xfId="0" applyNumberFormat="1" applyFont="1" applyBorder="1" applyAlignment="1" applyProtection="1">
      <alignment horizontal="right" vertical="center" wrapText="1"/>
      <protection locked="0"/>
    </xf>
    <xf numFmtId="38" fontId="24" fillId="0" borderId="0" xfId="0" applyNumberFormat="1" applyFont="1" applyAlignment="1" applyProtection="1">
      <alignment vertical="center"/>
      <protection locked="0"/>
    </xf>
    <xf numFmtId="38" fontId="27" fillId="0" borderId="0" xfId="0" applyNumberFormat="1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vertical="center"/>
      <protection locked="0"/>
    </xf>
    <xf numFmtId="38" fontId="24" fillId="0" borderId="0" xfId="0" applyNumberFormat="1" applyFont="1" applyFill="1" applyAlignment="1">
      <alignment vertical="center"/>
    </xf>
    <xf numFmtId="38" fontId="27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4" fillId="0" borderId="14" xfId="0" applyFont="1" applyFill="1" applyBorder="1" applyAlignment="1" applyProtection="1">
      <alignment vertical="center"/>
      <protection locked="0"/>
    </xf>
    <xf numFmtId="1" fontId="24" fillId="0" borderId="14" xfId="0" applyNumberFormat="1" applyFont="1" applyFill="1" applyBorder="1" applyAlignment="1" applyProtection="1">
      <alignment vertical="center"/>
      <protection locked="0"/>
    </xf>
    <xf numFmtId="40" fontId="27" fillId="0" borderId="14" xfId="0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vertical="center" wrapText="1"/>
    </xf>
    <xf numFmtId="0" fontId="24" fillId="0" borderId="17" xfId="0" applyFont="1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vertical="center"/>
      <protection locked="0"/>
    </xf>
    <xf numFmtId="0" fontId="29" fillId="0" borderId="14" xfId="0" applyFont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2" fontId="28" fillId="0" borderId="14" xfId="0" applyNumberFormat="1" applyFont="1" applyFill="1" applyBorder="1" applyAlignment="1" applyProtection="1">
      <alignment horizontal="left" vertical="center" wrapText="1"/>
      <protection locked="0"/>
    </xf>
    <xf numFmtId="38" fontId="24" fillId="0" borderId="14" xfId="0" applyNumberFormat="1" applyFont="1" applyFill="1" applyBorder="1" applyAlignment="1" applyProtection="1">
      <alignment vertical="center"/>
      <protection locked="0"/>
    </xf>
    <xf numFmtId="0" fontId="28" fillId="0" borderId="14" xfId="0" applyFont="1" applyBorder="1" applyAlignment="1" applyProtection="1">
      <alignment horizontal="left" vertical="center" wrapText="1"/>
      <protection locked="0"/>
    </xf>
    <xf numFmtId="1" fontId="31" fillId="0" borderId="14" xfId="0" applyNumberFormat="1" applyFont="1" applyFill="1" applyBorder="1" applyAlignment="1" applyProtection="1">
      <alignment horizontal="left" vertical="center" wrapText="1"/>
      <protection locked="0"/>
    </xf>
    <xf numFmtId="38" fontId="28" fillId="0" borderId="14" xfId="0" applyNumberFormat="1" applyFont="1" applyBorder="1" applyAlignment="1" applyProtection="1">
      <alignment vertical="center" wrapText="1"/>
      <protection locked="0"/>
    </xf>
    <xf numFmtId="0" fontId="28" fillId="0" borderId="14" xfId="0" applyFont="1" applyFill="1" applyBorder="1" applyAlignment="1" applyProtection="1">
      <alignment vertical="center"/>
      <protection locked="0"/>
    </xf>
    <xf numFmtId="38" fontId="32" fillId="0" borderId="14" xfId="0" applyNumberFormat="1" applyFont="1" applyFill="1" applyBorder="1" applyAlignment="1">
      <alignment horizontal="right" vertical="center" wrapText="1"/>
    </xf>
    <xf numFmtId="40" fontId="28" fillId="0" borderId="14" xfId="0" applyNumberFormat="1" applyFont="1" applyFill="1" applyBorder="1" applyAlignment="1" applyProtection="1">
      <alignment vertical="center"/>
      <protection locked="0"/>
    </xf>
    <xf numFmtId="38" fontId="28" fillId="0" borderId="14" xfId="0" applyNumberFormat="1" applyFont="1" applyFill="1" applyBorder="1" applyAlignment="1">
      <alignment horizontal="right" vertical="center" wrapText="1"/>
    </xf>
    <xf numFmtId="1" fontId="28" fillId="0" borderId="14" xfId="0" applyNumberFormat="1" applyFont="1" applyFill="1" applyBorder="1" applyAlignment="1" applyProtection="1">
      <alignment vertical="center"/>
      <protection locked="0"/>
    </xf>
    <xf numFmtId="2" fontId="28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17" xfId="0" applyFont="1" applyFill="1" applyBorder="1" applyAlignment="1" applyProtection="1">
      <alignment vertical="center"/>
      <protection locked="0"/>
    </xf>
    <xf numFmtId="0" fontId="28" fillId="0" borderId="15" xfId="0" applyFont="1" applyFill="1" applyBorder="1" applyAlignment="1" applyProtection="1">
      <alignment vertical="center"/>
      <protection locked="0"/>
    </xf>
    <xf numFmtId="0" fontId="28" fillId="0" borderId="10" xfId="0" applyFont="1" applyFill="1" applyBorder="1" applyAlignment="1" applyProtection="1">
      <alignment vertical="center"/>
      <protection locked="0"/>
    </xf>
    <xf numFmtId="38" fontId="32" fillId="0" borderId="18" xfId="0" applyNumberFormat="1" applyFont="1" applyFill="1" applyBorder="1" applyAlignment="1">
      <alignment horizontal="right" vertical="center" wrapText="1"/>
    </xf>
    <xf numFmtId="0" fontId="28" fillId="0" borderId="18" xfId="0" applyFont="1" applyFill="1" applyBorder="1" applyAlignment="1" applyProtection="1">
      <alignment vertical="center"/>
      <protection locked="0"/>
    </xf>
    <xf numFmtId="0" fontId="28" fillId="0" borderId="14" xfId="0" applyFont="1" applyBorder="1" applyAlignment="1" applyProtection="1">
      <alignment vertical="center" wrapText="1"/>
      <protection locked="0"/>
    </xf>
    <xf numFmtId="0" fontId="28" fillId="0" borderId="14" xfId="0" applyNumberFormat="1" applyFont="1" applyBorder="1" applyAlignment="1" applyProtection="1">
      <alignment vertical="center" wrapText="1"/>
      <protection locked="0"/>
    </xf>
    <xf numFmtId="38" fontId="27" fillId="0" borderId="18" xfId="0" applyNumberFormat="1" applyFont="1" applyFill="1" applyBorder="1" applyAlignment="1">
      <alignment horizontal="right" vertical="center" wrapText="1"/>
    </xf>
    <xf numFmtId="1" fontId="28" fillId="0" borderId="15" xfId="0" applyNumberFormat="1" applyFont="1" applyFill="1" applyBorder="1" applyAlignment="1" applyProtection="1">
      <alignment vertical="center"/>
      <protection locked="0"/>
    </xf>
    <xf numFmtId="1" fontId="28" fillId="0" borderId="18" xfId="0" applyNumberFormat="1" applyFont="1" applyFill="1" applyBorder="1" applyAlignment="1" applyProtection="1">
      <alignment vertical="center"/>
      <protection locked="0"/>
    </xf>
    <xf numFmtId="2" fontId="28" fillId="0" borderId="18" xfId="0" applyNumberFormat="1" applyFont="1" applyFill="1" applyBorder="1" applyAlignment="1" applyProtection="1">
      <alignment vertical="center"/>
      <protection locked="0"/>
    </xf>
    <xf numFmtId="0" fontId="33" fillId="0" borderId="14" xfId="0" applyNumberFormat="1" applyFont="1" applyBorder="1" applyAlignment="1" applyProtection="1">
      <alignment vertical="center" wrapText="1"/>
      <protection locked="0"/>
    </xf>
    <xf numFmtId="0" fontId="29" fillId="0" borderId="0" xfId="0" applyFont="1" applyAlignment="1">
      <alignment vertical="center"/>
    </xf>
    <xf numFmtId="0" fontId="34" fillId="0" borderId="14" xfId="0" applyFont="1" applyFill="1" applyBorder="1" applyAlignment="1">
      <alignment vertical="center"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2" fontId="24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4" fillId="0" borderId="15" xfId="0" applyNumberFormat="1" applyFont="1" applyFill="1" applyBorder="1" applyAlignment="1" applyProtection="1">
      <alignment vertical="center"/>
      <protection locked="0"/>
    </xf>
    <xf numFmtId="1" fontId="2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7" xfId="0" applyFont="1" applyFill="1" applyBorder="1" applyAlignment="1" applyProtection="1">
      <alignment horizontal="right" vertical="center"/>
      <protection locked="0"/>
    </xf>
    <xf numFmtId="0" fontId="24" fillId="0" borderId="15" xfId="0" applyFont="1" applyFill="1" applyBorder="1" applyAlignment="1" applyProtection="1">
      <alignment horizontal="right" vertical="center"/>
      <protection locked="0"/>
    </xf>
    <xf numFmtId="1" fontId="24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 applyProtection="1">
      <alignment horizontal="right" vertical="center"/>
      <protection locked="0"/>
    </xf>
    <xf numFmtId="38" fontId="24" fillId="0" borderId="18" xfId="0" applyNumberFormat="1" applyFont="1" applyFill="1" applyBorder="1" applyAlignment="1" applyProtection="1">
      <alignment horizontal="right" vertical="center"/>
      <protection locked="0"/>
    </xf>
    <xf numFmtId="1" fontId="24" fillId="0" borderId="14" xfId="0" applyNumberFormat="1" applyFont="1" applyFill="1" applyBorder="1" applyAlignment="1" applyProtection="1">
      <alignment horizontal="right" vertical="center" wrapText="1"/>
      <protection locked="0"/>
    </xf>
    <xf numFmtId="38" fontId="24" fillId="0" borderId="0" xfId="0" applyNumberFormat="1" applyFont="1" applyAlignment="1" applyProtection="1">
      <alignment horizontal="right" vertical="center"/>
      <protection locked="0"/>
    </xf>
    <xf numFmtId="0" fontId="29" fillId="0" borderId="0" xfId="0" applyFont="1" applyFill="1" applyAlignment="1">
      <alignment horizontal="right" vertical="center"/>
    </xf>
    <xf numFmtId="1" fontId="24" fillId="0" borderId="14" xfId="0" applyNumberFormat="1" applyFont="1" applyFill="1" applyBorder="1" applyAlignment="1">
      <alignment horizontal="right" vertical="center" wrapText="1"/>
    </xf>
    <xf numFmtId="1" fontId="24" fillId="0" borderId="12" xfId="0" applyNumberFormat="1" applyFont="1" applyFill="1" applyBorder="1" applyAlignment="1">
      <alignment horizontal="right" vertical="center" wrapText="1"/>
    </xf>
    <xf numFmtId="1" fontId="24" fillId="0" borderId="18" xfId="0" applyNumberFormat="1" applyFont="1" applyFill="1" applyBorder="1" applyAlignment="1">
      <alignment horizontal="right" vertical="center" wrapText="1"/>
    </xf>
    <xf numFmtId="38" fontId="27" fillId="0" borderId="14" xfId="0" applyNumberFormat="1" applyFont="1" applyFill="1" applyBorder="1" applyAlignment="1" applyProtection="1">
      <alignment horizontal="right" vertical="center" wrapText="1"/>
      <protection/>
    </xf>
    <xf numFmtId="1" fontId="27" fillId="0" borderId="14" xfId="0" applyNumberFormat="1" applyFont="1" applyFill="1" applyBorder="1" applyAlignment="1" applyProtection="1">
      <alignment horizontal="center" vertical="center" wrapText="1"/>
      <protection/>
    </xf>
    <xf numFmtId="40" fontId="27" fillId="0" borderId="14" xfId="0" applyNumberFormat="1" applyFont="1" applyFill="1" applyBorder="1" applyAlignment="1" applyProtection="1">
      <alignment horizontal="right" vertical="center" wrapText="1"/>
      <protection/>
    </xf>
    <xf numFmtId="38" fontId="27" fillId="0" borderId="19" xfId="0" applyNumberFormat="1" applyFont="1" applyFill="1" applyBorder="1" applyAlignment="1" applyProtection="1">
      <alignment horizontal="right" vertical="center" wrapText="1"/>
      <protection/>
    </xf>
    <xf numFmtId="38" fontId="27" fillId="0" borderId="12" xfId="0" applyNumberFormat="1" applyFont="1" applyFill="1" applyBorder="1" applyAlignment="1" applyProtection="1">
      <alignment horizontal="right" vertical="center" wrapText="1"/>
      <protection/>
    </xf>
    <xf numFmtId="38" fontId="24" fillId="0" borderId="16" xfId="0" applyNumberFormat="1" applyFont="1" applyBorder="1" applyAlignment="1">
      <alignment horizontal="center" vertical="center" wrapText="1"/>
    </xf>
    <xf numFmtId="38" fontId="24" fillId="0" borderId="15" xfId="0" applyNumberFormat="1" applyFont="1" applyBorder="1" applyAlignment="1">
      <alignment horizontal="center" vertical="center" wrapText="1"/>
    </xf>
    <xf numFmtId="38" fontId="24" fillId="0" borderId="13" xfId="0" applyNumberFormat="1" applyFont="1" applyFill="1" applyBorder="1" applyAlignment="1">
      <alignment horizontal="center" vertical="center" wrapText="1"/>
    </xf>
    <xf numFmtId="38" fontId="24" fillId="0" borderId="15" xfId="0" applyNumberFormat="1" applyFont="1" applyFill="1" applyBorder="1" applyAlignment="1">
      <alignment horizontal="center" vertical="center" wrapText="1"/>
    </xf>
    <xf numFmtId="38" fontId="24" fillId="0" borderId="14" xfId="0" applyNumberFormat="1" applyFont="1" applyFill="1" applyBorder="1" applyAlignment="1">
      <alignment horizontal="right" vertical="center" wrapText="1"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38" fontId="24" fillId="0" borderId="11" xfId="0" applyNumberFormat="1" applyFont="1" applyBorder="1" applyAlignment="1">
      <alignment horizontal="center" vertical="center" wrapText="1"/>
    </xf>
    <xf numFmtId="38" fontId="24" fillId="0" borderId="19" xfId="0" applyNumberFormat="1" applyFont="1" applyBorder="1" applyAlignment="1">
      <alignment horizontal="center" vertical="center" wrapText="1"/>
    </xf>
    <xf numFmtId="38" fontId="24" fillId="0" borderId="12" xfId="0" applyNumberFormat="1" applyFont="1" applyBorder="1" applyAlignment="1">
      <alignment horizontal="center" vertical="center" wrapText="1"/>
    </xf>
    <xf numFmtId="38" fontId="24" fillId="0" borderId="13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0" fontId="24" fillId="0" borderId="14" xfId="0" applyFont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right" vertical="center" wrapText="1"/>
    </xf>
    <xf numFmtId="1" fontId="24" fillId="0" borderId="16" xfId="0" applyNumberFormat="1" applyFont="1" applyFill="1" applyBorder="1" applyAlignment="1">
      <alignment horizontal="right" vertical="center" wrapText="1"/>
    </xf>
    <xf numFmtId="1" fontId="24" fillId="0" borderId="15" xfId="0" applyNumberFormat="1" applyFont="1" applyFill="1" applyBorder="1" applyAlignment="1">
      <alignment horizontal="right" vertical="center" wrapText="1"/>
    </xf>
    <xf numFmtId="0" fontId="28" fillId="0" borderId="13" xfId="0" applyFont="1" applyBorder="1" applyAlignment="1" applyProtection="1">
      <alignment horizontal="left" vertical="center" wrapText="1"/>
      <protection locked="0"/>
    </xf>
    <xf numFmtId="0" fontId="28" fillId="0" borderId="15" xfId="0" applyFont="1" applyBorder="1" applyAlignment="1" applyProtection="1">
      <alignment horizontal="left" vertical="center" wrapText="1"/>
      <protection locked="0"/>
    </xf>
    <xf numFmtId="2" fontId="31" fillId="0" borderId="13" xfId="0" applyNumberFormat="1" applyFont="1" applyFill="1" applyBorder="1" applyAlignment="1" applyProtection="1">
      <alignment horizontal="left" vertical="center" wrapText="1"/>
      <protection locked="0"/>
    </xf>
    <xf numFmtId="2" fontId="31" fillId="0" borderId="15" xfId="0" applyNumberFormat="1" applyFont="1" applyFill="1" applyBorder="1" applyAlignment="1" applyProtection="1">
      <alignment horizontal="left" vertical="center" wrapText="1"/>
      <protection locked="0"/>
    </xf>
    <xf numFmtId="38" fontId="28" fillId="0" borderId="13" xfId="0" applyNumberFormat="1" applyFont="1" applyBorder="1" applyAlignment="1" applyProtection="1">
      <alignment horizontal="right" vertical="center" wrapText="1"/>
      <protection locked="0"/>
    </xf>
    <xf numFmtId="38" fontId="28" fillId="0" borderId="15" xfId="0" applyNumberFormat="1" applyFont="1" applyBorder="1" applyAlignment="1" applyProtection="1">
      <alignment horizontal="right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1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1" fontId="31" fillId="0" borderId="13" xfId="0" applyNumberFormat="1" applyFont="1" applyFill="1" applyBorder="1" applyAlignment="1" applyProtection="1">
      <alignment horizontal="right" vertical="center" wrapText="1"/>
      <protection locked="0"/>
    </xf>
    <xf numFmtId="1" fontId="3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left" vertical="center" wrapText="1"/>
      <protection locked="0"/>
    </xf>
    <xf numFmtId="1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38" fontId="28" fillId="0" borderId="13" xfId="0" applyNumberFormat="1" applyFont="1" applyBorder="1" applyAlignment="1" applyProtection="1">
      <alignment horizontal="center" vertical="center" wrapText="1"/>
      <protection locked="0"/>
    </xf>
    <xf numFmtId="38" fontId="28" fillId="0" borderId="16" xfId="0" applyNumberFormat="1" applyFont="1" applyBorder="1" applyAlignment="1" applyProtection="1">
      <alignment horizontal="center" vertical="center" wrapText="1"/>
      <protection locked="0"/>
    </xf>
    <xf numFmtId="38" fontId="28" fillId="0" borderId="15" xfId="0" applyNumberFormat="1" applyFont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2" xfId="0" applyFont="1" applyFill="1" applyBorder="1" applyAlignment="1" applyProtection="1">
      <alignment horizontal="left" vertical="center" wrapText="1"/>
      <protection/>
    </xf>
    <xf numFmtId="38" fontId="24" fillId="0" borderId="14" xfId="0" applyNumberFormat="1" applyFont="1" applyBorder="1" applyAlignment="1">
      <alignment horizontal="center" vertical="center" wrapText="1"/>
    </xf>
    <xf numFmtId="38" fontId="27" fillId="0" borderId="14" xfId="0" applyNumberFormat="1" applyFont="1" applyFill="1" applyBorder="1" applyAlignment="1">
      <alignment horizontal="right" vertical="center" wrapText="1"/>
    </xf>
    <xf numFmtId="38" fontId="27" fillId="0" borderId="13" xfId="0" applyNumberFormat="1" applyFont="1" applyFill="1" applyBorder="1" applyAlignment="1">
      <alignment horizontal="right" vertical="center" wrapText="1"/>
    </xf>
    <xf numFmtId="38" fontId="27" fillId="0" borderId="15" xfId="0" applyNumberFormat="1" applyFont="1" applyFill="1" applyBorder="1" applyAlignment="1">
      <alignment horizontal="right" vertical="center" wrapText="1"/>
    </xf>
    <xf numFmtId="38" fontId="24" fillId="0" borderId="13" xfId="0" applyNumberFormat="1" applyFont="1" applyFill="1" applyBorder="1" applyAlignment="1">
      <alignment horizontal="right" vertical="center" wrapText="1"/>
    </xf>
    <xf numFmtId="38" fontId="24" fillId="0" borderId="15" xfId="0" applyNumberFormat="1" applyFont="1" applyFill="1" applyBorder="1" applyAlignment="1">
      <alignment horizontal="right" vertical="center" wrapText="1"/>
    </xf>
    <xf numFmtId="38" fontId="24" fillId="0" borderId="13" xfId="0" applyNumberFormat="1" applyFont="1" applyBorder="1" applyAlignment="1" applyProtection="1">
      <alignment horizontal="right" vertical="center" wrapText="1"/>
      <protection locked="0"/>
    </xf>
    <xf numFmtId="38" fontId="24" fillId="0" borderId="16" xfId="0" applyNumberFormat="1" applyFont="1" applyBorder="1" applyAlignment="1" applyProtection="1">
      <alignment horizontal="right" vertical="center" wrapText="1"/>
      <protection locked="0"/>
    </xf>
    <xf numFmtId="38" fontId="24" fillId="0" borderId="15" xfId="0" applyNumberFormat="1" applyFont="1" applyBorder="1" applyAlignment="1" applyProtection="1">
      <alignment horizontal="right"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4" fillId="0" borderId="13" xfId="0" applyNumberFormat="1" applyFont="1" applyBorder="1" applyAlignment="1" applyProtection="1">
      <alignment horizontal="right" vertical="center" wrapText="1"/>
      <protection locked="0"/>
    </xf>
    <xf numFmtId="0" fontId="24" fillId="0" borderId="15" xfId="0" applyNumberFormat="1" applyFont="1" applyBorder="1" applyAlignment="1" applyProtection="1">
      <alignment horizontal="right" vertical="center" wrapText="1"/>
      <protection locked="0"/>
    </xf>
    <xf numFmtId="0" fontId="24" fillId="0" borderId="14" xfId="0" applyNumberFormat="1" applyFont="1" applyBorder="1" applyAlignment="1" applyProtection="1">
      <alignment horizontal="right" vertical="center" wrapText="1"/>
      <protection locked="0"/>
    </xf>
    <xf numFmtId="38" fontId="24" fillId="0" borderId="14" xfId="0" applyNumberFormat="1" applyFont="1" applyBorder="1" applyAlignment="1" applyProtection="1">
      <alignment horizontal="right" vertical="center" wrapText="1"/>
      <protection locked="0"/>
    </xf>
    <xf numFmtId="0" fontId="24" fillId="0" borderId="16" xfId="0" applyNumberFormat="1" applyFont="1" applyBorder="1" applyAlignment="1" applyProtection="1">
      <alignment horizontal="right" vertical="center" wrapText="1"/>
      <protection locked="0"/>
    </xf>
    <xf numFmtId="40" fontId="24" fillId="0" borderId="14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V145"/>
  <sheetViews>
    <sheetView tabSelected="1" zoomScale="90" zoomScaleNormal="90" workbookViewId="0" topLeftCell="A1">
      <selection activeCell="T3" sqref="T3"/>
    </sheetView>
  </sheetViews>
  <sheetFormatPr defaultColWidth="9.140625" defaultRowHeight="12.75"/>
  <cols>
    <col min="1" max="1" width="3.421875" style="1" customWidth="1"/>
    <col min="2" max="2" width="30.8515625" style="1" customWidth="1"/>
    <col min="3" max="3" width="8.00390625" style="1" bestFit="1" customWidth="1"/>
    <col min="4" max="4" width="8.57421875" style="1" bestFit="1" customWidth="1"/>
    <col min="5" max="6" width="2.57421875" style="1" hidden="1" customWidth="1"/>
    <col min="7" max="8" width="3.421875" style="1" hidden="1" customWidth="1"/>
    <col min="9" max="11" width="6.421875" style="1" hidden="1" customWidth="1"/>
    <col min="12" max="12" width="5.00390625" style="1" hidden="1" customWidth="1"/>
    <col min="13" max="13" width="2.8515625" style="1" hidden="1" customWidth="1"/>
    <col min="14" max="14" width="2.28125" style="1" hidden="1" customWidth="1"/>
    <col min="15" max="15" width="2.8515625" style="1" hidden="1" customWidth="1"/>
    <col min="16" max="16" width="3.421875" style="1" hidden="1" customWidth="1"/>
    <col min="17" max="17" width="8.8515625" style="1" bestFit="1" customWidth="1"/>
    <col min="18" max="18" width="9.28125" style="1" hidden="1" customWidth="1"/>
    <col min="19" max="19" width="9.28125" style="1" bestFit="1" customWidth="1"/>
    <col min="20" max="20" width="7.421875" style="1" customWidth="1"/>
    <col min="21" max="21" width="9.28125" style="1" bestFit="1" customWidth="1"/>
    <col min="22" max="22" width="13.00390625" style="85" customWidth="1"/>
    <col min="23" max="16384" width="9.140625" style="2" customWidth="1"/>
  </cols>
  <sheetData>
    <row r="1" ht="15.75">
      <c r="V1" s="122" t="s">
        <v>103</v>
      </c>
    </row>
    <row r="2" spans="1:22" ht="12.75">
      <c r="A2" s="3" t="s">
        <v>0</v>
      </c>
      <c r="B2" s="3"/>
      <c r="V2" s="4"/>
    </row>
    <row r="3" ht="12.75">
      <c r="V3" s="5"/>
    </row>
    <row r="4" spans="1:22" ht="12.75">
      <c r="A4" s="6" t="s">
        <v>98</v>
      </c>
      <c r="V4" s="4"/>
    </row>
    <row r="5" spans="3:22" ht="12.75">
      <c r="C5" s="7" t="s">
        <v>1</v>
      </c>
      <c r="V5" s="4"/>
    </row>
    <row r="6" spans="1:22" ht="12.75">
      <c r="A6" s="1" t="s">
        <v>99</v>
      </c>
      <c r="V6" s="4"/>
    </row>
    <row r="7" spans="1:22" ht="12.75">
      <c r="A7" s="1" t="s">
        <v>2</v>
      </c>
      <c r="C7" s="8"/>
      <c r="V7" s="4"/>
    </row>
    <row r="8" spans="1:22" ht="12.75" customHeight="1">
      <c r="A8" s="115" t="s">
        <v>3</v>
      </c>
      <c r="B8" s="115" t="s">
        <v>4</v>
      </c>
      <c r="C8" s="112" t="s">
        <v>5</v>
      </c>
      <c r="D8" s="115" t="s">
        <v>6</v>
      </c>
      <c r="E8" s="118" t="s">
        <v>7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0"/>
      <c r="T8" s="121" t="s">
        <v>8</v>
      </c>
      <c r="U8" s="121" t="s">
        <v>9</v>
      </c>
      <c r="V8" s="123" t="s">
        <v>102</v>
      </c>
    </row>
    <row r="9" spans="1:22" ht="12.75" customHeight="1">
      <c r="A9" s="116"/>
      <c r="B9" s="116"/>
      <c r="C9" s="113"/>
      <c r="D9" s="116"/>
      <c r="E9" s="118" t="s">
        <v>11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  <c r="Q9" s="121" t="s">
        <v>12</v>
      </c>
      <c r="R9" s="109" t="s">
        <v>13</v>
      </c>
      <c r="S9" s="121" t="s">
        <v>14</v>
      </c>
      <c r="T9" s="107"/>
      <c r="U9" s="107"/>
      <c r="V9" s="123"/>
    </row>
    <row r="10" spans="1:22" ht="15" customHeight="1">
      <c r="A10" s="117"/>
      <c r="B10" s="117"/>
      <c r="C10" s="114"/>
      <c r="D10" s="117"/>
      <c r="E10" s="12" t="s">
        <v>15</v>
      </c>
      <c r="F10" s="12" t="s">
        <v>16</v>
      </c>
      <c r="G10" s="12" t="s">
        <v>17</v>
      </c>
      <c r="H10" s="12" t="s">
        <v>18</v>
      </c>
      <c r="I10" s="12" t="s">
        <v>19</v>
      </c>
      <c r="J10" s="12" t="s">
        <v>20</v>
      </c>
      <c r="K10" s="12" t="s">
        <v>21</v>
      </c>
      <c r="L10" s="12" t="s">
        <v>22</v>
      </c>
      <c r="M10" s="12" t="s">
        <v>23</v>
      </c>
      <c r="N10" s="12" t="s">
        <v>24</v>
      </c>
      <c r="O10" s="12" t="s">
        <v>25</v>
      </c>
      <c r="P10" s="12" t="s">
        <v>26</v>
      </c>
      <c r="Q10" s="108"/>
      <c r="R10" s="110"/>
      <c r="S10" s="108"/>
      <c r="T10" s="108"/>
      <c r="U10" s="108"/>
      <c r="V10" s="123"/>
    </row>
    <row r="11" spans="1:22" ht="12.75">
      <c r="A11" s="147" t="s">
        <v>27</v>
      </c>
      <c r="B11" s="148"/>
      <c r="C11" s="102"/>
      <c r="D11" s="102">
        <f aca="true" t="shared" si="0" ref="D11:P11">SUM(D12:D52)</f>
        <v>152692</v>
      </c>
      <c r="E11" s="102">
        <f t="shared" si="0"/>
        <v>0</v>
      </c>
      <c r="F11" s="102">
        <f t="shared" si="0"/>
        <v>0</v>
      </c>
      <c r="G11" s="102">
        <f t="shared" si="0"/>
        <v>18.61</v>
      </c>
      <c r="H11" s="102">
        <f t="shared" si="0"/>
        <v>56.42</v>
      </c>
      <c r="I11" s="102">
        <f t="shared" si="0"/>
        <v>5073.63</v>
      </c>
      <c r="J11" s="102">
        <f t="shared" si="0"/>
        <v>386.4300000000001</v>
      </c>
      <c r="K11" s="102">
        <f t="shared" si="0"/>
        <v>1168.26</v>
      </c>
      <c r="L11" s="102">
        <f t="shared" si="0"/>
        <v>0</v>
      </c>
      <c r="M11" s="102">
        <f t="shared" si="0"/>
        <v>0</v>
      </c>
      <c r="N11" s="102">
        <f t="shared" si="0"/>
        <v>0</v>
      </c>
      <c r="O11" s="102">
        <f t="shared" si="0"/>
        <v>0</v>
      </c>
      <c r="P11" s="102">
        <f t="shared" si="0"/>
        <v>0</v>
      </c>
      <c r="Q11" s="102">
        <f aca="true" t="shared" si="1" ref="Q11:V11">SUM(Q12:Q52)</f>
        <v>6703.35</v>
      </c>
      <c r="R11" s="102">
        <f t="shared" si="1"/>
        <v>5917.38</v>
      </c>
      <c r="S11" s="102">
        <f t="shared" si="1"/>
        <v>40090.42</v>
      </c>
      <c r="T11" s="102">
        <f t="shared" si="1"/>
        <v>145988.65000000002</v>
      </c>
      <c r="U11" s="102">
        <f t="shared" si="1"/>
        <v>105898.23</v>
      </c>
      <c r="V11" s="103">
        <f t="shared" si="1"/>
        <v>-79674</v>
      </c>
    </row>
    <row r="12" spans="1:22" ht="12.75">
      <c r="A12" s="133">
        <v>1</v>
      </c>
      <c r="B12" s="158" t="s">
        <v>28</v>
      </c>
      <c r="C12" s="161">
        <v>2232</v>
      </c>
      <c r="D12" s="155">
        <f>45000-100</f>
        <v>44900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51">
        <f>SUM(E12:P13)</f>
        <v>0</v>
      </c>
      <c r="R12" s="18">
        <f>SUM(E12:P12)</f>
        <v>0</v>
      </c>
      <c r="S12" s="17"/>
      <c r="T12" s="153">
        <f>D12-Q12</f>
        <v>44900</v>
      </c>
      <c r="U12" s="153">
        <f>T12-SUM(S12:S13)</f>
        <v>44900</v>
      </c>
      <c r="V12" s="99">
        <v>-44900</v>
      </c>
    </row>
    <row r="13" spans="1:22" ht="12.75">
      <c r="A13" s="134"/>
      <c r="B13" s="160"/>
      <c r="C13" s="162"/>
      <c r="D13" s="15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52"/>
      <c r="R13" s="18">
        <f aca="true" t="shared" si="2" ref="R13:R52">SUM(E13:P13)</f>
        <v>0</v>
      </c>
      <c r="S13" s="17"/>
      <c r="T13" s="154"/>
      <c r="U13" s="154"/>
      <c r="V13" s="99"/>
    </row>
    <row r="14" spans="1:22" ht="12.75">
      <c r="A14" s="133">
        <v>2</v>
      </c>
      <c r="B14" s="158" t="s">
        <v>29</v>
      </c>
      <c r="C14" s="161">
        <v>5110</v>
      </c>
      <c r="D14" s="155">
        <v>40000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50">
        <f>SUM(E14:P18)</f>
        <v>2873.75</v>
      </c>
      <c r="R14" s="18">
        <f t="shared" si="2"/>
        <v>0</v>
      </c>
      <c r="S14" s="22">
        <f>8850-1770-2655-R14</f>
        <v>4425</v>
      </c>
      <c r="T14" s="111">
        <f>D14-Q14</f>
        <v>37126.25</v>
      </c>
      <c r="U14" s="111">
        <f>T14-SUM(S14:S18)</f>
        <v>22002.68</v>
      </c>
      <c r="V14" s="124">
        <v>-5002</v>
      </c>
    </row>
    <row r="15" spans="1:22" ht="12.75">
      <c r="A15" s="141"/>
      <c r="B15" s="159"/>
      <c r="C15" s="165"/>
      <c r="D15" s="156"/>
      <c r="E15" s="17"/>
      <c r="F15" s="17"/>
      <c r="G15" s="17"/>
      <c r="H15" s="17"/>
      <c r="I15" s="17">
        <f>2873.75</f>
        <v>2873.75</v>
      </c>
      <c r="J15" s="17"/>
      <c r="K15" s="17"/>
      <c r="L15" s="17"/>
      <c r="M15" s="17"/>
      <c r="N15" s="17"/>
      <c r="O15" s="17"/>
      <c r="P15" s="17"/>
      <c r="Q15" s="150"/>
      <c r="R15" s="18">
        <f t="shared" si="2"/>
        <v>2873.75</v>
      </c>
      <c r="S15" s="22">
        <f>5747.5-R15</f>
        <v>2873.75</v>
      </c>
      <c r="T15" s="111"/>
      <c r="U15" s="111"/>
      <c r="V15" s="125"/>
    </row>
    <row r="16" spans="1:22" ht="12.75">
      <c r="A16" s="141"/>
      <c r="B16" s="159"/>
      <c r="C16" s="165"/>
      <c r="D16" s="15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50"/>
      <c r="R16" s="18">
        <f t="shared" si="2"/>
        <v>0</v>
      </c>
      <c r="S16" s="22">
        <f>5651.02-1130.2-R16</f>
        <v>4520.820000000001</v>
      </c>
      <c r="T16" s="111"/>
      <c r="U16" s="111"/>
      <c r="V16" s="125"/>
    </row>
    <row r="17" spans="1:22" ht="48.75" customHeight="1">
      <c r="A17" s="141"/>
      <c r="B17" s="159"/>
      <c r="C17" s="165"/>
      <c r="D17" s="15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50"/>
      <c r="R17" s="18">
        <f t="shared" si="2"/>
        <v>0</v>
      </c>
      <c r="S17" s="22">
        <f>3304-R17</f>
        <v>3304</v>
      </c>
      <c r="T17" s="111"/>
      <c r="U17" s="111"/>
      <c r="V17" s="125"/>
    </row>
    <row r="18" spans="1:22" ht="12.75">
      <c r="A18" s="134"/>
      <c r="B18" s="160"/>
      <c r="C18" s="162"/>
      <c r="D18" s="15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50"/>
      <c r="R18" s="18">
        <f t="shared" si="2"/>
        <v>0</v>
      </c>
      <c r="S18" s="17"/>
      <c r="T18" s="111"/>
      <c r="U18" s="111"/>
      <c r="V18" s="126"/>
    </row>
    <row r="19" spans="1:22" ht="12.75">
      <c r="A19" s="133">
        <v>3</v>
      </c>
      <c r="B19" s="158" t="s">
        <v>30</v>
      </c>
      <c r="C19" s="163">
        <v>2279</v>
      </c>
      <c r="D19" s="164">
        <f>5000-1000</f>
        <v>4000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50">
        <f>SUM(E19:P19)</f>
        <v>0</v>
      </c>
      <c r="R19" s="18">
        <f t="shared" si="2"/>
        <v>0</v>
      </c>
      <c r="S19" s="17">
        <f>500-SUM(E19:P19)</f>
        <v>500</v>
      </c>
      <c r="T19" s="111">
        <f>D19-Q19</f>
        <v>4000</v>
      </c>
      <c r="U19" s="111">
        <f>T19-SUM(S19:S20)</f>
        <v>3500</v>
      </c>
      <c r="V19" s="99"/>
    </row>
    <row r="20" spans="1:22" ht="12.75">
      <c r="A20" s="134"/>
      <c r="B20" s="160"/>
      <c r="C20" s="163"/>
      <c r="D20" s="16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50"/>
      <c r="R20" s="18">
        <f t="shared" si="2"/>
        <v>0</v>
      </c>
      <c r="S20" s="17"/>
      <c r="T20" s="111"/>
      <c r="U20" s="111"/>
      <c r="V20" s="99"/>
    </row>
    <row r="21" spans="1:22" ht="12.75">
      <c r="A21" s="14">
        <v>4</v>
      </c>
      <c r="B21" s="15" t="s">
        <v>31</v>
      </c>
      <c r="C21" s="27">
        <v>2239</v>
      </c>
      <c r="D21" s="28">
        <v>2000</v>
      </c>
      <c r="E21" s="17"/>
      <c r="F21" s="17"/>
      <c r="G21" s="17"/>
      <c r="H21" s="17"/>
      <c r="I21" s="17">
        <f>673.63+42.3</f>
        <v>715.93</v>
      </c>
      <c r="J21" s="17"/>
      <c r="K21" s="17"/>
      <c r="L21" s="17"/>
      <c r="M21" s="17"/>
      <c r="N21" s="17"/>
      <c r="O21" s="17"/>
      <c r="P21" s="17"/>
      <c r="Q21" s="29">
        <f>SUM(E21:P21)</f>
        <v>715.93</v>
      </c>
      <c r="R21" s="18">
        <f t="shared" si="2"/>
        <v>715.93</v>
      </c>
      <c r="S21" s="17"/>
      <c r="T21" s="30">
        <f>D21-Q21</f>
        <v>1284.0700000000002</v>
      </c>
      <c r="U21" s="31">
        <f>T21-SUM(S21)</f>
        <v>1284.0700000000002</v>
      </c>
      <c r="V21" s="99"/>
    </row>
    <row r="22" spans="1:22" ht="12.75">
      <c r="A22" s="133">
        <v>5</v>
      </c>
      <c r="B22" s="158" t="s">
        <v>32</v>
      </c>
      <c r="C22" s="161">
        <v>2231</v>
      </c>
      <c r="D22" s="155">
        <f>8000-3300</f>
        <v>4700</v>
      </c>
      <c r="E22" s="17"/>
      <c r="F22" s="17"/>
      <c r="G22" s="17"/>
      <c r="H22" s="17"/>
      <c r="I22" s="17">
        <f>50+150+150+150+40+100+40</f>
        <v>680</v>
      </c>
      <c r="J22" s="17">
        <f>105.2+52.4+48.49+45+72.37+73.74+68.8-7.45-67.45-18-5.28</f>
        <v>367.8200000000001</v>
      </c>
      <c r="K22" s="17"/>
      <c r="L22" s="17"/>
      <c r="M22" s="17"/>
      <c r="N22" s="17"/>
      <c r="O22" s="17"/>
      <c r="P22" s="17"/>
      <c r="Q22" s="150">
        <f>SUM(E22:P23)</f>
        <v>1430.1100000000001</v>
      </c>
      <c r="R22" s="18">
        <f t="shared" si="2"/>
        <v>1047.8200000000002</v>
      </c>
      <c r="S22" s="17"/>
      <c r="T22" s="166">
        <f>D22-Q22</f>
        <v>3269.89</v>
      </c>
      <c r="U22" s="111">
        <f>T22-SUM(S22:S23)</f>
        <v>3269.89</v>
      </c>
      <c r="V22" s="124">
        <v>-3269</v>
      </c>
    </row>
    <row r="23" spans="1:22" ht="12.75">
      <c r="A23" s="141"/>
      <c r="B23" s="159"/>
      <c r="C23" s="162"/>
      <c r="D23" s="157"/>
      <c r="E23" s="17"/>
      <c r="F23" s="17"/>
      <c r="G23" s="17"/>
      <c r="H23" s="17"/>
      <c r="I23" s="17"/>
      <c r="J23" s="17"/>
      <c r="K23" s="17">
        <f>382.29</f>
        <v>382.29</v>
      </c>
      <c r="L23" s="17"/>
      <c r="M23" s="17"/>
      <c r="N23" s="17"/>
      <c r="O23" s="17"/>
      <c r="P23" s="17"/>
      <c r="Q23" s="150"/>
      <c r="R23" s="18">
        <f t="shared" si="2"/>
        <v>382.29</v>
      </c>
      <c r="S23" s="17"/>
      <c r="T23" s="166"/>
      <c r="U23" s="111"/>
      <c r="V23" s="126"/>
    </row>
    <row r="24" spans="1:22" ht="12.75">
      <c r="A24" s="141"/>
      <c r="B24" s="159"/>
      <c r="C24" s="23">
        <v>2239</v>
      </c>
      <c r="D24" s="24">
        <f>50</f>
        <v>50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1">
        <f>SUM(E24:P24)</f>
        <v>0</v>
      </c>
      <c r="R24" s="18"/>
      <c r="S24" s="17"/>
      <c r="T24" s="22">
        <f>D24-Q24</f>
        <v>50</v>
      </c>
      <c r="U24" s="17">
        <f>T24-S24</f>
        <v>50</v>
      </c>
      <c r="V24" s="99">
        <v>-50</v>
      </c>
    </row>
    <row r="25" spans="1:22" ht="12.75">
      <c r="A25" s="141"/>
      <c r="B25" s="159"/>
      <c r="C25" s="25">
        <v>2279</v>
      </c>
      <c r="D25" s="26">
        <f>600</f>
        <v>600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21">
        <f>SUM(E25:P25)</f>
        <v>0</v>
      </c>
      <c r="R25" s="18"/>
      <c r="S25" s="17"/>
      <c r="T25" s="22">
        <f>D25-Q25</f>
        <v>600</v>
      </c>
      <c r="U25" s="17">
        <f>T25-S25</f>
        <v>600</v>
      </c>
      <c r="V25" s="99">
        <v>-600</v>
      </c>
    </row>
    <row r="26" spans="1:22" ht="12.75">
      <c r="A26" s="141"/>
      <c r="B26" s="159"/>
      <c r="C26" s="161">
        <v>2390</v>
      </c>
      <c r="D26" s="155">
        <f>2650</f>
        <v>2650</v>
      </c>
      <c r="E26" s="17"/>
      <c r="F26" s="17"/>
      <c r="G26" s="17"/>
      <c r="H26" s="17"/>
      <c r="I26" s="17"/>
      <c r="J26" s="17"/>
      <c r="K26" s="17">
        <v>257.97</v>
      </c>
      <c r="L26" s="17"/>
      <c r="M26" s="17"/>
      <c r="N26" s="17"/>
      <c r="O26" s="17"/>
      <c r="P26" s="17"/>
      <c r="Q26" s="150">
        <f>SUM(E26:P28)</f>
        <v>785.97</v>
      </c>
      <c r="R26" s="18"/>
      <c r="S26" s="22">
        <f>257.97-J26</f>
        <v>257.97</v>
      </c>
      <c r="T26" s="166">
        <f>D26-Q26</f>
        <v>1864.03</v>
      </c>
      <c r="U26" s="111">
        <f>T26-SUM(S26:S28)</f>
        <v>1606.06</v>
      </c>
      <c r="V26" s="99"/>
    </row>
    <row r="27" spans="1:22" ht="12.75">
      <c r="A27" s="141"/>
      <c r="B27" s="159"/>
      <c r="C27" s="165"/>
      <c r="D27" s="156"/>
      <c r="E27" s="17"/>
      <c r="F27" s="17"/>
      <c r="G27" s="17"/>
      <c r="H27" s="17"/>
      <c r="I27" s="17"/>
      <c r="J27" s="17"/>
      <c r="K27" s="17">
        <f>363</f>
        <v>363</v>
      </c>
      <c r="L27" s="17"/>
      <c r="M27" s="17"/>
      <c r="N27" s="17"/>
      <c r="O27" s="17"/>
      <c r="P27" s="17"/>
      <c r="Q27" s="150"/>
      <c r="R27" s="18"/>
      <c r="S27" s="17"/>
      <c r="T27" s="166"/>
      <c r="U27" s="111"/>
      <c r="V27" s="99"/>
    </row>
    <row r="28" spans="1:22" ht="12.75">
      <c r="A28" s="134"/>
      <c r="B28" s="160"/>
      <c r="C28" s="162"/>
      <c r="D28" s="157"/>
      <c r="E28" s="17"/>
      <c r="F28" s="17"/>
      <c r="G28" s="17"/>
      <c r="H28" s="17"/>
      <c r="I28" s="17"/>
      <c r="J28" s="17"/>
      <c r="K28" s="17">
        <f>165</f>
        <v>165</v>
      </c>
      <c r="L28" s="17"/>
      <c r="M28" s="17"/>
      <c r="N28" s="17"/>
      <c r="O28" s="17"/>
      <c r="P28" s="17"/>
      <c r="Q28" s="150"/>
      <c r="R28" s="18"/>
      <c r="S28" s="17"/>
      <c r="T28" s="166"/>
      <c r="U28" s="111"/>
      <c r="V28" s="99"/>
    </row>
    <row r="29" spans="1:22" ht="12.75">
      <c r="A29" s="133">
        <v>6</v>
      </c>
      <c r="B29" s="158" t="s">
        <v>33</v>
      </c>
      <c r="C29" s="161">
        <v>2279</v>
      </c>
      <c r="D29" s="155">
        <v>3500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50">
        <f>SUM(E29:P29)</f>
        <v>0</v>
      </c>
      <c r="R29" s="18">
        <f t="shared" si="2"/>
        <v>0</v>
      </c>
      <c r="S29" s="17"/>
      <c r="T29" s="111">
        <f>D29-Q29</f>
        <v>3500</v>
      </c>
      <c r="U29" s="111">
        <f>T29-SUM(S29:S30)</f>
        <v>3500</v>
      </c>
      <c r="V29" s="124">
        <v>-3500</v>
      </c>
    </row>
    <row r="30" spans="1:22" ht="12.75">
      <c r="A30" s="134"/>
      <c r="B30" s="160"/>
      <c r="C30" s="162"/>
      <c r="D30" s="15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50"/>
      <c r="R30" s="18">
        <f t="shared" si="2"/>
        <v>0</v>
      </c>
      <c r="S30" s="17"/>
      <c r="T30" s="111"/>
      <c r="U30" s="111"/>
      <c r="V30" s="126"/>
    </row>
    <row r="31" spans="1:22" ht="12.75">
      <c r="A31" s="133">
        <v>7</v>
      </c>
      <c r="B31" s="158" t="s">
        <v>34</v>
      </c>
      <c r="C31" s="161">
        <v>2279</v>
      </c>
      <c r="D31" s="155">
        <v>250</v>
      </c>
      <c r="E31" s="17"/>
      <c r="F31" s="17"/>
      <c r="G31" s="17">
        <v>18.61</v>
      </c>
      <c r="H31" s="17">
        <f>56.42</f>
        <v>56.42</v>
      </c>
      <c r="I31" s="17">
        <f>2.48+1.97</f>
        <v>4.45</v>
      </c>
      <c r="J31" s="17">
        <f>18.61</f>
        <v>18.61</v>
      </c>
      <c r="K31" s="17"/>
      <c r="L31" s="17"/>
      <c r="M31" s="17"/>
      <c r="N31" s="17"/>
      <c r="O31" s="17"/>
      <c r="P31" s="17"/>
      <c r="Q31" s="150">
        <f>SUM(E31:P31)</f>
        <v>98.09</v>
      </c>
      <c r="R31" s="18">
        <f t="shared" si="2"/>
        <v>98.09</v>
      </c>
      <c r="S31" s="17"/>
      <c r="T31" s="111">
        <f>D31-Q31</f>
        <v>151.91</v>
      </c>
      <c r="U31" s="111">
        <f>T31-SUM(S31:S32)</f>
        <v>151.91</v>
      </c>
      <c r="V31" s="99">
        <v>-152</v>
      </c>
    </row>
    <row r="32" spans="1:22" ht="12.75" hidden="1">
      <c r="A32" s="134"/>
      <c r="B32" s="160"/>
      <c r="C32" s="162"/>
      <c r="D32" s="15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50"/>
      <c r="R32" s="18">
        <f t="shared" si="2"/>
        <v>0</v>
      </c>
      <c r="S32" s="17"/>
      <c r="T32" s="111"/>
      <c r="U32" s="111"/>
      <c r="V32" s="99"/>
    </row>
    <row r="33" spans="1:22" ht="12.75">
      <c r="A33" s="133">
        <v>8</v>
      </c>
      <c r="B33" s="158" t="s">
        <v>35</v>
      </c>
      <c r="C33" s="161">
        <v>2279</v>
      </c>
      <c r="D33" s="155">
        <v>15000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50">
        <f>SUM(E33:P33)</f>
        <v>0</v>
      </c>
      <c r="R33" s="18">
        <f t="shared" si="2"/>
        <v>0</v>
      </c>
      <c r="S33" s="17"/>
      <c r="T33" s="111">
        <f>D33-Q33</f>
        <v>15000</v>
      </c>
      <c r="U33" s="111">
        <f>T33-SUM(S33:S34)</f>
        <v>15000</v>
      </c>
      <c r="V33" s="124">
        <v>-12000</v>
      </c>
    </row>
    <row r="34" spans="1:22" ht="12.75">
      <c r="A34" s="134"/>
      <c r="B34" s="160"/>
      <c r="C34" s="162"/>
      <c r="D34" s="15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50"/>
      <c r="R34" s="18">
        <f t="shared" si="2"/>
        <v>0</v>
      </c>
      <c r="S34" s="17"/>
      <c r="T34" s="111"/>
      <c r="U34" s="111"/>
      <c r="V34" s="126"/>
    </row>
    <row r="35" spans="1:22" ht="12.75">
      <c r="A35" s="133">
        <v>9</v>
      </c>
      <c r="B35" s="158" t="s">
        <v>36</v>
      </c>
      <c r="C35" s="161">
        <v>2232</v>
      </c>
      <c r="D35" s="155">
        <f>15000-15000</f>
        <v>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50">
        <f>SUM(E35:P35)</f>
        <v>0</v>
      </c>
      <c r="R35" s="18">
        <f t="shared" si="2"/>
        <v>0</v>
      </c>
      <c r="S35" s="17"/>
      <c r="T35" s="111">
        <f>D35-Q35</f>
        <v>0</v>
      </c>
      <c r="U35" s="153">
        <f>T35-SUM(S35:S36)</f>
        <v>0</v>
      </c>
      <c r="V35" s="99"/>
    </row>
    <row r="36" spans="1:22" ht="12.75">
      <c r="A36" s="134"/>
      <c r="B36" s="160"/>
      <c r="C36" s="162"/>
      <c r="D36" s="15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50"/>
      <c r="R36" s="18">
        <f t="shared" si="2"/>
        <v>0</v>
      </c>
      <c r="S36" s="17"/>
      <c r="T36" s="111"/>
      <c r="U36" s="154"/>
      <c r="V36" s="99"/>
    </row>
    <row r="37" spans="1:22" ht="12.75">
      <c r="A37" s="133">
        <v>10</v>
      </c>
      <c r="B37" s="158" t="s">
        <v>37</v>
      </c>
      <c r="C37" s="161">
        <v>2232</v>
      </c>
      <c r="D37" s="155">
        <v>3500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50">
        <f>SUM(E37:P37)</f>
        <v>0</v>
      </c>
      <c r="R37" s="18">
        <f t="shared" si="2"/>
        <v>0</v>
      </c>
      <c r="S37" s="17"/>
      <c r="T37" s="111">
        <f>D37-Q37</f>
        <v>3500</v>
      </c>
      <c r="U37" s="153">
        <f>T37-SUM(S37:S38)</f>
        <v>3500</v>
      </c>
      <c r="V37" s="124">
        <v>-3500</v>
      </c>
    </row>
    <row r="38" spans="1:22" ht="12.75">
      <c r="A38" s="134"/>
      <c r="B38" s="160"/>
      <c r="C38" s="162"/>
      <c r="D38" s="15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50"/>
      <c r="R38" s="18">
        <f t="shared" si="2"/>
        <v>0</v>
      </c>
      <c r="S38" s="17"/>
      <c r="T38" s="111"/>
      <c r="U38" s="154"/>
      <c r="V38" s="126"/>
    </row>
    <row r="39" spans="1:22" ht="12.75">
      <c r="A39" s="133">
        <v>11</v>
      </c>
      <c r="B39" s="158" t="s">
        <v>38</v>
      </c>
      <c r="C39" s="161">
        <v>2279</v>
      </c>
      <c r="D39" s="155">
        <v>5000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50">
        <f>SUM(E39:P39)</f>
        <v>0</v>
      </c>
      <c r="R39" s="18">
        <f t="shared" si="2"/>
        <v>0</v>
      </c>
      <c r="S39" s="17"/>
      <c r="T39" s="111">
        <f>D39-Q39</f>
        <v>5000</v>
      </c>
      <c r="U39" s="153">
        <f>T39-SUM(S39:S40)</f>
        <v>5000</v>
      </c>
      <c r="V39" s="124">
        <v>-5000</v>
      </c>
    </row>
    <row r="40" spans="1:22" ht="12.75">
      <c r="A40" s="134"/>
      <c r="B40" s="160"/>
      <c r="C40" s="162"/>
      <c r="D40" s="15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50"/>
      <c r="R40" s="18">
        <f t="shared" si="2"/>
        <v>0</v>
      </c>
      <c r="S40" s="17"/>
      <c r="T40" s="111"/>
      <c r="U40" s="154"/>
      <c r="V40" s="126"/>
    </row>
    <row r="41" spans="1:22" ht="12.75">
      <c r="A41" s="133">
        <v>12</v>
      </c>
      <c r="B41" s="158" t="s">
        <v>39</v>
      </c>
      <c r="C41" s="161">
        <v>2231</v>
      </c>
      <c r="D41" s="155">
        <f>1500+1000</f>
        <v>2500</v>
      </c>
      <c r="E41" s="17"/>
      <c r="F41" s="17"/>
      <c r="G41" s="17"/>
      <c r="H41" s="17"/>
      <c r="I41" s="17">
        <f>54+54+76.5+54+48+76.5+48+54+76.5+54+54+150</f>
        <v>799.5</v>
      </c>
      <c r="J41" s="17"/>
      <c r="K41" s="17"/>
      <c r="L41" s="17"/>
      <c r="M41" s="17"/>
      <c r="N41" s="17"/>
      <c r="O41" s="17"/>
      <c r="P41" s="17"/>
      <c r="Q41" s="150">
        <f>SUM(E41:P41)</f>
        <v>799.5</v>
      </c>
      <c r="R41" s="18">
        <f t="shared" si="2"/>
        <v>799.5</v>
      </c>
      <c r="S41" s="17"/>
      <c r="T41" s="111">
        <f>D41-Q41</f>
        <v>1700.5</v>
      </c>
      <c r="U41" s="153">
        <f>T41-SUM(S41:S42)</f>
        <v>1700.5</v>
      </c>
      <c r="V41" s="99">
        <v>-1701</v>
      </c>
    </row>
    <row r="42" spans="1:22" ht="12.75" hidden="1">
      <c r="A42" s="134"/>
      <c r="B42" s="160"/>
      <c r="C42" s="162"/>
      <c r="D42" s="15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50"/>
      <c r="R42" s="18">
        <f t="shared" si="2"/>
        <v>0</v>
      </c>
      <c r="S42" s="17"/>
      <c r="T42" s="111"/>
      <c r="U42" s="154"/>
      <c r="V42" s="99"/>
    </row>
    <row r="43" spans="1:22" ht="12.75">
      <c r="A43" s="133">
        <v>13</v>
      </c>
      <c r="B43" s="158" t="s">
        <v>40</v>
      </c>
      <c r="C43" s="161"/>
      <c r="D43" s="155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50">
        <f>SUM(E43:P43)</f>
        <v>0</v>
      </c>
      <c r="R43" s="18">
        <f t="shared" si="2"/>
        <v>0</v>
      </c>
      <c r="S43" s="17"/>
      <c r="T43" s="111">
        <f>D43-Q43</f>
        <v>0</v>
      </c>
      <c r="U43" s="153">
        <f>T43-SUM(S43:S44)</f>
        <v>0</v>
      </c>
      <c r="V43" s="99"/>
    </row>
    <row r="44" spans="1:22" ht="12.75">
      <c r="A44" s="134"/>
      <c r="B44" s="160"/>
      <c r="C44" s="162"/>
      <c r="D44" s="15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50"/>
      <c r="R44" s="18">
        <f t="shared" si="2"/>
        <v>0</v>
      </c>
      <c r="S44" s="17"/>
      <c r="T44" s="111"/>
      <c r="U44" s="154"/>
      <c r="V44" s="99"/>
    </row>
    <row r="45" spans="1:22" ht="12.75">
      <c r="A45" s="133">
        <v>14</v>
      </c>
      <c r="B45" s="158" t="s">
        <v>41</v>
      </c>
      <c r="C45" s="161"/>
      <c r="D45" s="155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50">
        <f>SUM(E45:P45)</f>
        <v>0</v>
      </c>
      <c r="R45" s="18">
        <f t="shared" si="2"/>
        <v>0</v>
      </c>
      <c r="S45" s="17">
        <v>24208.88</v>
      </c>
      <c r="T45" s="111">
        <f>D45-Q45</f>
        <v>0</v>
      </c>
      <c r="U45" s="153">
        <f>T45-SUM(S45:S46)</f>
        <v>-24208.88</v>
      </c>
      <c r="V45" s="99"/>
    </row>
    <row r="46" spans="1:22" ht="12.75">
      <c r="A46" s="134"/>
      <c r="B46" s="160"/>
      <c r="C46" s="162"/>
      <c r="D46" s="15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50"/>
      <c r="R46" s="18">
        <f t="shared" si="2"/>
        <v>0</v>
      </c>
      <c r="S46" s="17"/>
      <c r="T46" s="111"/>
      <c r="U46" s="154"/>
      <c r="V46" s="99"/>
    </row>
    <row r="47" spans="1:22" ht="12.75">
      <c r="A47" s="133">
        <v>15</v>
      </c>
      <c r="B47" s="158" t="s">
        <v>42</v>
      </c>
      <c r="C47" s="161">
        <v>2232</v>
      </c>
      <c r="D47" s="155">
        <v>500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50">
        <f>SUM(E47:P47)</f>
        <v>0</v>
      </c>
      <c r="R47" s="18">
        <f t="shared" si="2"/>
        <v>0</v>
      </c>
      <c r="S47" s="17"/>
      <c r="T47" s="111">
        <f>D47-Q47</f>
        <v>500</v>
      </c>
      <c r="U47" s="153">
        <f>T47-SUM(S47:S48)</f>
        <v>500</v>
      </c>
      <c r="V47" s="99"/>
    </row>
    <row r="48" spans="1:22" ht="12.75">
      <c r="A48" s="134"/>
      <c r="B48" s="160"/>
      <c r="C48" s="162"/>
      <c r="D48" s="15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50"/>
      <c r="R48" s="18">
        <f t="shared" si="2"/>
        <v>0</v>
      </c>
      <c r="S48" s="17"/>
      <c r="T48" s="111"/>
      <c r="U48" s="154"/>
      <c r="V48" s="99"/>
    </row>
    <row r="49" spans="1:22" ht="12.75">
      <c r="A49" s="32"/>
      <c r="B49" s="20"/>
      <c r="C49" s="27"/>
      <c r="D49" s="28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21"/>
      <c r="R49" s="18">
        <f t="shared" si="2"/>
        <v>0</v>
      </c>
      <c r="S49" s="17"/>
      <c r="T49" s="17"/>
      <c r="U49" s="17"/>
      <c r="V49" s="99"/>
    </row>
    <row r="50" spans="1:22" ht="12.75">
      <c r="A50" s="20"/>
      <c r="B50" s="33" t="s">
        <v>43</v>
      </c>
      <c r="C50" s="27"/>
      <c r="D50" s="28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1"/>
      <c r="R50" s="18">
        <f t="shared" si="2"/>
        <v>0</v>
      </c>
      <c r="S50" s="17"/>
      <c r="T50" s="17"/>
      <c r="U50" s="17"/>
      <c r="V50" s="99"/>
    </row>
    <row r="51" spans="1:22" ht="12.75">
      <c r="A51" s="133">
        <v>1</v>
      </c>
      <c r="B51" s="158" t="s">
        <v>44</v>
      </c>
      <c r="C51" s="161">
        <v>2275</v>
      </c>
      <c r="D51" s="155">
        <f>40000-4981-11477</f>
        <v>23542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50">
        <f>SUM(E51:P51)</f>
        <v>0</v>
      </c>
      <c r="R51" s="18">
        <f t="shared" si="2"/>
        <v>0</v>
      </c>
      <c r="S51" s="17"/>
      <c r="T51" s="111">
        <f>D51-Q51</f>
        <v>23542</v>
      </c>
      <c r="U51" s="153">
        <f>T51-SUM(S51:S52)</f>
        <v>23542</v>
      </c>
      <c r="V51" s="100"/>
    </row>
    <row r="52" spans="1:22" ht="12.75">
      <c r="A52" s="134"/>
      <c r="B52" s="160"/>
      <c r="C52" s="162"/>
      <c r="D52" s="15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50"/>
      <c r="R52" s="18">
        <f t="shared" si="2"/>
        <v>0</v>
      </c>
      <c r="S52" s="17"/>
      <c r="T52" s="111"/>
      <c r="U52" s="154"/>
      <c r="V52" s="101"/>
    </row>
    <row r="53" spans="1:22" ht="12.75">
      <c r="A53" s="34"/>
      <c r="B53" s="34"/>
      <c r="C53" s="34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  <c r="R53" s="36"/>
      <c r="S53" s="35"/>
      <c r="T53" s="35"/>
      <c r="U53" s="35"/>
      <c r="V53" s="35"/>
    </row>
    <row r="54" spans="1:22" ht="12.75" hidden="1">
      <c r="A54" s="34"/>
      <c r="B54" s="37" t="s">
        <v>45</v>
      </c>
      <c r="C54" s="37"/>
      <c r="D54" s="38">
        <f aca="true" t="shared" si="3" ref="D54:Q54">SUM(D55:D61)</f>
        <v>152692</v>
      </c>
      <c r="E54" s="38">
        <f t="shared" si="3"/>
        <v>0</v>
      </c>
      <c r="F54" s="38">
        <f t="shared" si="3"/>
        <v>0</v>
      </c>
      <c r="G54" s="38">
        <f t="shared" si="3"/>
        <v>18.61</v>
      </c>
      <c r="H54" s="38">
        <f t="shared" si="3"/>
        <v>56.42</v>
      </c>
      <c r="I54" s="38">
        <f t="shared" si="3"/>
        <v>5073.629999999999</v>
      </c>
      <c r="J54" s="38">
        <f t="shared" si="3"/>
        <v>386.4300000000001</v>
      </c>
      <c r="K54" s="38">
        <f t="shared" si="3"/>
        <v>785.97</v>
      </c>
      <c r="L54" s="38">
        <f t="shared" si="3"/>
        <v>0</v>
      </c>
      <c r="M54" s="38">
        <f t="shared" si="3"/>
        <v>0</v>
      </c>
      <c r="N54" s="38">
        <f t="shared" si="3"/>
        <v>0</v>
      </c>
      <c r="O54" s="38">
        <f t="shared" si="3"/>
        <v>0</v>
      </c>
      <c r="P54" s="38">
        <f t="shared" si="3"/>
        <v>0</v>
      </c>
      <c r="Q54" s="38">
        <f t="shared" si="3"/>
        <v>6703.35</v>
      </c>
      <c r="R54" s="38"/>
      <c r="S54" s="38">
        <f>SUM(S55:S61)</f>
        <v>15881.539999999999</v>
      </c>
      <c r="T54" s="38">
        <f>SUM(T55:T61)</f>
        <v>145988.65</v>
      </c>
      <c r="U54" s="38">
        <f>SUM(U55:U61)</f>
        <v>130107.10999999999</v>
      </c>
      <c r="V54" s="38"/>
    </row>
    <row r="55" spans="2:22" ht="12.75" hidden="1">
      <c r="B55" s="1">
        <v>2231</v>
      </c>
      <c r="C55" s="6">
        <v>2231</v>
      </c>
      <c r="D55" s="39">
        <f>SUM(D22,D41,D42)</f>
        <v>7200</v>
      </c>
      <c r="E55" s="39">
        <f aca="true" t="shared" si="4" ref="E55:U55">SUM(E22,E41,E42)</f>
        <v>0</v>
      </c>
      <c r="F55" s="39">
        <f t="shared" si="4"/>
        <v>0</v>
      </c>
      <c r="G55" s="39">
        <f t="shared" si="4"/>
        <v>0</v>
      </c>
      <c r="H55" s="39">
        <f t="shared" si="4"/>
        <v>0</v>
      </c>
      <c r="I55" s="39">
        <f t="shared" si="4"/>
        <v>1479.5</v>
      </c>
      <c r="J55" s="39">
        <f t="shared" si="4"/>
        <v>367.8200000000001</v>
      </c>
      <c r="K55" s="39">
        <f t="shared" si="4"/>
        <v>0</v>
      </c>
      <c r="L55" s="39">
        <f t="shared" si="4"/>
        <v>0</v>
      </c>
      <c r="M55" s="39">
        <f t="shared" si="4"/>
        <v>0</v>
      </c>
      <c r="N55" s="39">
        <f t="shared" si="4"/>
        <v>0</v>
      </c>
      <c r="O55" s="39">
        <f t="shared" si="4"/>
        <v>0</v>
      </c>
      <c r="P55" s="39">
        <f t="shared" si="4"/>
        <v>0</v>
      </c>
      <c r="Q55" s="40">
        <f t="shared" si="4"/>
        <v>2229.61</v>
      </c>
      <c r="R55" s="39">
        <f t="shared" si="4"/>
        <v>1847.3200000000002</v>
      </c>
      <c r="S55" s="39">
        <f t="shared" si="4"/>
        <v>0</v>
      </c>
      <c r="T55" s="40">
        <f t="shared" si="4"/>
        <v>4970.389999999999</v>
      </c>
      <c r="U55" s="39">
        <f t="shared" si="4"/>
        <v>4970.389999999999</v>
      </c>
      <c r="V55" s="97"/>
    </row>
    <row r="56" spans="2:22" ht="12.75" hidden="1">
      <c r="B56" s="1">
        <v>2232</v>
      </c>
      <c r="C56" s="6">
        <v>2232</v>
      </c>
      <c r="D56" s="39">
        <f aca="true" t="shared" si="5" ref="D56:Q56">SUM(D12,D37,D47,D35)</f>
        <v>48900</v>
      </c>
      <c r="E56" s="39">
        <f t="shared" si="5"/>
        <v>0</v>
      </c>
      <c r="F56" s="39">
        <f t="shared" si="5"/>
        <v>0</v>
      </c>
      <c r="G56" s="39">
        <f t="shared" si="5"/>
        <v>0</v>
      </c>
      <c r="H56" s="39">
        <f t="shared" si="5"/>
        <v>0</v>
      </c>
      <c r="I56" s="39">
        <f t="shared" si="5"/>
        <v>0</v>
      </c>
      <c r="J56" s="39">
        <f t="shared" si="5"/>
        <v>0</v>
      </c>
      <c r="K56" s="39">
        <f t="shared" si="5"/>
        <v>0</v>
      </c>
      <c r="L56" s="39">
        <f t="shared" si="5"/>
        <v>0</v>
      </c>
      <c r="M56" s="39">
        <f t="shared" si="5"/>
        <v>0</v>
      </c>
      <c r="N56" s="39">
        <f t="shared" si="5"/>
        <v>0</v>
      </c>
      <c r="O56" s="39">
        <f t="shared" si="5"/>
        <v>0</v>
      </c>
      <c r="P56" s="39">
        <f t="shared" si="5"/>
        <v>0</v>
      </c>
      <c r="Q56" s="40">
        <f t="shared" si="5"/>
        <v>0</v>
      </c>
      <c r="R56" s="40"/>
      <c r="S56" s="39">
        <f>SUM(S12,S37,S47,S35)</f>
        <v>0</v>
      </c>
      <c r="T56" s="40">
        <f>SUM(T12,T37,T47,T35)</f>
        <v>48900</v>
      </c>
      <c r="U56" s="39">
        <f>SUM(U12,U37,U47,U35)</f>
        <v>48900</v>
      </c>
      <c r="V56" s="97"/>
    </row>
    <row r="57" spans="2:22" ht="12.75" hidden="1">
      <c r="B57" s="1">
        <v>2239</v>
      </c>
      <c r="C57" s="6">
        <v>2239</v>
      </c>
      <c r="D57" s="39">
        <f aca="true" t="shared" si="6" ref="D57:U57">SUM(D21,D24)</f>
        <v>2050</v>
      </c>
      <c r="E57" s="39">
        <f t="shared" si="6"/>
        <v>0</v>
      </c>
      <c r="F57" s="39">
        <f t="shared" si="6"/>
        <v>0</v>
      </c>
      <c r="G57" s="39">
        <f t="shared" si="6"/>
        <v>0</v>
      </c>
      <c r="H57" s="39">
        <f t="shared" si="6"/>
        <v>0</v>
      </c>
      <c r="I57" s="39">
        <f t="shared" si="6"/>
        <v>715.93</v>
      </c>
      <c r="J57" s="39">
        <f t="shared" si="6"/>
        <v>0</v>
      </c>
      <c r="K57" s="39">
        <f t="shared" si="6"/>
        <v>0</v>
      </c>
      <c r="L57" s="39">
        <f t="shared" si="6"/>
        <v>0</v>
      </c>
      <c r="M57" s="39">
        <f t="shared" si="6"/>
        <v>0</v>
      </c>
      <c r="N57" s="39">
        <f t="shared" si="6"/>
        <v>0</v>
      </c>
      <c r="O57" s="39">
        <f t="shared" si="6"/>
        <v>0</v>
      </c>
      <c r="P57" s="39">
        <f t="shared" si="6"/>
        <v>0</v>
      </c>
      <c r="Q57" s="40">
        <f t="shared" si="6"/>
        <v>715.93</v>
      </c>
      <c r="R57" s="39">
        <f t="shared" si="6"/>
        <v>715.93</v>
      </c>
      <c r="S57" s="39">
        <f t="shared" si="6"/>
        <v>0</v>
      </c>
      <c r="T57" s="40">
        <f t="shared" si="6"/>
        <v>1334.0700000000002</v>
      </c>
      <c r="U57" s="39">
        <f t="shared" si="6"/>
        <v>1334.0700000000002</v>
      </c>
      <c r="V57" s="97"/>
    </row>
    <row r="58" spans="2:22" ht="12.75" hidden="1">
      <c r="B58" s="1">
        <v>2275</v>
      </c>
      <c r="C58" s="6">
        <v>2275</v>
      </c>
      <c r="D58" s="39">
        <f>SUM(D51)</f>
        <v>23542</v>
      </c>
      <c r="E58" s="39">
        <f aca="true" t="shared" si="7" ref="E58:U58">SUM(E51)</f>
        <v>0</v>
      </c>
      <c r="F58" s="39">
        <f t="shared" si="7"/>
        <v>0</v>
      </c>
      <c r="G58" s="39">
        <f t="shared" si="7"/>
        <v>0</v>
      </c>
      <c r="H58" s="39">
        <f t="shared" si="7"/>
        <v>0</v>
      </c>
      <c r="I58" s="39">
        <f t="shared" si="7"/>
        <v>0</v>
      </c>
      <c r="J58" s="39">
        <f t="shared" si="7"/>
        <v>0</v>
      </c>
      <c r="K58" s="39">
        <f t="shared" si="7"/>
        <v>0</v>
      </c>
      <c r="L58" s="39">
        <f t="shared" si="7"/>
        <v>0</v>
      </c>
      <c r="M58" s="39">
        <f t="shared" si="7"/>
        <v>0</v>
      </c>
      <c r="N58" s="39">
        <f t="shared" si="7"/>
        <v>0</v>
      </c>
      <c r="O58" s="39">
        <f t="shared" si="7"/>
        <v>0</v>
      </c>
      <c r="P58" s="39">
        <f t="shared" si="7"/>
        <v>0</v>
      </c>
      <c r="Q58" s="40">
        <f t="shared" si="7"/>
        <v>0</v>
      </c>
      <c r="R58" s="40"/>
      <c r="S58" s="39">
        <f t="shared" si="7"/>
        <v>0</v>
      </c>
      <c r="T58" s="40">
        <f t="shared" si="7"/>
        <v>23542</v>
      </c>
      <c r="U58" s="39">
        <f t="shared" si="7"/>
        <v>23542</v>
      </c>
      <c r="V58" s="97"/>
    </row>
    <row r="59" spans="2:22" ht="12.75" hidden="1">
      <c r="B59" s="1">
        <v>2279</v>
      </c>
      <c r="C59" s="6">
        <v>2279</v>
      </c>
      <c r="D59" s="39">
        <f aca="true" t="shared" si="8" ref="D59:U59">SUM(D19,D20,D25,D29,D30,D31,D33,D34,D39,D40)</f>
        <v>28350</v>
      </c>
      <c r="E59" s="39">
        <f t="shared" si="8"/>
        <v>0</v>
      </c>
      <c r="F59" s="39">
        <f t="shared" si="8"/>
        <v>0</v>
      </c>
      <c r="G59" s="39">
        <f t="shared" si="8"/>
        <v>18.61</v>
      </c>
      <c r="H59" s="39">
        <f t="shared" si="8"/>
        <v>56.42</v>
      </c>
      <c r="I59" s="39">
        <f t="shared" si="8"/>
        <v>4.45</v>
      </c>
      <c r="J59" s="39">
        <f t="shared" si="8"/>
        <v>18.61</v>
      </c>
      <c r="K59" s="39">
        <f t="shared" si="8"/>
        <v>0</v>
      </c>
      <c r="L59" s="39">
        <f t="shared" si="8"/>
        <v>0</v>
      </c>
      <c r="M59" s="39">
        <f t="shared" si="8"/>
        <v>0</v>
      </c>
      <c r="N59" s="39">
        <f t="shared" si="8"/>
        <v>0</v>
      </c>
      <c r="O59" s="39">
        <f t="shared" si="8"/>
        <v>0</v>
      </c>
      <c r="P59" s="39">
        <f t="shared" si="8"/>
        <v>0</v>
      </c>
      <c r="Q59" s="40">
        <f t="shared" si="8"/>
        <v>98.09</v>
      </c>
      <c r="R59" s="39">
        <f t="shared" si="8"/>
        <v>98.09</v>
      </c>
      <c r="S59" s="39">
        <f t="shared" si="8"/>
        <v>500</v>
      </c>
      <c r="T59" s="40">
        <f t="shared" si="8"/>
        <v>28251.91</v>
      </c>
      <c r="U59" s="39">
        <f t="shared" si="8"/>
        <v>27751.91</v>
      </c>
      <c r="V59" s="97"/>
    </row>
    <row r="60" spans="2:22" ht="12.75" hidden="1">
      <c r="B60" s="1">
        <v>2390</v>
      </c>
      <c r="C60" s="6">
        <v>2390</v>
      </c>
      <c r="D60" s="39">
        <f>SUM(D26:D28)</f>
        <v>2650</v>
      </c>
      <c r="E60" s="39">
        <f aca="true" t="shared" si="9" ref="E60:U60">SUM(E26:E28)</f>
        <v>0</v>
      </c>
      <c r="F60" s="39">
        <f t="shared" si="9"/>
        <v>0</v>
      </c>
      <c r="G60" s="39">
        <f t="shared" si="9"/>
        <v>0</v>
      </c>
      <c r="H60" s="39">
        <f t="shared" si="9"/>
        <v>0</v>
      </c>
      <c r="I60" s="39">
        <f t="shared" si="9"/>
        <v>0</v>
      </c>
      <c r="J60" s="39">
        <f t="shared" si="9"/>
        <v>0</v>
      </c>
      <c r="K60" s="39">
        <f t="shared" si="9"/>
        <v>785.97</v>
      </c>
      <c r="L60" s="39">
        <f t="shared" si="9"/>
        <v>0</v>
      </c>
      <c r="M60" s="39">
        <f t="shared" si="9"/>
        <v>0</v>
      </c>
      <c r="N60" s="39">
        <f t="shared" si="9"/>
        <v>0</v>
      </c>
      <c r="O60" s="39">
        <f t="shared" si="9"/>
        <v>0</v>
      </c>
      <c r="P60" s="39">
        <f t="shared" si="9"/>
        <v>0</v>
      </c>
      <c r="Q60" s="39">
        <f t="shared" si="9"/>
        <v>785.97</v>
      </c>
      <c r="R60" s="39">
        <f t="shared" si="9"/>
        <v>0</v>
      </c>
      <c r="S60" s="39">
        <f t="shared" si="9"/>
        <v>257.97</v>
      </c>
      <c r="T60" s="40">
        <f t="shared" si="9"/>
        <v>1864.03</v>
      </c>
      <c r="U60" s="39">
        <f t="shared" si="9"/>
        <v>1606.06</v>
      </c>
      <c r="V60" s="97"/>
    </row>
    <row r="61" spans="2:22" ht="12.75" hidden="1">
      <c r="B61" s="1">
        <v>5110</v>
      </c>
      <c r="C61" s="6">
        <v>5110</v>
      </c>
      <c r="D61" s="39">
        <f>SUM(D14:D18)</f>
        <v>40000</v>
      </c>
      <c r="E61" s="39">
        <f aca="true" t="shared" si="10" ref="E61:U61">SUM(E14:E18)</f>
        <v>0</v>
      </c>
      <c r="F61" s="39">
        <f t="shared" si="10"/>
        <v>0</v>
      </c>
      <c r="G61" s="39">
        <f t="shared" si="10"/>
        <v>0</v>
      </c>
      <c r="H61" s="39">
        <f t="shared" si="10"/>
        <v>0</v>
      </c>
      <c r="I61" s="39">
        <f t="shared" si="10"/>
        <v>2873.75</v>
      </c>
      <c r="J61" s="39">
        <f t="shared" si="10"/>
        <v>0</v>
      </c>
      <c r="K61" s="39">
        <f t="shared" si="10"/>
        <v>0</v>
      </c>
      <c r="L61" s="39">
        <f t="shared" si="10"/>
        <v>0</v>
      </c>
      <c r="M61" s="39">
        <f t="shared" si="10"/>
        <v>0</v>
      </c>
      <c r="N61" s="39">
        <f t="shared" si="10"/>
        <v>0</v>
      </c>
      <c r="O61" s="39">
        <f t="shared" si="10"/>
        <v>0</v>
      </c>
      <c r="P61" s="39">
        <f t="shared" si="10"/>
        <v>0</v>
      </c>
      <c r="Q61" s="40">
        <f t="shared" si="10"/>
        <v>2873.75</v>
      </c>
      <c r="R61" s="39">
        <f t="shared" si="10"/>
        <v>2873.75</v>
      </c>
      <c r="S61" s="39">
        <f t="shared" si="10"/>
        <v>15123.57</v>
      </c>
      <c r="T61" s="40">
        <f t="shared" si="10"/>
        <v>37126.25</v>
      </c>
      <c r="U61" s="39">
        <f t="shared" si="10"/>
        <v>22002.68</v>
      </c>
      <c r="V61" s="97"/>
    </row>
    <row r="62" spans="2:22" ht="15.75" hidden="1">
      <c r="B62" s="41"/>
      <c r="C62" s="41"/>
      <c r="D62" s="4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4"/>
      <c r="R62" s="44"/>
      <c r="S62" s="43"/>
      <c r="T62" s="43"/>
      <c r="U62" s="43"/>
      <c r="V62" s="46"/>
    </row>
    <row r="63" spans="1:22" ht="15.75">
      <c r="A63" s="6" t="s">
        <v>100</v>
      </c>
      <c r="E63" s="47"/>
      <c r="F63" s="48"/>
      <c r="G63" s="48"/>
      <c r="H63" s="45"/>
      <c r="I63" s="45"/>
      <c r="J63" s="45"/>
      <c r="K63" s="45"/>
      <c r="L63" s="45"/>
      <c r="M63" s="45"/>
      <c r="N63" s="45"/>
      <c r="O63" s="45"/>
      <c r="P63" s="45"/>
      <c r="Q63" s="49"/>
      <c r="R63" s="49"/>
      <c r="S63" s="45"/>
      <c r="T63" s="45"/>
      <c r="U63" s="45"/>
      <c r="V63" s="98"/>
    </row>
    <row r="64" spans="3:22" ht="15">
      <c r="C64" s="8"/>
      <c r="E64" s="48"/>
      <c r="F64" s="48"/>
      <c r="G64" s="48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98"/>
    </row>
    <row r="65" spans="1:22" ht="12.75" customHeight="1">
      <c r="A65" s="115" t="s">
        <v>3</v>
      </c>
      <c r="B65" s="115" t="s">
        <v>4</v>
      </c>
      <c r="C65" s="112" t="s">
        <v>5</v>
      </c>
      <c r="D65" s="115" t="s">
        <v>6</v>
      </c>
      <c r="E65" s="118" t="s">
        <v>7</v>
      </c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  <c r="T65" s="121" t="s">
        <v>8</v>
      </c>
      <c r="U65" s="121" t="s">
        <v>9</v>
      </c>
      <c r="V65" s="123" t="s">
        <v>10</v>
      </c>
    </row>
    <row r="66" spans="1:22" ht="12.75" customHeight="1">
      <c r="A66" s="116"/>
      <c r="B66" s="116"/>
      <c r="C66" s="113"/>
      <c r="D66" s="116"/>
      <c r="E66" s="149" t="s">
        <v>11</v>
      </c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 t="s">
        <v>12</v>
      </c>
      <c r="R66" s="12"/>
      <c r="S66" s="149" t="s">
        <v>46</v>
      </c>
      <c r="T66" s="107"/>
      <c r="U66" s="107"/>
      <c r="V66" s="123"/>
    </row>
    <row r="67" spans="1:22" ht="12.75">
      <c r="A67" s="117"/>
      <c r="B67" s="117"/>
      <c r="C67" s="114"/>
      <c r="D67" s="117"/>
      <c r="E67" s="12" t="s">
        <v>15</v>
      </c>
      <c r="F67" s="12" t="s">
        <v>16</v>
      </c>
      <c r="G67" s="12" t="s">
        <v>17</v>
      </c>
      <c r="H67" s="12" t="s">
        <v>18</v>
      </c>
      <c r="I67" s="12" t="s">
        <v>19</v>
      </c>
      <c r="J67" s="12" t="s">
        <v>20</v>
      </c>
      <c r="K67" s="12" t="s">
        <v>21</v>
      </c>
      <c r="L67" s="12" t="s">
        <v>22</v>
      </c>
      <c r="M67" s="12" t="s">
        <v>23</v>
      </c>
      <c r="N67" s="12" t="s">
        <v>24</v>
      </c>
      <c r="O67" s="12" t="s">
        <v>25</v>
      </c>
      <c r="P67" s="12" t="s">
        <v>26</v>
      </c>
      <c r="Q67" s="149"/>
      <c r="R67" s="12"/>
      <c r="S67" s="149"/>
      <c r="T67" s="108"/>
      <c r="U67" s="108"/>
      <c r="V67" s="123"/>
    </row>
    <row r="68" spans="1:22" ht="12.75">
      <c r="A68" s="147" t="s">
        <v>47</v>
      </c>
      <c r="B68" s="148"/>
      <c r="C68" s="102"/>
      <c r="D68" s="102">
        <f>SUM(D69:D70)</f>
        <v>102792</v>
      </c>
      <c r="E68" s="102">
        <f aca="true" t="shared" si="11" ref="E68:T68">SUM(E69:E70)</f>
        <v>0</v>
      </c>
      <c r="F68" s="102">
        <f t="shared" si="11"/>
        <v>0</v>
      </c>
      <c r="G68" s="102">
        <f t="shared" si="11"/>
        <v>0</v>
      </c>
      <c r="H68" s="102">
        <f t="shared" si="11"/>
        <v>0</v>
      </c>
      <c r="I68" s="102">
        <f t="shared" si="11"/>
        <v>48556.84</v>
      </c>
      <c r="J68" s="102">
        <f t="shared" si="11"/>
        <v>10000</v>
      </c>
      <c r="K68" s="102">
        <f t="shared" si="11"/>
        <v>38556.84</v>
      </c>
      <c r="L68" s="102">
        <f t="shared" si="11"/>
        <v>0</v>
      </c>
      <c r="M68" s="102">
        <f t="shared" si="11"/>
        <v>0</v>
      </c>
      <c r="N68" s="102">
        <f t="shared" si="11"/>
        <v>0</v>
      </c>
      <c r="O68" s="102">
        <f t="shared" si="11"/>
        <v>0</v>
      </c>
      <c r="P68" s="102">
        <f t="shared" si="11"/>
        <v>0</v>
      </c>
      <c r="Q68" s="102">
        <f t="shared" si="11"/>
        <v>97113.68</v>
      </c>
      <c r="R68" s="102">
        <f t="shared" si="11"/>
        <v>0</v>
      </c>
      <c r="S68" s="102">
        <f t="shared" si="11"/>
        <v>48556.850000000006</v>
      </c>
      <c r="T68" s="102">
        <f t="shared" si="11"/>
        <v>5678.320000000007</v>
      </c>
      <c r="U68" s="102">
        <f>SUM(U69:U70)</f>
        <v>-42878.53</v>
      </c>
      <c r="V68" s="102"/>
    </row>
    <row r="69" spans="1:22" ht="51">
      <c r="A69" s="20">
        <v>1</v>
      </c>
      <c r="B69" s="50" t="s">
        <v>48</v>
      </c>
      <c r="C69" s="27">
        <v>2279</v>
      </c>
      <c r="D69" s="28">
        <f>102792</f>
        <v>102792</v>
      </c>
      <c r="E69" s="51"/>
      <c r="F69" s="51"/>
      <c r="G69" s="51"/>
      <c r="H69" s="51"/>
      <c r="I69" s="52">
        <f>48556.84</f>
        <v>48556.84</v>
      </c>
      <c r="J69" s="51">
        <f>10000</f>
        <v>10000</v>
      </c>
      <c r="K69" s="52">
        <f>48556.84-J69</f>
        <v>38556.84</v>
      </c>
      <c r="L69" s="51"/>
      <c r="M69" s="51"/>
      <c r="N69" s="51"/>
      <c r="O69" s="51"/>
      <c r="P69" s="51"/>
      <c r="Q69" s="53">
        <f>SUM(E69:P69)</f>
        <v>97113.68</v>
      </c>
      <c r="R69" s="21"/>
      <c r="S69" s="52">
        <f>145670.53-Q69</f>
        <v>48556.850000000006</v>
      </c>
      <c r="T69" s="17">
        <f>D69-Q69</f>
        <v>5678.320000000007</v>
      </c>
      <c r="U69" s="22">
        <f>D69-SUM(Q69:S69)</f>
        <v>-42878.53</v>
      </c>
      <c r="V69" s="54"/>
    </row>
    <row r="70" spans="1:22" ht="15">
      <c r="A70" s="20">
        <v>2</v>
      </c>
      <c r="B70" s="50" t="s">
        <v>49</v>
      </c>
      <c r="C70" s="27">
        <v>2275</v>
      </c>
      <c r="D70" s="28">
        <f>110518-110518</f>
        <v>0</v>
      </c>
      <c r="E70" s="55"/>
      <c r="F70" s="56"/>
      <c r="G70" s="57"/>
      <c r="H70" s="56"/>
      <c r="I70" s="51"/>
      <c r="J70" s="51"/>
      <c r="K70" s="51"/>
      <c r="L70" s="51"/>
      <c r="M70" s="51"/>
      <c r="N70" s="51"/>
      <c r="O70" s="51"/>
      <c r="P70" s="51"/>
      <c r="Q70" s="21">
        <f>SUM(E70:P70)</f>
        <v>0</v>
      </c>
      <c r="R70" s="21"/>
      <c r="S70" s="51"/>
      <c r="T70" s="17">
        <f>D70-Q70</f>
        <v>0</v>
      </c>
      <c r="U70" s="17">
        <f>D70-SUM(Q70:S70)</f>
        <v>0</v>
      </c>
      <c r="V70" s="59"/>
    </row>
    <row r="71" ht="15"/>
    <row r="72" spans="1:22" ht="15.75">
      <c r="A72" s="6" t="s">
        <v>104</v>
      </c>
      <c r="E72" s="47"/>
      <c r="F72" s="48"/>
      <c r="G72" s="48"/>
      <c r="H72" s="45"/>
      <c r="I72" s="45"/>
      <c r="J72" s="45"/>
      <c r="K72" s="45"/>
      <c r="L72" s="45"/>
      <c r="M72" s="45"/>
      <c r="N72" s="45"/>
      <c r="O72" s="45"/>
      <c r="P72" s="45"/>
      <c r="Q72" s="49"/>
      <c r="R72" s="49"/>
      <c r="S72" s="45"/>
      <c r="T72" s="45"/>
      <c r="U72" s="45"/>
      <c r="V72" s="45"/>
    </row>
    <row r="73" spans="1:22" ht="15">
      <c r="A73" s="1" t="s">
        <v>50</v>
      </c>
      <c r="C73" s="8"/>
      <c r="E73" s="48"/>
      <c r="F73" s="48"/>
      <c r="G73" s="48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1:22" ht="12.75" customHeight="1">
      <c r="A74" s="115" t="s">
        <v>3</v>
      </c>
      <c r="B74" s="115" t="s">
        <v>4</v>
      </c>
      <c r="C74" s="112" t="s">
        <v>5</v>
      </c>
      <c r="D74" s="115" t="s">
        <v>6</v>
      </c>
      <c r="E74" s="149" t="s">
        <v>7</v>
      </c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 t="s">
        <v>8</v>
      </c>
      <c r="U74" s="149" t="s">
        <v>9</v>
      </c>
      <c r="V74" s="123" t="s">
        <v>10</v>
      </c>
    </row>
    <row r="75" spans="1:22" ht="12.75" customHeight="1">
      <c r="A75" s="116"/>
      <c r="B75" s="116"/>
      <c r="C75" s="113"/>
      <c r="D75" s="116"/>
      <c r="E75" s="149" t="s">
        <v>11</v>
      </c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 t="s">
        <v>12</v>
      </c>
      <c r="R75" s="12"/>
      <c r="S75" s="149" t="s">
        <v>46</v>
      </c>
      <c r="T75" s="149"/>
      <c r="U75" s="149"/>
      <c r="V75" s="123"/>
    </row>
    <row r="76" spans="1:22" ht="12.75">
      <c r="A76" s="117"/>
      <c r="B76" s="117"/>
      <c r="C76" s="114"/>
      <c r="D76" s="117"/>
      <c r="E76" s="12" t="s">
        <v>15</v>
      </c>
      <c r="F76" s="12" t="s">
        <v>16</v>
      </c>
      <c r="G76" s="12" t="s">
        <v>17</v>
      </c>
      <c r="H76" s="12" t="s">
        <v>18</v>
      </c>
      <c r="I76" s="12" t="s">
        <v>19</v>
      </c>
      <c r="J76" s="12" t="s">
        <v>20</v>
      </c>
      <c r="K76" s="12" t="s">
        <v>21</v>
      </c>
      <c r="L76" s="12" t="s">
        <v>22</v>
      </c>
      <c r="M76" s="12" t="s">
        <v>23</v>
      </c>
      <c r="N76" s="12" t="s">
        <v>24</v>
      </c>
      <c r="O76" s="12" t="s">
        <v>25</v>
      </c>
      <c r="P76" s="12" t="s">
        <v>26</v>
      </c>
      <c r="Q76" s="149"/>
      <c r="R76" s="12"/>
      <c r="S76" s="149"/>
      <c r="T76" s="149"/>
      <c r="U76" s="149"/>
      <c r="V76" s="123"/>
    </row>
    <row r="77" spans="1:22" ht="12.75">
      <c r="A77" s="147" t="s">
        <v>47</v>
      </c>
      <c r="B77" s="148"/>
      <c r="C77" s="102"/>
      <c r="D77" s="102">
        <f>SUM(D78:D125)</f>
        <v>120915</v>
      </c>
      <c r="E77" s="102">
        <f aca="true" t="shared" si="12" ref="E77:U77">SUM(E78:E125)</f>
        <v>0</v>
      </c>
      <c r="F77" s="102">
        <f t="shared" si="12"/>
        <v>0</v>
      </c>
      <c r="G77" s="102">
        <f t="shared" si="12"/>
        <v>0</v>
      </c>
      <c r="H77" s="102">
        <f t="shared" si="12"/>
        <v>0</v>
      </c>
      <c r="I77" s="104">
        <f t="shared" si="12"/>
        <v>116</v>
      </c>
      <c r="J77" s="102">
        <f t="shared" si="12"/>
        <v>3256.5</v>
      </c>
      <c r="K77" s="102">
        <f t="shared" si="12"/>
        <v>4265.53</v>
      </c>
      <c r="L77" s="102">
        <f t="shared" si="12"/>
        <v>0</v>
      </c>
      <c r="M77" s="102">
        <f t="shared" si="12"/>
        <v>0</v>
      </c>
      <c r="N77" s="102">
        <f t="shared" si="12"/>
        <v>0</v>
      </c>
      <c r="O77" s="102">
        <f t="shared" si="12"/>
        <v>0</v>
      </c>
      <c r="P77" s="102">
        <f t="shared" si="12"/>
        <v>0</v>
      </c>
      <c r="Q77" s="104">
        <f>SUM(Q78:Q125)</f>
        <v>7638.03</v>
      </c>
      <c r="R77" s="102">
        <f t="shared" si="12"/>
        <v>0</v>
      </c>
      <c r="S77" s="102">
        <f t="shared" si="12"/>
        <v>4305.20944056</v>
      </c>
      <c r="T77" s="102">
        <f t="shared" si="12"/>
        <v>113276.97</v>
      </c>
      <c r="U77" s="102">
        <f t="shared" si="12"/>
        <v>108971.76055944001</v>
      </c>
      <c r="V77" s="102"/>
    </row>
    <row r="78" spans="1:22" ht="15">
      <c r="A78" s="20">
        <v>1</v>
      </c>
      <c r="B78" s="50" t="s">
        <v>51</v>
      </c>
      <c r="C78" s="27">
        <v>1119</v>
      </c>
      <c r="D78" s="28">
        <v>3976</v>
      </c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21">
        <f>SUM(E78:P78)</f>
        <v>0</v>
      </c>
      <c r="R78" s="21"/>
      <c r="S78" s="51"/>
      <c r="T78" s="17">
        <f>D78-Q78</f>
        <v>3976</v>
      </c>
      <c r="U78" s="17">
        <f>D78-SUM(Q78:S78)</f>
        <v>3976</v>
      </c>
      <c r="V78" s="60"/>
    </row>
    <row r="79" spans="1:22" ht="15">
      <c r="A79" s="20">
        <v>2</v>
      </c>
      <c r="B79" s="50" t="s">
        <v>52</v>
      </c>
      <c r="C79" s="27">
        <v>1210</v>
      </c>
      <c r="D79" s="28">
        <v>958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21">
        <f>SUM(E79:P79)</f>
        <v>0</v>
      </c>
      <c r="R79" s="21"/>
      <c r="S79" s="51"/>
      <c r="T79" s="17">
        <f>D79-Q79</f>
        <v>958</v>
      </c>
      <c r="U79" s="17">
        <f>D79-SUM(Q79:S79)</f>
        <v>958</v>
      </c>
      <c r="V79" s="59"/>
    </row>
    <row r="80" spans="1:22" ht="12.75">
      <c r="A80" s="20">
        <v>3</v>
      </c>
      <c r="B80" s="50" t="s">
        <v>53</v>
      </c>
      <c r="C80" s="27">
        <v>2214</v>
      </c>
      <c r="D80" s="28">
        <v>319</v>
      </c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21">
        <f>SUM(E80:P80)</f>
        <v>0</v>
      </c>
      <c r="R80" s="21"/>
      <c r="S80" s="51"/>
      <c r="T80" s="17">
        <f>D80-Q80</f>
        <v>319</v>
      </c>
      <c r="U80" s="17">
        <f>D80-SUM(Q80:S80)</f>
        <v>319</v>
      </c>
      <c r="V80" s="61"/>
    </row>
    <row r="81" spans="1:22" ht="25.5">
      <c r="A81" s="20">
        <v>4</v>
      </c>
      <c r="B81" s="50" t="s">
        <v>54</v>
      </c>
      <c r="C81" s="27">
        <v>2231</v>
      </c>
      <c r="D81" s="28">
        <f>6079+1185+1122</f>
        <v>8386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21">
        <f>SUM(E81:P90)</f>
        <v>980.5</v>
      </c>
      <c r="R81" s="21"/>
      <c r="S81" s="62"/>
      <c r="T81" s="17">
        <f>D81-Q81</f>
        <v>7405.5</v>
      </c>
      <c r="U81" s="17">
        <f>D81-SUM(Q81:S90)</f>
        <v>7405.5</v>
      </c>
      <c r="V81" s="61"/>
    </row>
    <row r="82" spans="1:22" ht="13.5">
      <c r="A82" s="20"/>
      <c r="B82" s="63" t="s">
        <v>55</v>
      </c>
      <c r="C82" s="64">
        <v>421.68</v>
      </c>
      <c r="D82" s="65"/>
      <c r="E82" s="66"/>
      <c r="F82" s="66"/>
      <c r="G82" s="66"/>
      <c r="H82" s="66"/>
      <c r="I82" s="66"/>
      <c r="J82" s="66">
        <f>280</f>
        <v>280</v>
      </c>
      <c r="K82" s="66"/>
      <c r="L82" s="66"/>
      <c r="M82" s="66"/>
      <c r="N82" s="66"/>
      <c r="O82" s="66"/>
      <c r="P82" s="66"/>
      <c r="Q82" s="67"/>
      <c r="R82" s="67"/>
      <c r="S82" s="68">
        <f>280-SUM(E82:P82)</f>
        <v>0</v>
      </c>
      <c r="T82" s="69"/>
      <c r="U82" s="69"/>
      <c r="V82" s="61"/>
    </row>
    <row r="83" spans="1:22" ht="13.5">
      <c r="A83" s="20"/>
      <c r="B83" s="127" t="s">
        <v>56</v>
      </c>
      <c r="C83" s="129">
        <v>2178.69</v>
      </c>
      <c r="D83" s="131"/>
      <c r="E83" s="66"/>
      <c r="F83" s="66"/>
      <c r="G83" s="66"/>
      <c r="H83" s="66"/>
      <c r="I83" s="66"/>
      <c r="J83" s="70">
        <f>584.5</f>
        <v>584.5</v>
      </c>
      <c r="K83" s="66"/>
      <c r="L83" s="66"/>
      <c r="M83" s="66"/>
      <c r="N83" s="66"/>
      <c r="O83" s="66"/>
      <c r="P83" s="66"/>
      <c r="Q83" s="67"/>
      <c r="R83" s="67"/>
      <c r="S83" s="71">
        <f>584.5-SUM(E83:Q83)</f>
        <v>0</v>
      </c>
      <c r="T83" s="69"/>
      <c r="U83" s="69"/>
      <c r="V83" s="61"/>
    </row>
    <row r="84" spans="1:22" ht="13.5">
      <c r="A84" s="20"/>
      <c r="B84" s="128"/>
      <c r="C84" s="130"/>
      <c r="D84" s="132"/>
      <c r="E84" s="66"/>
      <c r="F84" s="66"/>
      <c r="G84" s="66"/>
      <c r="H84" s="66"/>
      <c r="I84" s="66"/>
      <c r="J84" s="70"/>
      <c r="K84" s="66"/>
      <c r="L84" s="66"/>
      <c r="M84" s="66"/>
      <c r="N84" s="66"/>
      <c r="O84" s="66"/>
      <c r="P84" s="66"/>
      <c r="Q84" s="67"/>
      <c r="R84" s="67"/>
      <c r="S84" s="71"/>
      <c r="T84" s="69"/>
      <c r="U84" s="69"/>
      <c r="V84" s="61"/>
    </row>
    <row r="85" spans="1:22" ht="13.5">
      <c r="A85" s="20"/>
      <c r="B85" s="63" t="s">
        <v>57</v>
      </c>
      <c r="C85" s="72"/>
      <c r="D85" s="65"/>
      <c r="E85" s="66"/>
      <c r="F85" s="66"/>
      <c r="G85" s="66"/>
      <c r="H85" s="66"/>
      <c r="I85" s="66"/>
      <c r="J85" s="70"/>
      <c r="K85" s="66">
        <f>116</f>
        <v>116</v>
      </c>
      <c r="L85" s="66"/>
      <c r="M85" s="66"/>
      <c r="N85" s="66"/>
      <c r="O85" s="66"/>
      <c r="P85" s="66"/>
      <c r="Q85" s="67"/>
      <c r="R85" s="67"/>
      <c r="S85" s="71"/>
      <c r="T85" s="69"/>
      <c r="U85" s="69"/>
      <c r="V85" s="61"/>
    </row>
    <row r="86" spans="1:22" ht="13.5">
      <c r="A86" s="20"/>
      <c r="B86" s="63" t="s">
        <v>58</v>
      </c>
      <c r="C86" s="64">
        <v>140.56</v>
      </c>
      <c r="D86" s="65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7"/>
      <c r="R86" s="67"/>
      <c r="S86" s="66"/>
      <c r="T86" s="69"/>
      <c r="U86" s="69"/>
      <c r="V86" s="61"/>
    </row>
    <row r="87" spans="1:22" ht="13.5">
      <c r="A87" s="20"/>
      <c r="B87" s="63" t="s">
        <v>59</v>
      </c>
      <c r="C87" s="64">
        <v>316.26</v>
      </c>
      <c r="D87" s="65"/>
      <c r="E87" s="73"/>
      <c r="F87" s="74"/>
      <c r="G87" s="74"/>
      <c r="H87" s="74"/>
      <c r="I87" s="75"/>
      <c r="J87" s="74"/>
      <c r="K87" s="74"/>
      <c r="L87" s="75"/>
      <c r="M87" s="74"/>
      <c r="N87" s="75"/>
      <c r="O87" s="74"/>
      <c r="P87" s="75"/>
      <c r="Q87" s="67"/>
      <c r="R87" s="76"/>
      <c r="S87" s="77"/>
      <c r="T87" s="69"/>
      <c r="U87" s="69"/>
      <c r="V87" s="61"/>
    </row>
    <row r="88" spans="1:22" ht="25.5">
      <c r="A88" s="20"/>
      <c r="B88" s="63" t="s">
        <v>60</v>
      </c>
      <c r="C88" s="64">
        <v>527.1</v>
      </c>
      <c r="D88" s="65"/>
      <c r="E88" s="73"/>
      <c r="F88" s="74"/>
      <c r="G88" s="74"/>
      <c r="H88" s="74"/>
      <c r="I88" s="75"/>
      <c r="J88" s="74"/>
      <c r="K88" s="74"/>
      <c r="L88" s="75"/>
      <c r="M88" s="74"/>
      <c r="N88" s="75"/>
      <c r="O88" s="74"/>
      <c r="P88" s="75"/>
      <c r="Q88" s="67"/>
      <c r="R88" s="76"/>
      <c r="S88" s="77"/>
      <c r="T88" s="69"/>
      <c r="U88" s="69"/>
      <c r="V88" s="61"/>
    </row>
    <row r="89" spans="1:22" ht="13.5">
      <c r="A89" s="78"/>
      <c r="B89" s="63" t="s">
        <v>61</v>
      </c>
      <c r="C89" s="64">
        <v>527.1</v>
      </c>
      <c r="D89" s="65"/>
      <c r="E89" s="73"/>
      <c r="F89" s="74"/>
      <c r="G89" s="74"/>
      <c r="H89" s="74"/>
      <c r="I89" s="75"/>
      <c r="J89" s="74"/>
      <c r="K89" s="74"/>
      <c r="L89" s="75"/>
      <c r="M89" s="74"/>
      <c r="N89" s="75"/>
      <c r="O89" s="74"/>
      <c r="P89" s="75"/>
      <c r="Q89" s="67"/>
      <c r="R89" s="76"/>
      <c r="S89" s="77"/>
      <c r="T89" s="69"/>
      <c r="U89" s="69"/>
      <c r="V89" s="61"/>
    </row>
    <row r="90" spans="1:22" ht="13.5">
      <c r="A90" s="78"/>
      <c r="B90" s="63"/>
      <c r="C90" s="79"/>
      <c r="D90" s="65"/>
      <c r="E90" s="73"/>
      <c r="F90" s="74"/>
      <c r="G90" s="74"/>
      <c r="H90" s="74"/>
      <c r="I90" s="75"/>
      <c r="J90" s="74"/>
      <c r="K90" s="74"/>
      <c r="L90" s="75"/>
      <c r="M90" s="74"/>
      <c r="N90" s="75"/>
      <c r="O90" s="74"/>
      <c r="P90" s="75"/>
      <c r="Q90" s="67"/>
      <c r="R90" s="76"/>
      <c r="S90" s="77"/>
      <c r="T90" s="69"/>
      <c r="U90" s="69"/>
      <c r="V90" s="61"/>
    </row>
    <row r="91" spans="1:22" ht="25.5">
      <c r="A91" s="20">
        <v>5</v>
      </c>
      <c r="B91" s="50" t="s">
        <v>62</v>
      </c>
      <c r="C91" s="27">
        <v>2232</v>
      </c>
      <c r="D91" s="28">
        <f>23357+3796+2940</f>
        <v>30093</v>
      </c>
      <c r="E91" s="55"/>
      <c r="F91" s="56"/>
      <c r="G91" s="56"/>
      <c r="H91" s="56"/>
      <c r="I91" s="57"/>
      <c r="J91" s="56"/>
      <c r="K91" s="56"/>
      <c r="L91" s="57"/>
      <c r="M91" s="56"/>
      <c r="N91" s="57"/>
      <c r="O91" s="56"/>
      <c r="P91" s="57"/>
      <c r="Q91" s="21">
        <f>SUM(E92:P108)</f>
        <v>6541.53</v>
      </c>
      <c r="R91" s="80"/>
      <c r="S91" s="58"/>
      <c r="T91" s="17">
        <f>D91-Q91</f>
        <v>23551.47</v>
      </c>
      <c r="U91" s="22">
        <f>D91-SUM(Q91:S109)</f>
        <v>19246.26055944</v>
      </c>
      <c r="V91" s="61"/>
    </row>
    <row r="92" spans="1:22" ht="13.5">
      <c r="A92" s="20"/>
      <c r="B92" s="63" t="s">
        <v>63</v>
      </c>
      <c r="C92" s="64">
        <v>2908.17</v>
      </c>
      <c r="D92" s="65"/>
      <c r="E92" s="73"/>
      <c r="F92" s="74"/>
      <c r="G92" s="74"/>
      <c r="H92" s="74"/>
      <c r="I92" s="75"/>
      <c r="J92" s="74"/>
      <c r="K92" s="81">
        <f>517.53</f>
        <v>517.53</v>
      </c>
      <c r="L92" s="75"/>
      <c r="M92" s="74"/>
      <c r="N92" s="75"/>
      <c r="O92" s="74"/>
      <c r="P92" s="75"/>
      <c r="Q92" s="67"/>
      <c r="R92" s="76"/>
      <c r="S92" s="82">
        <f>6862.14*0.702804-SUM(E92:P92)</f>
        <v>4305.20944056</v>
      </c>
      <c r="T92" s="69"/>
      <c r="U92" s="69"/>
      <c r="V92" s="61"/>
    </row>
    <row r="93" spans="1:22" ht="13.5">
      <c r="A93" s="20"/>
      <c r="B93" s="63" t="s">
        <v>64</v>
      </c>
      <c r="C93" s="64">
        <f>8893.28-200</f>
        <v>8693.28</v>
      </c>
      <c r="D93" s="65"/>
      <c r="E93" s="73"/>
      <c r="F93" s="74"/>
      <c r="G93" s="74"/>
      <c r="H93" s="74"/>
      <c r="I93" s="75"/>
      <c r="J93" s="74"/>
      <c r="K93" s="74"/>
      <c r="L93" s="75"/>
      <c r="M93" s="74"/>
      <c r="N93" s="75"/>
      <c r="O93" s="74"/>
      <c r="P93" s="75"/>
      <c r="Q93" s="67"/>
      <c r="R93" s="76"/>
      <c r="S93" s="77"/>
      <c r="T93" s="69"/>
      <c r="U93" s="69"/>
      <c r="V93" s="61"/>
    </row>
    <row r="94" spans="1:22" ht="13.5">
      <c r="A94" s="133"/>
      <c r="B94" s="127" t="s">
        <v>65</v>
      </c>
      <c r="C94" s="135">
        <f>200</f>
        <v>200</v>
      </c>
      <c r="D94" s="65"/>
      <c r="E94" s="73"/>
      <c r="F94" s="74"/>
      <c r="G94" s="74"/>
      <c r="H94" s="74"/>
      <c r="I94" s="75"/>
      <c r="J94" s="74">
        <f>200</f>
        <v>200</v>
      </c>
      <c r="K94" s="74"/>
      <c r="L94" s="75"/>
      <c r="M94" s="74"/>
      <c r="N94" s="75"/>
      <c r="O94" s="74"/>
      <c r="P94" s="75"/>
      <c r="Q94" s="67"/>
      <c r="R94" s="76"/>
      <c r="S94" s="83">
        <f>200-SUM(E94:Q94)</f>
        <v>0</v>
      </c>
      <c r="T94" s="69"/>
      <c r="U94" s="69"/>
      <c r="V94" s="61"/>
    </row>
    <row r="95" spans="1:22" ht="13.5">
      <c r="A95" s="134"/>
      <c r="B95" s="128"/>
      <c r="C95" s="136"/>
      <c r="D95" s="65"/>
      <c r="E95" s="73"/>
      <c r="F95" s="74"/>
      <c r="G95" s="74"/>
      <c r="H95" s="74"/>
      <c r="I95" s="75"/>
      <c r="J95" s="74"/>
      <c r="K95" s="74">
        <v>300</v>
      </c>
      <c r="L95" s="75"/>
      <c r="M95" s="74"/>
      <c r="N95" s="75"/>
      <c r="O95" s="74"/>
      <c r="P95" s="75"/>
      <c r="Q95" s="67"/>
      <c r="R95" s="76"/>
      <c r="S95" s="83"/>
      <c r="T95" s="69"/>
      <c r="U95" s="69"/>
      <c r="V95" s="61"/>
    </row>
    <row r="96" spans="1:22" ht="13.5">
      <c r="A96" s="20"/>
      <c r="B96" s="63" t="s">
        <v>66</v>
      </c>
      <c r="C96" s="64">
        <v>3120.45</v>
      </c>
      <c r="D96" s="65"/>
      <c r="E96" s="73"/>
      <c r="F96" s="74"/>
      <c r="G96" s="74"/>
      <c r="H96" s="74"/>
      <c r="I96" s="75"/>
      <c r="J96" s="74"/>
      <c r="K96" s="74"/>
      <c r="L96" s="75"/>
      <c r="M96" s="74"/>
      <c r="N96" s="75"/>
      <c r="O96" s="74"/>
      <c r="P96" s="75"/>
      <c r="Q96" s="67"/>
      <c r="R96" s="76"/>
      <c r="S96" s="77"/>
      <c r="T96" s="69"/>
      <c r="U96" s="69"/>
      <c r="V96" s="61"/>
    </row>
    <row r="97" spans="1:22" ht="13.5">
      <c r="A97" s="133"/>
      <c r="B97" s="127" t="s">
        <v>67</v>
      </c>
      <c r="C97" s="135">
        <v>6184.68</v>
      </c>
      <c r="D97" s="144"/>
      <c r="E97" s="73"/>
      <c r="F97" s="74"/>
      <c r="G97" s="74"/>
      <c r="H97" s="74"/>
      <c r="I97" s="75"/>
      <c r="J97" s="74">
        <f>650</f>
        <v>650</v>
      </c>
      <c r="K97" s="74"/>
      <c r="L97" s="75"/>
      <c r="M97" s="74"/>
      <c r="N97" s="75"/>
      <c r="O97" s="74"/>
      <c r="P97" s="75"/>
      <c r="Q97" s="67"/>
      <c r="R97" s="76"/>
      <c r="S97" s="83">
        <f>650-SUM(E97:Q97)</f>
        <v>0</v>
      </c>
      <c r="T97" s="69"/>
      <c r="U97" s="69"/>
      <c r="V97" s="61"/>
    </row>
    <row r="98" spans="1:22" ht="13.5">
      <c r="A98" s="141"/>
      <c r="B98" s="142"/>
      <c r="C98" s="143"/>
      <c r="D98" s="145"/>
      <c r="E98" s="73"/>
      <c r="F98" s="74"/>
      <c r="G98" s="74"/>
      <c r="H98" s="74"/>
      <c r="I98" s="75"/>
      <c r="J98" s="74"/>
      <c r="K98" s="74">
        <v>700</v>
      </c>
      <c r="L98" s="75"/>
      <c r="M98" s="74"/>
      <c r="N98" s="75"/>
      <c r="O98" s="74"/>
      <c r="P98" s="75"/>
      <c r="Q98" s="67"/>
      <c r="R98" s="76"/>
      <c r="S98" s="83"/>
      <c r="T98" s="69"/>
      <c r="U98" s="69"/>
      <c r="V98" s="61"/>
    </row>
    <row r="99" spans="1:22" ht="13.5">
      <c r="A99" s="141"/>
      <c r="B99" s="142"/>
      <c r="C99" s="143"/>
      <c r="D99" s="145"/>
      <c r="E99" s="73"/>
      <c r="F99" s="74"/>
      <c r="G99" s="74"/>
      <c r="H99" s="74"/>
      <c r="I99" s="75"/>
      <c r="J99" s="74">
        <f>650</f>
        <v>650</v>
      </c>
      <c r="K99" s="74"/>
      <c r="L99" s="75"/>
      <c r="M99" s="74"/>
      <c r="N99" s="75"/>
      <c r="O99" s="74"/>
      <c r="P99" s="75"/>
      <c r="Q99" s="67"/>
      <c r="R99" s="76"/>
      <c r="S99" s="83">
        <f>650-SUM(E99:Q99)</f>
        <v>0</v>
      </c>
      <c r="T99" s="69"/>
      <c r="U99" s="69"/>
      <c r="V99" s="61"/>
    </row>
    <row r="100" spans="1:22" ht="13.5">
      <c r="A100" s="141"/>
      <c r="B100" s="142"/>
      <c r="C100" s="143"/>
      <c r="D100" s="145"/>
      <c r="E100" s="73"/>
      <c r="F100" s="74"/>
      <c r="G100" s="74"/>
      <c r="H100" s="74"/>
      <c r="I100" s="75"/>
      <c r="J100" s="74"/>
      <c r="K100" s="74">
        <v>700</v>
      </c>
      <c r="L100" s="75"/>
      <c r="M100" s="74"/>
      <c r="N100" s="75"/>
      <c r="O100" s="74"/>
      <c r="P100" s="75"/>
      <c r="Q100" s="67"/>
      <c r="R100" s="76"/>
      <c r="S100" s="83"/>
      <c r="T100" s="69"/>
      <c r="U100" s="69"/>
      <c r="V100" s="61"/>
    </row>
    <row r="101" spans="1:22" ht="13.5">
      <c r="A101" s="141"/>
      <c r="B101" s="142"/>
      <c r="C101" s="143"/>
      <c r="D101" s="145"/>
      <c r="E101" s="73"/>
      <c r="F101" s="74"/>
      <c r="G101" s="74"/>
      <c r="H101" s="74"/>
      <c r="I101" s="75"/>
      <c r="J101" s="74">
        <f>650</f>
        <v>650</v>
      </c>
      <c r="K101" s="74"/>
      <c r="L101" s="75"/>
      <c r="M101" s="74"/>
      <c r="N101" s="75"/>
      <c r="O101" s="74"/>
      <c r="P101" s="75"/>
      <c r="Q101" s="67"/>
      <c r="R101" s="76"/>
      <c r="S101" s="83">
        <f>650-SUM(E101:Q101)</f>
        <v>0</v>
      </c>
      <c r="T101" s="69"/>
      <c r="U101" s="69"/>
      <c r="V101" s="61"/>
    </row>
    <row r="102" spans="1:22" ht="13.5">
      <c r="A102" s="141"/>
      <c r="B102" s="142"/>
      <c r="C102" s="143"/>
      <c r="D102" s="145"/>
      <c r="E102" s="73"/>
      <c r="F102" s="74"/>
      <c r="G102" s="74"/>
      <c r="H102" s="74"/>
      <c r="I102" s="75"/>
      <c r="J102" s="74"/>
      <c r="K102" s="74">
        <v>700</v>
      </c>
      <c r="L102" s="75"/>
      <c r="M102" s="74"/>
      <c r="N102" s="75"/>
      <c r="O102" s="74"/>
      <c r="P102" s="75"/>
      <c r="Q102" s="67"/>
      <c r="R102" s="76"/>
      <c r="S102" s="83"/>
      <c r="T102" s="69"/>
      <c r="U102" s="69"/>
      <c r="V102" s="61"/>
    </row>
    <row r="103" spans="1:22" ht="13.5">
      <c r="A103" s="141"/>
      <c r="B103" s="142"/>
      <c r="C103" s="143"/>
      <c r="D103" s="145"/>
      <c r="E103" s="73"/>
      <c r="F103" s="74"/>
      <c r="G103" s="74"/>
      <c r="H103" s="74"/>
      <c r="I103" s="75"/>
      <c r="J103" s="66"/>
      <c r="K103" s="66">
        <f>990</f>
        <v>990</v>
      </c>
      <c r="L103" s="66"/>
      <c r="M103" s="66"/>
      <c r="N103" s="66"/>
      <c r="O103" s="66"/>
      <c r="P103" s="66"/>
      <c r="Q103" s="67"/>
      <c r="R103" s="67"/>
      <c r="S103" s="71">
        <f>990-K103</f>
        <v>0</v>
      </c>
      <c r="T103" s="69"/>
      <c r="U103" s="69"/>
      <c r="V103" s="61"/>
    </row>
    <row r="104" spans="1:22" ht="13.5">
      <c r="A104" s="134"/>
      <c r="B104" s="128"/>
      <c r="C104" s="136"/>
      <c r="D104" s="146"/>
      <c r="E104" s="73"/>
      <c r="F104" s="74"/>
      <c r="G104" s="74"/>
      <c r="H104" s="74"/>
      <c r="I104" s="75"/>
      <c r="J104" s="66"/>
      <c r="K104" s="66"/>
      <c r="L104" s="66"/>
      <c r="M104" s="66"/>
      <c r="N104" s="66"/>
      <c r="O104" s="66"/>
      <c r="P104" s="66"/>
      <c r="Q104" s="67"/>
      <c r="R104" s="67"/>
      <c r="S104" s="66"/>
      <c r="T104" s="69"/>
      <c r="U104" s="69"/>
      <c r="V104" s="61"/>
    </row>
    <row r="105" spans="1:22" ht="13.5">
      <c r="A105" s="20"/>
      <c r="B105" s="63" t="s">
        <v>68</v>
      </c>
      <c r="C105" s="64">
        <v>1548.28</v>
      </c>
      <c r="D105" s="65"/>
      <c r="E105" s="73"/>
      <c r="F105" s="74"/>
      <c r="G105" s="74"/>
      <c r="H105" s="74"/>
      <c r="I105" s="75"/>
      <c r="J105" s="66"/>
      <c r="K105" s="66"/>
      <c r="L105" s="66"/>
      <c r="M105" s="66"/>
      <c r="N105" s="66"/>
      <c r="O105" s="66"/>
      <c r="P105" s="66"/>
      <c r="Q105" s="67"/>
      <c r="R105" s="67"/>
      <c r="S105" s="66"/>
      <c r="T105" s="69"/>
      <c r="U105" s="69"/>
      <c r="V105" s="61"/>
    </row>
    <row r="106" spans="1:22" ht="13.5">
      <c r="A106" s="137"/>
      <c r="B106" s="127" t="s">
        <v>69</v>
      </c>
      <c r="C106" s="139">
        <v>702.8</v>
      </c>
      <c r="D106" s="131"/>
      <c r="E106" s="73"/>
      <c r="F106" s="74"/>
      <c r="G106" s="74"/>
      <c r="H106" s="74"/>
      <c r="I106" s="75"/>
      <c r="J106" s="66">
        <v>242</v>
      </c>
      <c r="K106" s="66"/>
      <c r="L106" s="66"/>
      <c r="M106" s="66"/>
      <c r="N106" s="66"/>
      <c r="O106" s="66"/>
      <c r="P106" s="66"/>
      <c r="Q106" s="67"/>
      <c r="R106" s="67"/>
      <c r="S106" s="71">
        <f>242-SUM(E106:Q106)</f>
        <v>0</v>
      </c>
      <c r="T106" s="69"/>
      <c r="U106" s="69"/>
      <c r="V106" s="61"/>
    </row>
    <row r="107" spans="1:22" ht="13.5">
      <c r="A107" s="138"/>
      <c r="B107" s="128"/>
      <c r="C107" s="140"/>
      <c r="D107" s="132"/>
      <c r="E107" s="73"/>
      <c r="F107" s="74"/>
      <c r="G107" s="74"/>
      <c r="H107" s="74"/>
      <c r="I107" s="75"/>
      <c r="J107" s="66"/>
      <c r="K107" s="66">
        <v>242</v>
      </c>
      <c r="L107" s="66"/>
      <c r="M107" s="66"/>
      <c r="N107" s="66"/>
      <c r="O107" s="66"/>
      <c r="P107" s="66"/>
      <c r="Q107" s="67"/>
      <c r="R107" s="67"/>
      <c r="S107" s="71"/>
      <c r="T107" s="69"/>
      <c r="U107" s="69"/>
      <c r="V107" s="61"/>
    </row>
    <row r="108" spans="1:22" ht="25.5">
      <c r="A108" s="78"/>
      <c r="B108" s="63" t="s">
        <v>70</v>
      </c>
      <c r="C108" s="64">
        <v>1967.85</v>
      </c>
      <c r="D108" s="65"/>
      <c r="E108" s="73"/>
      <c r="F108" s="74"/>
      <c r="G108" s="74"/>
      <c r="H108" s="74"/>
      <c r="I108" s="75"/>
      <c r="J108" s="66"/>
      <c r="K108" s="66"/>
      <c r="L108" s="66"/>
      <c r="M108" s="66"/>
      <c r="N108" s="66"/>
      <c r="O108" s="66"/>
      <c r="P108" s="66"/>
      <c r="Q108" s="67"/>
      <c r="R108" s="67"/>
      <c r="S108" s="66"/>
      <c r="T108" s="69"/>
      <c r="U108" s="69"/>
      <c r="V108" s="61"/>
    </row>
    <row r="109" spans="1:22" ht="13.5">
      <c r="A109" s="78"/>
      <c r="B109" s="63"/>
      <c r="C109" s="79"/>
      <c r="D109" s="65"/>
      <c r="E109" s="73"/>
      <c r="F109" s="74"/>
      <c r="G109" s="74"/>
      <c r="H109" s="74"/>
      <c r="I109" s="75"/>
      <c r="J109" s="66"/>
      <c r="K109" s="66"/>
      <c r="L109" s="66"/>
      <c r="M109" s="66"/>
      <c r="N109" s="66"/>
      <c r="O109" s="66"/>
      <c r="P109" s="66"/>
      <c r="Q109" s="67"/>
      <c r="R109" s="67"/>
      <c r="S109" s="66"/>
      <c r="T109" s="69"/>
      <c r="U109" s="69"/>
      <c r="V109" s="61"/>
    </row>
    <row r="110" spans="1:22" ht="12.75">
      <c r="A110" s="20">
        <v>6</v>
      </c>
      <c r="B110" s="50" t="s">
        <v>71</v>
      </c>
      <c r="C110" s="27">
        <v>2241</v>
      </c>
      <c r="D110" s="28">
        <v>3560</v>
      </c>
      <c r="E110" s="55"/>
      <c r="F110" s="56"/>
      <c r="G110" s="56"/>
      <c r="H110" s="56"/>
      <c r="I110" s="57"/>
      <c r="J110" s="51"/>
      <c r="K110" s="51"/>
      <c r="L110" s="51"/>
      <c r="M110" s="51"/>
      <c r="N110" s="51"/>
      <c r="O110" s="51"/>
      <c r="P110" s="51"/>
      <c r="Q110" s="21">
        <f>SUM(E110:P110)</f>
        <v>0</v>
      </c>
      <c r="R110" s="21"/>
      <c r="S110" s="51"/>
      <c r="T110" s="17">
        <f>D110-Q110</f>
        <v>3560</v>
      </c>
      <c r="U110" s="17">
        <f>D110-SUM(Q110:S110)</f>
        <v>3560</v>
      </c>
      <c r="V110" s="61"/>
    </row>
    <row r="111" spans="1:22" ht="12.75">
      <c r="A111" s="20">
        <v>7</v>
      </c>
      <c r="B111" s="50" t="s">
        <v>72</v>
      </c>
      <c r="C111" s="27">
        <v>2279</v>
      </c>
      <c r="D111" s="28">
        <v>183</v>
      </c>
      <c r="E111" s="55"/>
      <c r="F111" s="56"/>
      <c r="G111" s="56"/>
      <c r="H111" s="56"/>
      <c r="I111" s="57">
        <f>116</f>
        <v>116</v>
      </c>
      <c r="J111" s="51"/>
      <c r="K111" s="51"/>
      <c r="L111" s="51"/>
      <c r="M111" s="51"/>
      <c r="N111" s="51"/>
      <c r="O111" s="51"/>
      <c r="P111" s="51"/>
      <c r="Q111" s="21">
        <f>SUM(E111:P111)</f>
        <v>116</v>
      </c>
      <c r="R111" s="21"/>
      <c r="S111" s="51"/>
      <c r="T111" s="17">
        <f>D111-Q111</f>
        <v>67</v>
      </c>
      <c r="U111" s="17">
        <f>D111-SUM(Q111:S111)</f>
        <v>67</v>
      </c>
      <c r="V111" s="61"/>
    </row>
    <row r="112" spans="1:22" ht="12.75">
      <c r="A112" s="20">
        <v>8</v>
      </c>
      <c r="B112" s="50" t="s">
        <v>73</v>
      </c>
      <c r="C112" s="27">
        <v>2312</v>
      </c>
      <c r="D112" s="28">
        <v>3076</v>
      </c>
      <c r="E112" s="55"/>
      <c r="F112" s="56"/>
      <c r="G112" s="56"/>
      <c r="H112" s="56"/>
      <c r="I112" s="57"/>
      <c r="J112" s="51"/>
      <c r="K112" s="51"/>
      <c r="L112" s="51"/>
      <c r="M112" s="51"/>
      <c r="N112" s="51"/>
      <c r="O112" s="51"/>
      <c r="P112" s="51"/>
      <c r="Q112" s="21">
        <f>SUM(E112:P117)</f>
        <v>0</v>
      </c>
      <c r="R112" s="21"/>
      <c r="S112" s="51"/>
      <c r="T112" s="17">
        <f>D112-Q112</f>
        <v>3076</v>
      </c>
      <c r="U112" s="17">
        <f>D112-SUM(Q112:S117)</f>
        <v>3076</v>
      </c>
      <c r="V112" s="61"/>
    </row>
    <row r="113" spans="1:22" ht="13.5">
      <c r="A113" s="20"/>
      <c r="B113" s="63" t="s">
        <v>74</v>
      </c>
      <c r="C113" s="64">
        <v>1405.6</v>
      </c>
      <c r="D113" s="65"/>
      <c r="E113" s="73"/>
      <c r="F113" s="74"/>
      <c r="G113" s="74"/>
      <c r="H113" s="74"/>
      <c r="I113" s="75"/>
      <c r="J113" s="66"/>
      <c r="K113" s="66"/>
      <c r="L113" s="66"/>
      <c r="M113" s="66"/>
      <c r="N113" s="66"/>
      <c r="O113" s="66"/>
      <c r="P113" s="66"/>
      <c r="Q113" s="67"/>
      <c r="R113" s="67"/>
      <c r="S113" s="66"/>
      <c r="T113" s="69"/>
      <c r="U113" s="69"/>
      <c r="V113" s="61"/>
    </row>
    <row r="114" spans="1:22" ht="13.5">
      <c r="A114" s="78"/>
      <c r="B114" s="63" t="s">
        <v>75</v>
      </c>
      <c r="C114" s="64">
        <v>278.31</v>
      </c>
      <c r="D114" s="65"/>
      <c r="E114" s="73"/>
      <c r="F114" s="74"/>
      <c r="G114" s="74"/>
      <c r="H114" s="74"/>
      <c r="I114" s="75"/>
      <c r="J114" s="66"/>
      <c r="K114" s="66"/>
      <c r="L114" s="66"/>
      <c r="M114" s="66"/>
      <c r="N114" s="66"/>
      <c r="O114" s="66"/>
      <c r="P114" s="66"/>
      <c r="Q114" s="67"/>
      <c r="R114" s="67"/>
      <c r="S114" s="66"/>
      <c r="T114" s="69"/>
      <c r="U114" s="69"/>
      <c r="V114" s="61"/>
    </row>
    <row r="115" spans="1:22" ht="13.5">
      <c r="A115" s="78"/>
      <c r="B115" s="63" t="s">
        <v>76</v>
      </c>
      <c r="C115" s="64">
        <v>210.84</v>
      </c>
      <c r="D115" s="65"/>
      <c r="E115" s="73"/>
      <c r="F115" s="74"/>
      <c r="G115" s="74"/>
      <c r="H115" s="74"/>
      <c r="I115" s="75"/>
      <c r="J115" s="66"/>
      <c r="K115" s="66"/>
      <c r="L115" s="66"/>
      <c r="M115" s="66"/>
      <c r="N115" s="66"/>
      <c r="O115" s="66"/>
      <c r="P115" s="66"/>
      <c r="Q115" s="67"/>
      <c r="R115" s="67"/>
      <c r="S115" s="66"/>
      <c r="T115" s="69"/>
      <c r="U115" s="69"/>
      <c r="V115" s="61"/>
    </row>
    <row r="116" spans="1:22" ht="13.5">
      <c r="A116" s="78"/>
      <c r="B116" s="63" t="s">
        <v>77</v>
      </c>
      <c r="C116" s="64">
        <v>1180.71</v>
      </c>
      <c r="D116" s="65"/>
      <c r="E116" s="73"/>
      <c r="F116" s="74"/>
      <c r="G116" s="74"/>
      <c r="H116" s="74"/>
      <c r="I116" s="75"/>
      <c r="J116" s="74"/>
      <c r="K116" s="66"/>
      <c r="L116" s="66"/>
      <c r="M116" s="66"/>
      <c r="N116" s="66"/>
      <c r="O116" s="66"/>
      <c r="P116" s="66"/>
      <c r="Q116" s="67"/>
      <c r="R116" s="67"/>
      <c r="S116" s="66"/>
      <c r="T116" s="69"/>
      <c r="U116" s="69"/>
      <c r="V116" s="61"/>
    </row>
    <row r="117" spans="1:22" ht="13.5">
      <c r="A117" s="78"/>
      <c r="B117" s="63"/>
      <c r="C117" s="79"/>
      <c r="D117" s="65"/>
      <c r="E117" s="73"/>
      <c r="F117" s="74"/>
      <c r="G117" s="74"/>
      <c r="H117" s="74"/>
      <c r="I117" s="75"/>
      <c r="J117" s="74"/>
      <c r="K117" s="66"/>
      <c r="L117" s="66"/>
      <c r="M117" s="66"/>
      <c r="N117" s="66"/>
      <c r="O117" s="66"/>
      <c r="P117" s="66"/>
      <c r="Q117" s="67"/>
      <c r="R117" s="67"/>
      <c r="S117" s="66"/>
      <c r="T117" s="69"/>
      <c r="U117" s="69"/>
      <c r="V117" s="61"/>
    </row>
    <row r="118" spans="1:22" ht="12.75">
      <c r="A118" s="20">
        <v>9</v>
      </c>
      <c r="B118" s="50" t="s">
        <v>78</v>
      </c>
      <c r="C118" s="27">
        <v>2322</v>
      </c>
      <c r="D118" s="28">
        <v>281</v>
      </c>
      <c r="E118" s="55"/>
      <c r="F118" s="56"/>
      <c r="G118" s="56"/>
      <c r="H118" s="56"/>
      <c r="I118" s="57"/>
      <c r="J118" s="56"/>
      <c r="K118" s="51"/>
      <c r="L118" s="51"/>
      <c r="M118" s="51"/>
      <c r="N118" s="51"/>
      <c r="O118" s="51"/>
      <c r="P118" s="51"/>
      <c r="Q118" s="21">
        <f>SUM(E118:P118)</f>
        <v>0</v>
      </c>
      <c r="R118" s="21"/>
      <c r="S118" s="51"/>
      <c r="T118" s="17">
        <f>D118-Q118</f>
        <v>281</v>
      </c>
      <c r="U118" s="17">
        <f>D118-SUM(Q118:S118)</f>
        <v>281</v>
      </c>
      <c r="V118" s="61"/>
    </row>
    <row r="119" spans="1:22" ht="12.75">
      <c r="A119" s="20">
        <v>10</v>
      </c>
      <c r="B119" s="50" t="s">
        <v>79</v>
      </c>
      <c r="C119" s="84">
        <v>2390</v>
      </c>
      <c r="D119" s="28">
        <v>1054</v>
      </c>
      <c r="E119" s="55"/>
      <c r="F119" s="56"/>
      <c r="G119" s="56"/>
      <c r="H119" s="56"/>
      <c r="I119" s="57"/>
      <c r="J119" s="56"/>
      <c r="K119" s="51"/>
      <c r="L119" s="51"/>
      <c r="M119" s="51"/>
      <c r="N119" s="51"/>
      <c r="O119" s="51"/>
      <c r="P119" s="51"/>
      <c r="Q119" s="21">
        <f>SUM(E119:P119)</f>
        <v>0</v>
      </c>
      <c r="R119" s="21"/>
      <c r="S119" s="51"/>
      <c r="T119" s="17">
        <f>D119-Q119</f>
        <v>1054</v>
      </c>
      <c r="U119" s="17">
        <f>D119-SUM(Q119:S119)</f>
        <v>1054</v>
      </c>
      <c r="V119" s="61"/>
    </row>
    <row r="120" spans="1:22" ht="12.75">
      <c r="A120" s="20">
        <v>11</v>
      </c>
      <c r="B120" s="50" t="s">
        <v>80</v>
      </c>
      <c r="C120" s="27">
        <v>5231</v>
      </c>
      <c r="D120" s="28">
        <v>51656</v>
      </c>
      <c r="E120" s="55"/>
      <c r="F120" s="56"/>
      <c r="G120" s="56"/>
      <c r="H120" s="56"/>
      <c r="I120" s="57"/>
      <c r="J120" s="56"/>
      <c r="K120" s="51"/>
      <c r="L120" s="51"/>
      <c r="M120" s="51"/>
      <c r="N120" s="51"/>
      <c r="O120" s="51"/>
      <c r="P120" s="51"/>
      <c r="Q120" s="21">
        <f>SUM(E120:P124)</f>
        <v>0</v>
      </c>
      <c r="R120" s="21"/>
      <c r="S120" s="51"/>
      <c r="T120" s="17">
        <f>D120-Q120</f>
        <v>51656</v>
      </c>
      <c r="U120" s="17">
        <f>D120-SUM(Q120:S124)</f>
        <v>51656</v>
      </c>
      <c r="V120" s="61"/>
    </row>
    <row r="121" spans="1:22" ht="13.5">
      <c r="A121" s="20"/>
      <c r="B121" s="63" t="s">
        <v>81</v>
      </c>
      <c r="C121" s="64">
        <v>17570.1</v>
      </c>
      <c r="D121" s="65"/>
      <c r="E121" s="73"/>
      <c r="F121" s="74"/>
      <c r="G121" s="74"/>
      <c r="H121" s="74"/>
      <c r="I121" s="75"/>
      <c r="J121" s="74"/>
      <c r="K121" s="66"/>
      <c r="L121" s="66"/>
      <c r="M121" s="66"/>
      <c r="N121" s="66"/>
      <c r="O121" s="66"/>
      <c r="P121" s="66"/>
      <c r="Q121" s="67"/>
      <c r="R121" s="67"/>
      <c r="S121" s="66"/>
      <c r="T121" s="69"/>
      <c r="U121" s="69"/>
      <c r="V121" s="61"/>
    </row>
    <row r="122" spans="1:22" ht="13.5">
      <c r="A122" s="20"/>
      <c r="B122" s="63" t="s">
        <v>82</v>
      </c>
      <c r="C122" s="64">
        <v>27057.95</v>
      </c>
      <c r="D122" s="65"/>
      <c r="E122" s="73"/>
      <c r="F122" s="74"/>
      <c r="G122" s="74"/>
      <c r="H122" s="74"/>
      <c r="I122" s="75"/>
      <c r="J122" s="74"/>
      <c r="K122" s="66"/>
      <c r="L122" s="66"/>
      <c r="M122" s="66"/>
      <c r="N122" s="66"/>
      <c r="O122" s="66"/>
      <c r="P122" s="66"/>
      <c r="Q122" s="67"/>
      <c r="R122" s="67"/>
      <c r="S122" s="66"/>
      <c r="T122" s="69"/>
      <c r="U122" s="69"/>
      <c r="V122" s="61"/>
    </row>
    <row r="123" spans="1:22" ht="13.5">
      <c r="A123" s="20"/>
      <c r="B123" s="63" t="s">
        <v>83</v>
      </c>
      <c r="C123" s="64">
        <v>7028.04</v>
      </c>
      <c r="D123" s="65"/>
      <c r="E123" s="73"/>
      <c r="F123" s="74"/>
      <c r="G123" s="74"/>
      <c r="H123" s="74"/>
      <c r="I123" s="75"/>
      <c r="J123" s="74"/>
      <c r="K123" s="66"/>
      <c r="L123" s="66"/>
      <c r="M123" s="66"/>
      <c r="N123" s="66"/>
      <c r="O123" s="66"/>
      <c r="P123" s="66"/>
      <c r="Q123" s="67"/>
      <c r="R123" s="67"/>
      <c r="S123" s="66"/>
      <c r="T123" s="69"/>
      <c r="U123" s="69"/>
      <c r="V123" s="61"/>
    </row>
    <row r="124" spans="1:22" ht="13.5">
      <c r="A124" s="20"/>
      <c r="B124" s="63"/>
      <c r="C124" s="79"/>
      <c r="D124" s="65"/>
      <c r="E124" s="73"/>
      <c r="F124" s="74"/>
      <c r="G124" s="74"/>
      <c r="H124" s="74"/>
      <c r="I124" s="75"/>
      <c r="J124" s="74"/>
      <c r="K124" s="66"/>
      <c r="L124" s="66"/>
      <c r="M124" s="66"/>
      <c r="N124" s="66"/>
      <c r="O124" s="66"/>
      <c r="P124" s="66"/>
      <c r="Q124" s="67"/>
      <c r="R124" s="67"/>
      <c r="S124" s="66"/>
      <c r="T124" s="69"/>
      <c r="U124" s="69"/>
      <c r="V124" s="61"/>
    </row>
    <row r="125" spans="1:22" ht="12.75">
      <c r="A125" s="20">
        <v>12</v>
      </c>
      <c r="B125" s="50" t="s">
        <v>84</v>
      </c>
      <c r="C125" s="27">
        <v>5239</v>
      </c>
      <c r="D125" s="28">
        <v>17373</v>
      </c>
      <c r="E125" s="55"/>
      <c r="F125" s="56"/>
      <c r="G125" s="56"/>
      <c r="H125" s="56"/>
      <c r="I125" s="57"/>
      <c r="J125" s="56"/>
      <c r="K125" s="51"/>
      <c r="L125" s="51"/>
      <c r="M125" s="51"/>
      <c r="N125" s="51"/>
      <c r="O125" s="51"/>
      <c r="P125" s="51"/>
      <c r="Q125" s="21">
        <f>SUM(E125:P132)</f>
        <v>0</v>
      </c>
      <c r="R125" s="21"/>
      <c r="S125" s="51"/>
      <c r="T125" s="17">
        <f>D125-Q125</f>
        <v>17373</v>
      </c>
      <c r="U125" s="17">
        <f>D125-SUM(Q125:S132)</f>
        <v>17373</v>
      </c>
      <c r="V125" s="61"/>
    </row>
    <row r="126" spans="1:22" ht="13.5">
      <c r="A126" s="20"/>
      <c r="B126" s="63" t="s">
        <v>85</v>
      </c>
      <c r="C126" s="64">
        <v>3514.02</v>
      </c>
      <c r="D126" s="65"/>
      <c r="E126" s="73"/>
      <c r="F126" s="74"/>
      <c r="G126" s="74"/>
      <c r="H126" s="74"/>
      <c r="I126" s="75"/>
      <c r="J126" s="74"/>
      <c r="K126" s="66"/>
      <c r="L126" s="66"/>
      <c r="M126" s="66"/>
      <c r="N126" s="66"/>
      <c r="O126" s="66"/>
      <c r="P126" s="66"/>
      <c r="Q126" s="67"/>
      <c r="R126" s="67"/>
      <c r="S126" s="66"/>
      <c r="T126" s="69"/>
      <c r="U126" s="69"/>
      <c r="V126" s="61"/>
    </row>
    <row r="127" spans="1:22" ht="13.5">
      <c r="A127" s="20"/>
      <c r="B127" s="63" t="s">
        <v>86</v>
      </c>
      <c r="C127" s="64">
        <v>702.8</v>
      </c>
      <c r="D127" s="65"/>
      <c r="E127" s="73"/>
      <c r="F127" s="74"/>
      <c r="G127" s="74"/>
      <c r="H127" s="74"/>
      <c r="I127" s="75"/>
      <c r="J127" s="74"/>
      <c r="K127" s="66"/>
      <c r="L127" s="66"/>
      <c r="M127" s="66"/>
      <c r="N127" s="66"/>
      <c r="O127" s="66"/>
      <c r="P127" s="66"/>
      <c r="Q127" s="67"/>
      <c r="R127" s="67"/>
      <c r="S127" s="66"/>
      <c r="T127" s="69"/>
      <c r="U127" s="69"/>
      <c r="V127" s="61"/>
    </row>
    <row r="128" spans="1:22" ht="13.5">
      <c r="A128" s="20"/>
      <c r="B128" s="63" t="s">
        <v>87</v>
      </c>
      <c r="C128" s="64">
        <v>3176.67</v>
      </c>
      <c r="D128" s="65"/>
      <c r="E128" s="73"/>
      <c r="F128" s="74"/>
      <c r="G128" s="74"/>
      <c r="H128" s="74"/>
      <c r="I128" s="75"/>
      <c r="J128" s="74"/>
      <c r="K128" s="66"/>
      <c r="L128" s="66"/>
      <c r="M128" s="66"/>
      <c r="N128" s="66"/>
      <c r="O128" s="66"/>
      <c r="P128" s="66"/>
      <c r="Q128" s="67"/>
      <c r="R128" s="67"/>
      <c r="S128" s="66"/>
      <c r="T128" s="69"/>
      <c r="U128" s="69"/>
      <c r="V128" s="61"/>
    </row>
    <row r="129" spans="1:22" ht="13.5">
      <c r="A129" s="20"/>
      <c r="B129" s="63" t="s">
        <v>88</v>
      </c>
      <c r="C129" s="64">
        <v>4216.82</v>
      </c>
      <c r="D129" s="65"/>
      <c r="E129" s="73"/>
      <c r="F129" s="74"/>
      <c r="G129" s="74"/>
      <c r="H129" s="74"/>
      <c r="I129" s="75"/>
      <c r="J129" s="74"/>
      <c r="K129" s="66"/>
      <c r="L129" s="66"/>
      <c r="M129" s="66"/>
      <c r="N129" s="66"/>
      <c r="O129" s="66"/>
      <c r="P129" s="66"/>
      <c r="Q129" s="67"/>
      <c r="R129" s="67"/>
      <c r="S129" s="66"/>
      <c r="T129" s="69"/>
      <c r="U129" s="69"/>
      <c r="V129" s="61"/>
    </row>
    <row r="130" spans="1:22" ht="13.5">
      <c r="A130" s="20"/>
      <c r="B130" s="63" t="s">
        <v>89</v>
      </c>
      <c r="C130" s="64">
        <v>1265.05</v>
      </c>
      <c r="D130" s="65"/>
      <c r="E130" s="73"/>
      <c r="F130" s="74"/>
      <c r="G130" s="74"/>
      <c r="H130" s="74"/>
      <c r="I130" s="75"/>
      <c r="J130" s="74"/>
      <c r="K130" s="66"/>
      <c r="L130" s="66"/>
      <c r="M130" s="66"/>
      <c r="N130" s="66"/>
      <c r="O130" s="66"/>
      <c r="P130" s="66"/>
      <c r="Q130" s="67"/>
      <c r="R130" s="67"/>
      <c r="S130" s="66"/>
      <c r="T130" s="69"/>
      <c r="U130" s="69"/>
      <c r="V130" s="61"/>
    </row>
    <row r="131" spans="1:22" ht="13.5">
      <c r="A131" s="78"/>
      <c r="B131" s="63" t="s">
        <v>90</v>
      </c>
      <c r="C131" s="64">
        <v>3795.14</v>
      </c>
      <c r="D131" s="65"/>
      <c r="E131" s="73"/>
      <c r="F131" s="74"/>
      <c r="G131" s="74"/>
      <c r="H131" s="74"/>
      <c r="I131" s="75"/>
      <c r="J131" s="74"/>
      <c r="K131" s="66"/>
      <c r="L131" s="66"/>
      <c r="M131" s="66"/>
      <c r="N131" s="66"/>
      <c r="O131" s="66"/>
      <c r="P131" s="66"/>
      <c r="Q131" s="67"/>
      <c r="R131" s="67"/>
      <c r="S131" s="66"/>
      <c r="T131" s="69"/>
      <c r="U131" s="69"/>
      <c r="V131" s="61"/>
    </row>
    <row r="132" spans="1:22" ht="25.5">
      <c r="A132" s="78"/>
      <c r="B132" s="63" t="s">
        <v>91</v>
      </c>
      <c r="C132" s="64">
        <v>702.8</v>
      </c>
      <c r="D132" s="65"/>
      <c r="E132" s="73"/>
      <c r="F132" s="74"/>
      <c r="G132" s="74"/>
      <c r="H132" s="74"/>
      <c r="I132" s="75"/>
      <c r="J132" s="74"/>
      <c r="K132" s="66"/>
      <c r="L132" s="66"/>
      <c r="M132" s="66"/>
      <c r="N132" s="66"/>
      <c r="O132" s="66"/>
      <c r="P132" s="66"/>
      <c r="Q132" s="67"/>
      <c r="R132" s="67"/>
      <c r="S132" s="66"/>
      <c r="T132" s="69"/>
      <c r="U132" s="69"/>
      <c r="V132" s="61"/>
    </row>
    <row r="133" ht="15"/>
    <row r="134" spans="1:22" ht="15.75">
      <c r="A134" s="6" t="s">
        <v>101</v>
      </c>
      <c r="E134" s="47"/>
      <c r="F134" s="48"/>
      <c r="G134" s="48"/>
      <c r="H134" s="45"/>
      <c r="I134" s="45"/>
      <c r="J134" s="45"/>
      <c r="K134" s="45"/>
      <c r="L134" s="45"/>
      <c r="M134" s="45"/>
      <c r="N134" s="45"/>
      <c r="O134" s="45"/>
      <c r="P134" s="45"/>
      <c r="Q134" s="49"/>
      <c r="R134" s="49"/>
      <c r="S134" s="45"/>
      <c r="T134" s="45"/>
      <c r="U134" s="45"/>
      <c r="V134" s="45"/>
    </row>
    <row r="135" ht="15">
      <c r="A135" s="1" t="s">
        <v>92</v>
      </c>
    </row>
    <row r="136" spans="1:22" ht="12.75" customHeight="1">
      <c r="A136" s="115" t="s">
        <v>3</v>
      </c>
      <c r="B136" s="115" t="s">
        <v>4</v>
      </c>
      <c r="C136" s="112" t="s">
        <v>5</v>
      </c>
      <c r="D136" s="115" t="s">
        <v>6</v>
      </c>
      <c r="E136" s="118" t="s">
        <v>7</v>
      </c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20"/>
      <c r="T136" s="121" t="s">
        <v>8</v>
      </c>
      <c r="U136" s="121" t="s">
        <v>9</v>
      </c>
      <c r="V136" s="123" t="s">
        <v>10</v>
      </c>
    </row>
    <row r="137" spans="1:22" ht="12.75" customHeight="1">
      <c r="A137" s="116"/>
      <c r="B137" s="116"/>
      <c r="C137" s="113"/>
      <c r="D137" s="116"/>
      <c r="E137" s="118" t="s">
        <v>11</v>
      </c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20"/>
      <c r="Q137" s="121" t="s">
        <v>12</v>
      </c>
      <c r="R137" s="11"/>
      <c r="S137" s="121" t="s">
        <v>46</v>
      </c>
      <c r="T137" s="107"/>
      <c r="U137" s="107"/>
      <c r="V137" s="123"/>
    </row>
    <row r="138" spans="1:22" ht="12.75">
      <c r="A138" s="117"/>
      <c r="B138" s="117"/>
      <c r="C138" s="114"/>
      <c r="D138" s="117"/>
      <c r="E138" s="12" t="s">
        <v>15</v>
      </c>
      <c r="F138" s="12" t="s">
        <v>16</v>
      </c>
      <c r="G138" s="12" t="s">
        <v>17</v>
      </c>
      <c r="H138" s="12" t="s">
        <v>18</v>
      </c>
      <c r="I138" s="10" t="s">
        <v>19</v>
      </c>
      <c r="J138" s="12" t="s">
        <v>20</v>
      </c>
      <c r="K138" s="12" t="s">
        <v>21</v>
      </c>
      <c r="L138" s="12" t="s">
        <v>22</v>
      </c>
      <c r="M138" s="12" t="s">
        <v>23</v>
      </c>
      <c r="N138" s="9" t="s">
        <v>24</v>
      </c>
      <c r="O138" s="12" t="s">
        <v>25</v>
      </c>
      <c r="P138" s="10" t="s">
        <v>26</v>
      </c>
      <c r="Q138" s="108"/>
      <c r="R138" s="13"/>
      <c r="S138" s="108"/>
      <c r="T138" s="108"/>
      <c r="U138" s="108"/>
      <c r="V138" s="123"/>
    </row>
    <row r="139" spans="1:22" ht="12.75">
      <c r="A139" s="147" t="s">
        <v>47</v>
      </c>
      <c r="B139" s="148"/>
      <c r="C139" s="102"/>
      <c r="D139" s="102">
        <f>SUM(D140:D145)</f>
        <v>11477</v>
      </c>
      <c r="E139" s="102">
        <f aca="true" t="shared" si="13" ref="E139:P139">SUM(E140:E167)</f>
        <v>0</v>
      </c>
      <c r="F139" s="102">
        <f t="shared" si="13"/>
        <v>0</v>
      </c>
      <c r="G139" s="102">
        <f t="shared" si="13"/>
        <v>0</v>
      </c>
      <c r="H139" s="102">
        <f t="shared" si="13"/>
        <v>0</v>
      </c>
      <c r="I139" s="102">
        <f t="shared" si="13"/>
        <v>0</v>
      </c>
      <c r="J139" s="105">
        <f t="shared" si="13"/>
        <v>276.03</v>
      </c>
      <c r="K139" s="102">
        <f t="shared" si="13"/>
        <v>15.33</v>
      </c>
      <c r="L139" s="105">
        <f t="shared" si="13"/>
        <v>0</v>
      </c>
      <c r="M139" s="102">
        <f t="shared" si="13"/>
        <v>0</v>
      </c>
      <c r="N139" s="105">
        <f t="shared" si="13"/>
        <v>0</v>
      </c>
      <c r="O139" s="102">
        <f t="shared" si="13"/>
        <v>0</v>
      </c>
      <c r="P139" s="106">
        <f t="shared" si="13"/>
        <v>0</v>
      </c>
      <c r="Q139" s="104">
        <f>SUM(Q140:Q167)</f>
        <v>291.35999999999996</v>
      </c>
      <c r="R139" s="102">
        <f>SUM(R140:R167)</f>
        <v>0</v>
      </c>
      <c r="S139" s="102">
        <f>SUM(S140:S167)</f>
        <v>0</v>
      </c>
      <c r="T139" s="102">
        <f>SUM(T140:T167)</f>
        <v>11185.64</v>
      </c>
      <c r="U139" s="104">
        <f>SUM(U140:U167)</f>
        <v>11185.64</v>
      </c>
      <c r="V139" s="102"/>
    </row>
    <row r="140" spans="1:22" ht="12.75">
      <c r="A140" s="20">
        <v>1</v>
      </c>
      <c r="B140" s="50" t="s">
        <v>93</v>
      </c>
      <c r="C140" s="25">
        <v>2121</v>
      </c>
      <c r="D140" s="28">
        <v>600</v>
      </c>
      <c r="E140" s="55"/>
      <c r="F140" s="51"/>
      <c r="G140" s="56"/>
      <c r="H140" s="56"/>
      <c r="I140" s="56"/>
      <c r="J140" s="57">
        <f>50+50</f>
        <v>100</v>
      </c>
      <c r="K140" s="56"/>
      <c r="L140" s="57"/>
      <c r="M140" s="56"/>
      <c r="N140" s="57"/>
      <c r="O140" s="56"/>
      <c r="P140" s="57"/>
      <c r="Q140" s="21">
        <f>SUM(E140:P140)</f>
        <v>100</v>
      </c>
      <c r="R140" s="80"/>
      <c r="S140" s="58"/>
      <c r="T140" s="17">
        <f>D140-Q140</f>
        <v>500</v>
      </c>
      <c r="U140" s="17">
        <f>T140-S140</f>
        <v>500</v>
      </c>
      <c r="V140" s="86"/>
    </row>
    <row r="141" spans="1:22" ht="12.75">
      <c r="A141" s="20">
        <v>2</v>
      </c>
      <c r="B141" s="50" t="s">
        <v>94</v>
      </c>
      <c r="C141" s="25">
        <v>2122</v>
      </c>
      <c r="D141" s="28">
        <v>1280</v>
      </c>
      <c r="E141" s="55"/>
      <c r="F141" s="56"/>
      <c r="G141" s="56"/>
      <c r="H141" s="56"/>
      <c r="I141" s="56"/>
      <c r="J141" s="87">
        <f>52.53</f>
        <v>52.53</v>
      </c>
      <c r="K141" s="56"/>
      <c r="L141" s="57"/>
      <c r="M141" s="56"/>
      <c r="N141" s="57"/>
      <c r="O141" s="56"/>
      <c r="P141" s="57"/>
      <c r="Q141" s="21">
        <f>SUM(E141:P141)</f>
        <v>52.53</v>
      </c>
      <c r="R141" s="80"/>
      <c r="S141" s="58"/>
      <c r="T141" s="17">
        <f>D141-Q141</f>
        <v>1227.47</v>
      </c>
      <c r="U141" s="17">
        <f>T141-S141</f>
        <v>1227.47</v>
      </c>
      <c r="V141" s="88"/>
    </row>
    <row r="142" spans="1:22" ht="12.75">
      <c r="A142" s="20">
        <v>3</v>
      </c>
      <c r="B142" s="50" t="s">
        <v>95</v>
      </c>
      <c r="C142" s="90">
        <v>2231</v>
      </c>
      <c r="D142" s="16">
        <v>8121</v>
      </c>
      <c r="E142" s="91"/>
      <c r="F142" s="92"/>
      <c r="G142" s="92"/>
      <c r="H142" s="92"/>
      <c r="I142" s="92"/>
      <c r="J142" s="93">
        <f>123.5</f>
        <v>123.5</v>
      </c>
      <c r="K142" s="92"/>
      <c r="L142" s="94"/>
      <c r="M142" s="92"/>
      <c r="N142" s="94"/>
      <c r="O142" s="92"/>
      <c r="P142" s="94"/>
      <c r="Q142" s="21">
        <f>SUM(E142:P142)</f>
        <v>123.5</v>
      </c>
      <c r="R142" s="80"/>
      <c r="S142" s="95"/>
      <c r="T142" s="19">
        <f>D142-Q142</f>
        <v>7997.5</v>
      </c>
      <c r="U142" s="19">
        <f>T142-S142</f>
        <v>7997.5</v>
      </c>
      <c r="V142" s="88"/>
    </row>
    <row r="143" spans="1:22" ht="12.75">
      <c r="A143" s="20">
        <v>4</v>
      </c>
      <c r="B143" s="50" t="s">
        <v>96</v>
      </c>
      <c r="C143" s="96">
        <v>2232</v>
      </c>
      <c r="D143" s="28">
        <v>984</v>
      </c>
      <c r="E143" s="55"/>
      <c r="F143" s="56"/>
      <c r="G143" s="56"/>
      <c r="H143" s="56"/>
      <c r="I143" s="56"/>
      <c r="J143" s="57"/>
      <c r="K143" s="89">
        <v>15.33</v>
      </c>
      <c r="L143" s="57"/>
      <c r="M143" s="56"/>
      <c r="N143" s="57"/>
      <c r="O143" s="56"/>
      <c r="P143" s="57"/>
      <c r="Q143" s="21">
        <f>SUM(E143:P143)</f>
        <v>15.33</v>
      </c>
      <c r="R143" s="80"/>
      <c r="S143" s="58"/>
      <c r="T143" s="17">
        <f>D143-Q143</f>
        <v>968.67</v>
      </c>
      <c r="U143" s="17">
        <f>T143-S143</f>
        <v>968.67</v>
      </c>
      <c r="V143" s="88"/>
    </row>
    <row r="144" spans="1:22" ht="12.75">
      <c r="A144" s="20">
        <v>5</v>
      </c>
      <c r="B144" s="50" t="s">
        <v>97</v>
      </c>
      <c r="C144" s="96">
        <v>2239</v>
      </c>
      <c r="D144" s="28">
        <v>492</v>
      </c>
      <c r="E144" s="55"/>
      <c r="F144" s="56"/>
      <c r="G144" s="56"/>
      <c r="H144" s="56"/>
      <c r="I144" s="56"/>
      <c r="J144" s="57"/>
      <c r="K144" s="56"/>
      <c r="L144" s="57"/>
      <c r="M144" s="56"/>
      <c r="N144" s="57"/>
      <c r="O144" s="56"/>
      <c r="P144" s="57"/>
      <c r="Q144" s="21">
        <f>SUM(E144:P145)</f>
        <v>0</v>
      </c>
      <c r="R144" s="80"/>
      <c r="S144" s="58"/>
      <c r="T144" s="17">
        <f>D144-Q144</f>
        <v>492</v>
      </c>
      <c r="U144" s="17">
        <f>T144-S144</f>
        <v>492</v>
      </c>
      <c r="V144" s="88"/>
    </row>
    <row r="145" spans="1:22" ht="12.75">
      <c r="A145" s="20"/>
      <c r="B145" s="50"/>
      <c r="C145" s="96"/>
      <c r="D145" s="28"/>
      <c r="E145" s="55"/>
      <c r="F145" s="56"/>
      <c r="G145" s="56"/>
      <c r="H145" s="56"/>
      <c r="I145" s="56"/>
      <c r="J145" s="57"/>
      <c r="K145" s="56"/>
      <c r="L145" s="57"/>
      <c r="M145" s="56"/>
      <c r="N145" s="57"/>
      <c r="O145" s="56"/>
      <c r="P145" s="57"/>
      <c r="Q145" s="21"/>
      <c r="R145" s="80"/>
      <c r="S145" s="58"/>
      <c r="T145" s="17"/>
      <c r="U145" s="17"/>
      <c r="V145" s="88"/>
    </row>
    <row r="147" ht="15"/>
    <row r="148" ht="15"/>
    <row r="149" ht="15"/>
    <row r="150" ht="15"/>
    <row r="151" ht="15"/>
    <row r="152" ht="15"/>
  </sheetData>
  <sheetProtection/>
  <mergeCells count="179">
    <mergeCell ref="T136:T138"/>
    <mergeCell ref="U136:U138"/>
    <mergeCell ref="A139:B139"/>
    <mergeCell ref="E137:P137"/>
    <mergeCell ref="Q137:Q138"/>
    <mergeCell ref="S137:S138"/>
    <mergeCell ref="A136:A138"/>
    <mergeCell ref="B136:B138"/>
    <mergeCell ref="C136:C138"/>
    <mergeCell ref="D136:D138"/>
    <mergeCell ref="E136:S136"/>
    <mergeCell ref="U26:U28"/>
    <mergeCell ref="T26:T28"/>
    <mergeCell ref="T43:T44"/>
    <mergeCell ref="U43:U44"/>
    <mergeCell ref="U51:U52"/>
    <mergeCell ref="U47:U48"/>
    <mergeCell ref="U35:U36"/>
    <mergeCell ref="U39:U40"/>
    <mergeCell ref="Q41:Q42"/>
    <mergeCell ref="T14:T18"/>
    <mergeCell ref="T41:T42"/>
    <mergeCell ref="U41:U42"/>
    <mergeCell ref="Q45:Q46"/>
    <mergeCell ref="T45:T46"/>
    <mergeCell ref="U45:U46"/>
    <mergeCell ref="Q43:Q44"/>
    <mergeCell ref="Q26:Q28"/>
    <mergeCell ref="T22:T23"/>
    <mergeCell ref="Q33:Q34"/>
    <mergeCell ref="Q39:Q40"/>
    <mergeCell ref="T39:T40"/>
    <mergeCell ref="Q31:Q32"/>
    <mergeCell ref="T31:T32"/>
    <mergeCell ref="A47:A48"/>
    <mergeCell ref="B47:B48"/>
    <mergeCell ref="C47:C48"/>
    <mergeCell ref="D47:D48"/>
    <mergeCell ref="A51:A52"/>
    <mergeCell ref="B51:B52"/>
    <mergeCell ref="C51:C52"/>
    <mergeCell ref="D51:D52"/>
    <mergeCell ref="A45:A46"/>
    <mergeCell ref="B45:B46"/>
    <mergeCell ref="C45:C46"/>
    <mergeCell ref="D45:D46"/>
    <mergeCell ref="D41:D42"/>
    <mergeCell ref="A43:A44"/>
    <mergeCell ref="B43:B44"/>
    <mergeCell ref="C43:C44"/>
    <mergeCell ref="D43:D44"/>
    <mergeCell ref="A41:A42"/>
    <mergeCell ref="B41:B42"/>
    <mergeCell ref="C41:C42"/>
    <mergeCell ref="A39:A40"/>
    <mergeCell ref="B39:B40"/>
    <mergeCell ref="C39:C40"/>
    <mergeCell ref="D39:D40"/>
    <mergeCell ref="C37:C38"/>
    <mergeCell ref="D37:D38"/>
    <mergeCell ref="Q35:Q36"/>
    <mergeCell ref="T35:T36"/>
    <mergeCell ref="C35:C36"/>
    <mergeCell ref="D35:D36"/>
    <mergeCell ref="A35:A36"/>
    <mergeCell ref="B35:B36"/>
    <mergeCell ref="A37:A38"/>
    <mergeCell ref="B37:B38"/>
    <mergeCell ref="U33:U34"/>
    <mergeCell ref="D31:D32"/>
    <mergeCell ref="D33:D34"/>
    <mergeCell ref="Q37:Q38"/>
    <mergeCell ref="T37:T38"/>
    <mergeCell ref="U31:U32"/>
    <mergeCell ref="U37:U38"/>
    <mergeCell ref="T33:T34"/>
    <mergeCell ref="U22:U23"/>
    <mergeCell ref="A33:A34"/>
    <mergeCell ref="B33:B34"/>
    <mergeCell ref="C33:C34"/>
    <mergeCell ref="Q22:Q23"/>
    <mergeCell ref="C26:C28"/>
    <mergeCell ref="D26:D28"/>
    <mergeCell ref="A31:A32"/>
    <mergeCell ref="B31:B32"/>
    <mergeCell ref="C31:C32"/>
    <mergeCell ref="A29:A30"/>
    <mergeCell ref="B29:B30"/>
    <mergeCell ref="C29:C30"/>
    <mergeCell ref="D29:D30"/>
    <mergeCell ref="A22:A28"/>
    <mergeCell ref="B22:B28"/>
    <mergeCell ref="C22:C23"/>
    <mergeCell ref="D22:D23"/>
    <mergeCell ref="C12:C13"/>
    <mergeCell ref="D12:D13"/>
    <mergeCell ref="A19:A20"/>
    <mergeCell ref="B19:B20"/>
    <mergeCell ref="C19:C20"/>
    <mergeCell ref="D19:D20"/>
    <mergeCell ref="A12:A13"/>
    <mergeCell ref="B12:B13"/>
    <mergeCell ref="C14:C18"/>
    <mergeCell ref="A68:B68"/>
    <mergeCell ref="C8:C10"/>
    <mergeCell ref="A65:A67"/>
    <mergeCell ref="B65:B67"/>
    <mergeCell ref="A11:B11"/>
    <mergeCell ref="A8:A10"/>
    <mergeCell ref="B8:B10"/>
    <mergeCell ref="C65:C67"/>
    <mergeCell ref="A14:A18"/>
    <mergeCell ref="B14:B18"/>
    <mergeCell ref="U65:U67"/>
    <mergeCell ref="D65:D67"/>
    <mergeCell ref="Q12:Q13"/>
    <mergeCell ref="T12:T13"/>
    <mergeCell ref="U12:U13"/>
    <mergeCell ref="D14:D18"/>
    <mergeCell ref="Q19:Q20"/>
    <mergeCell ref="T19:T20"/>
    <mergeCell ref="U19:U20"/>
    <mergeCell ref="U29:U30"/>
    <mergeCell ref="E65:S65"/>
    <mergeCell ref="Q14:Q18"/>
    <mergeCell ref="Q9:Q10"/>
    <mergeCell ref="T65:T67"/>
    <mergeCell ref="Q29:Q30"/>
    <mergeCell ref="T29:T30"/>
    <mergeCell ref="Q47:Q48"/>
    <mergeCell ref="T47:T48"/>
    <mergeCell ref="Q51:Q52"/>
    <mergeCell ref="T51:T52"/>
    <mergeCell ref="U14:U18"/>
    <mergeCell ref="B74:B76"/>
    <mergeCell ref="C74:C76"/>
    <mergeCell ref="D74:D76"/>
    <mergeCell ref="Q66:Q67"/>
    <mergeCell ref="E74:S74"/>
    <mergeCell ref="T74:T76"/>
    <mergeCell ref="U74:U76"/>
    <mergeCell ref="E66:P66"/>
    <mergeCell ref="S66:S67"/>
    <mergeCell ref="D8:D10"/>
    <mergeCell ref="E8:S8"/>
    <mergeCell ref="T8:T10"/>
    <mergeCell ref="U8:U10"/>
    <mergeCell ref="E9:P9"/>
    <mergeCell ref="S9:S10"/>
    <mergeCell ref="R9:R10"/>
    <mergeCell ref="A77:B77"/>
    <mergeCell ref="E75:P75"/>
    <mergeCell ref="Q75:Q76"/>
    <mergeCell ref="S75:S76"/>
    <mergeCell ref="A74:A76"/>
    <mergeCell ref="A97:A104"/>
    <mergeCell ref="B97:B104"/>
    <mergeCell ref="C97:C104"/>
    <mergeCell ref="D97:D104"/>
    <mergeCell ref="A106:A107"/>
    <mergeCell ref="B106:B107"/>
    <mergeCell ref="C106:C107"/>
    <mergeCell ref="D106:D107"/>
    <mergeCell ref="B83:B84"/>
    <mergeCell ref="C83:C84"/>
    <mergeCell ref="D83:D84"/>
    <mergeCell ref="A94:A95"/>
    <mergeCell ref="B94:B95"/>
    <mergeCell ref="C94:C95"/>
    <mergeCell ref="V8:V10"/>
    <mergeCell ref="V65:V67"/>
    <mergeCell ref="V74:V76"/>
    <mergeCell ref="V136:V138"/>
    <mergeCell ref="V14:V18"/>
    <mergeCell ref="V22:V23"/>
    <mergeCell ref="V29:V30"/>
    <mergeCell ref="V33:V34"/>
    <mergeCell ref="V37:V38"/>
    <mergeCell ref="V39:V40"/>
  </mergeCells>
  <printOptions horizontalCentered="1"/>
  <pageMargins left="0.984251968503937" right="0.1968503937007874" top="0.5905511811023623" bottom="0.3937007874015748" header="0" footer="0.11811023622047245"/>
  <pageSetup horizontalDpi="600" verticalDpi="600" orientation="portrait" paperSize="9" scale="7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</dc:creator>
  <cp:keywords/>
  <dc:description/>
  <cp:lastModifiedBy>Daina.Leinarte</cp:lastModifiedBy>
  <cp:lastPrinted>2009-08-14T12:31:58Z</cp:lastPrinted>
  <dcterms:created xsi:type="dcterms:W3CDTF">2009-08-06T07:16:54Z</dcterms:created>
  <dcterms:modified xsi:type="dcterms:W3CDTF">2009-08-14T12:31:59Z</dcterms:modified>
  <cp:category/>
  <cp:version/>
  <cp:contentType/>
  <cp:contentStatus/>
</cp:coreProperties>
</file>