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00" windowHeight="13005" activeTab="0"/>
  </bookViews>
  <sheets>
    <sheet name="5.pielikums" sheetId="1" r:id="rId1"/>
  </sheets>
  <definedNames>
    <definedName name="_xlnm.Print_Area" localSheetId="0">'5.pielikums'!$A$1:$U$46</definedName>
  </definedNames>
  <calcPr fullCalcOnLoad="1"/>
</workbook>
</file>

<file path=xl/comments1.xml><?xml version="1.0" encoding="utf-8"?>
<comments xmlns="http://schemas.openxmlformats.org/spreadsheetml/2006/main">
  <authors>
    <author>arita.moroza</author>
  </authors>
  <commentList>
    <comment ref="R19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1.80
1.40</t>
        </r>
      </text>
    </comment>
    <comment ref="R13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līgums uz 24 mēnešiem no 31.01.2009.
līgumcena=36790+pvn
2008.g.iztērēts Ls 14915.25+18%=17600
2009.-2010.gadam=36790-14915.25=21874.75+pvn
</t>
        </r>
        <r>
          <rPr>
            <b/>
            <sz val="8"/>
            <rFont val="Tahoma"/>
            <family val="2"/>
          </rPr>
          <t>Tāme 2009</t>
        </r>
        <r>
          <rPr>
            <sz val="8"/>
            <rFont val="Tahoma"/>
            <family val="2"/>
          </rPr>
          <t xml:space="preserve">: I-II-2035.46; III-5504.67; IV-XII-1650; </t>
        </r>
        <r>
          <rPr>
            <b/>
            <sz val="8"/>
            <rFont val="Tahoma"/>
            <family val="2"/>
          </rPr>
          <t xml:space="preserve">Tāme 2010: </t>
        </r>
        <r>
          <rPr>
            <sz val="8"/>
            <rFont val="Tahoma"/>
            <family val="2"/>
          </rPr>
          <t>I-2042.85</t>
        </r>
      </text>
    </comment>
    <comment ref="R15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Līgumcena=85300+pvn
2008.g.iztērēts 33008.47*18%=38950 Ls
2009.-2010.g=52291.53+pvn=63272.75 (par 13 mēn.) i mēnesī~4867.13</t>
        </r>
      </text>
    </comment>
    <comment ref="R2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1.80 ja izmanto autopacēlāju
0.48 ja neizmanto 
max par 2009-2011 49999+pvn
te=(49999/24*10)+pvn</t>
        </r>
      </text>
    </comment>
    <comment ref="R20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4.51 par m3
max 9999+pvn
</t>
        </r>
      </text>
    </comment>
    <comment ref="R14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max 28480+pvn
2008.g.=9584.75+18%=11310
2009-2010=18895.25+21%=22863.25
2009.gada sadalījumā 1715 Ls mēnesī * 4 mēneši (pamatojoties uz vēstulem 1.1-37/228 un 1.1-37/1214)</t>
        </r>
      </text>
    </comment>
    <comment ref="D12" authorId="0">
      <text>
        <r>
          <rPr>
            <b/>
            <sz val="8"/>
            <rFont val="Tahoma"/>
            <family val="0"/>
          </rPr>
          <t>arita.moroza:</t>
        </r>
        <r>
          <rPr>
            <sz val="8"/>
            <rFont val="Tahoma"/>
            <family val="0"/>
          </rPr>
          <t xml:space="preserve">
izziņa 116=+1210</t>
        </r>
      </text>
    </comment>
  </commentList>
</comments>
</file>

<file path=xl/sharedStrings.xml><?xml version="1.0" encoding="utf-8"?>
<sst xmlns="http://schemas.openxmlformats.org/spreadsheetml/2006/main" count="67" uniqueCount="58">
  <si>
    <t>Jūrmalas pilsētas dome</t>
  </si>
  <si>
    <t>mērķis</t>
  </si>
  <si>
    <t>Izdevumu konta Nr.: Pamatbudžetam LV84PARX0002484572001; Apstādījumu atjaunošanas līdzekļiem LV40PARX0002484575218</t>
  </si>
  <si>
    <t>Nr.</t>
  </si>
  <si>
    <t>Pasākums/ aktivitāte/ projekts/ pakalpojuma nosaukums/ objekts</t>
  </si>
  <si>
    <t>EKK</t>
  </si>
  <si>
    <t>2009.gada budžeta projekts</t>
  </si>
  <si>
    <t>Izpilde</t>
  </si>
  <si>
    <t>Kases atlikums</t>
  </si>
  <si>
    <t>Atlikums</t>
  </si>
  <si>
    <t>Mēnesī</t>
  </si>
  <si>
    <t>Kopā</t>
  </si>
  <si>
    <t>Rezervētā līg.summa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</si>
  <si>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</si>
  <si>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</si>
  <si>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</si>
  <si>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</si>
  <si>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</si>
  <si>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</si>
  <si>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</si>
  <si>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</si>
  <si>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</si>
  <si>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</si>
  <si>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</si>
  <si>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</si>
  <si>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04.220 KOPĀ</t>
  </si>
  <si>
    <t>Atkritumu savākšana mežos un pludmales kārklu joslā</t>
  </si>
  <si>
    <t>"Vetrade" Kauguru, Kaugurciema un Vaivaru rajonā</t>
  </si>
  <si>
    <t>PB</t>
  </si>
  <si>
    <t>"Vetrade" Slokas, Krastaciema, Asaru, Valteru un Mellužu raj.</t>
  </si>
  <si>
    <t>"Jūrmis" Jaunķemeru,Pumpuru, Jaundubultu, Dubultu, Majoru, Dzintaru, Bulduru, Lielupes, Priedaines un Bražuciema</t>
  </si>
  <si>
    <t>"Jūrmis" atkritumu savākšana Dzintaru un Bulduru kāpu mežā uc</t>
  </si>
  <si>
    <t>Nokaltušo un avārijas koku nociršana ielu sarkano līniju joslās un pašvaldības īpašumos</t>
  </si>
  <si>
    <t>"Jūrmalas Mežparki" nikaltušo, avārijas un mazvērīgo koku noc.</t>
  </si>
  <si>
    <t>"JLD" snieglauzes koku zaru savākšana</t>
  </si>
  <si>
    <t>"Vides remonts" avārijas koku nozāģēšana ar un bez pacēlāja</t>
  </si>
  <si>
    <t>AAL</t>
  </si>
  <si>
    <t>Celmu izfrēzēšana ielu sarkano līniju joslās un pašvaldības īpašumos</t>
  </si>
  <si>
    <t>Atvasāju nopļaušana mežos</t>
  </si>
  <si>
    <t>"Vides remonts" atvasāju nopļaušana Pumpuros gar gājēju ceļu</t>
  </si>
  <si>
    <t>Ainavu kopšanas cirtes, stādījumu kopšana, ceļmalu kopšana</t>
  </si>
  <si>
    <t>"Vides remonts" Dzintaru kāpu mežu sakopšana</t>
  </si>
  <si>
    <t>"Vides remonts" ainavu kopšanas cirte Lielupes kāpu mežā</t>
  </si>
  <si>
    <t>"Vides remonts" priežu atādījumu kopšana</t>
  </si>
  <si>
    <t>Ielu apstādījumu koku vainagu kopšana</t>
  </si>
  <si>
    <t>"Vides remonts" Liepu vainagu veidošana Pētera ielā</t>
  </si>
  <si>
    <t>"Vides remonts" apstādījumu sakopšana Dzimtenes ielā</t>
  </si>
  <si>
    <t>"Vides remonts" apstādījumu sakopšana Kaugurciemā</t>
  </si>
  <si>
    <t>Mežu un ielu apstādījumu atjaunošana</t>
  </si>
  <si>
    <t>Citi maksājumi - ciršanas apliecinājumi, meža inventarizācija, zemes situāciju plāni, transformācijas atļaujas u.c.</t>
  </si>
  <si>
    <t>"Latvijas mežu ierīcība" inventarizācija Gulbenes iela 1207</t>
  </si>
  <si>
    <t>"Latvijas Valsts Mērnieks" kadastrālā uzmērīšana Bulduri 004</t>
  </si>
  <si>
    <t>PAMATBUDŽETS</t>
  </si>
  <si>
    <t>KOPĀ</t>
  </si>
  <si>
    <r>
      <t>2009.gada budžeta projekta atšifrējums ______</t>
    </r>
    <r>
      <rPr>
        <b/>
        <u val="single"/>
        <sz val="10"/>
        <rFont val="Times New Roman"/>
        <family val="1"/>
      </rPr>
      <t xml:space="preserve"> Jūrmalas pilsētas mežu un ielu apstādījumu apsaimniekošana</t>
    </r>
    <r>
      <rPr>
        <b/>
        <sz val="10"/>
        <rFont val="Times New Roman"/>
        <family val="1"/>
      </rPr>
      <t>_______</t>
    </r>
  </si>
  <si>
    <r>
      <t>Struktūrvienības nosaukums ___</t>
    </r>
    <r>
      <rPr>
        <b/>
        <u val="single"/>
        <sz val="10"/>
        <rFont val="Times New Roman"/>
        <family val="1"/>
      </rPr>
      <t>__M</t>
    </r>
    <r>
      <rPr>
        <b/>
        <i/>
        <u val="single"/>
        <sz val="10"/>
        <rFont val="Times New Roman"/>
        <family val="1"/>
      </rPr>
      <t>ežu uzraudzības daļa</t>
    </r>
    <r>
      <rPr>
        <sz val="10"/>
        <rFont val="Times New Roman"/>
        <family val="1"/>
      </rPr>
      <t>________</t>
    </r>
  </si>
  <si>
    <t>Samazinājums</t>
  </si>
  <si>
    <t>5.pielikums</t>
  </si>
</sst>
</file>

<file path=xl/styles.xml><?xml version="1.0" encoding="utf-8"?>
<styleSheet xmlns="http://schemas.openxmlformats.org/spreadsheetml/2006/main">
  <numFmts count="5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\ &quot;Ls&quot;_-;\-* #,##0\ &quot;Ls&quot;_-;_-* &quot;-&quot;\ &quot;Ls&quot;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.00\ _L_s_-;\-* #,##0.00\ _L_s_-;_-* &quot;-&quot;??\ _L_s_-;_-@_-"/>
    <numFmt numFmtId="168" formatCode="0.0"/>
    <numFmt numFmtId="169" formatCode="_-* #,##0\ _L_s_-;\-* #,##0\ _L_s_-;_-* &quot;-&quot;??\ _L_s_-;_-@_-"/>
    <numFmt numFmtId="170" formatCode="#,##0_ ;[Red]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26]dddd\,\ yyyy&quot;. gada &quot;d\.\ mmmm"/>
    <numFmt numFmtId="176" formatCode="#,##0.0"/>
    <numFmt numFmtId="177" formatCode="#,##0.000"/>
    <numFmt numFmtId="178" formatCode="#,##0.0000"/>
    <numFmt numFmtId="179" formatCode="#,##0_ ;\-#,##0\ "/>
    <numFmt numFmtId="180" formatCode="#,##0.0;[Red]\-#,##0.0"/>
    <numFmt numFmtId="181" formatCode="#,##0.000;[Red]\-#,##0.000"/>
    <numFmt numFmtId="182" formatCode="#,##0.0000;[Red]\-#,##0.0000"/>
    <numFmt numFmtId="183" formatCode="_-&quot;Ls&quot;\ * #,##0.000_-;\-&quot;Ls&quot;\ * #,##0.000_-;_-&quot;Ls&quot;\ * &quot;-&quot;??_-;_-@_-"/>
    <numFmt numFmtId="184" formatCode="_-&quot;Ls&quot;\ * #,##0.0_-;\-&quot;Ls&quot;\ * #,##0.0_-;_-&quot;Ls&quot;\ * &quot;-&quot;??_-;_-@_-"/>
    <numFmt numFmtId="185" formatCode="_-&quot;Ls&quot;\ * #,##0_-;\-&quot;Ls&quot;\ * #,##0_-;_-&quot;Ls&quot;\ * &quot;-&quot;??_-;_-@_-"/>
    <numFmt numFmtId="186" formatCode="0.000"/>
    <numFmt numFmtId="187" formatCode="0.0000"/>
    <numFmt numFmtId="188" formatCode="_-* #,##0.000_-;\-* #,##0.000_-;_-* &quot;-&quot;??_-;_-@_-"/>
    <numFmt numFmtId="189" formatCode="_-* #,##0.0000_-;\-* #,##0.0000_-;_-* &quot;-&quot;??_-;_-@_-"/>
    <numFmt numFmtId="190" formatCode="_-* #,##0.0_-;\-* #,##0.0_-;_-* &quot;-&quot;??_-;_-@_-"/>
    <numFmt numFmtId="191" formatCode="_-* #,##0_-;\-* #,##0_-;_-* &quot;-&quot;??_-;_-@_-"/>
    <numFmt numFmtId="192" formatCode="&quot;Ls&quot;\ #,##0_);\(&quot;Ls&quot;\ #,##0\)"/>
    <numFmt numFmtId="193" formatCode="&quot;Ls&quot;\ #,##0_);[Red]\(&quot;Ls&quot;\ #,##0\)"/>
    <numFmt numFmtId="194" formatCode="&quot;Ls&quot;\ #,##0.00_);\(&quot;Ls&quot;\ #,##0.00\)"/>
    <numFmt numFmtId="195" formatCode="&quot;Ls&quot;\ #,##0.00_);[Red]\(&quot;Ls&quot;\ #,##0.00\)"/>
    <numFmt numFmtId="196" formatCode="_(&quot;Ls&quot;\ * #,##0_);_(&quot;Ls&quot;\ * \(#,##0\);_(&quot;Ls&quot;\ * &quot;-&quot;_);_(@_)"/>
    <numFmt numFmtId="197" formatCode="_(* #,##0_);_(* \(#,##0\);_(* &quot;-&quot;_);_(@_)"/>
    <numFmt numFmtId="198" formatCode="_(&quot;Ls&quot;\ * #,##0.00_);_(&quot;Ls&quot;\ * \(#,##0.00\);_(&quot;Ls&quot;\ * &quot;-&quot;??_);_(@_)"/>
    <numFmt numFmtId="199" formatCode="_(* #,##0.00_);_(* \(#,##0.00\);_(* &quot;-&quot;??_);_(@_)"/>
    <numFmt numFmtId="200" formatCode="#,##0\ &quot;Ls&quot;;\-#,##0\ &quot;Ls&quot;"/>
    <numFmt numFmtId="201" formatCode="#,##0\ &quot;Ls&quot;;[Red]\-#,##0\ &quot;Ls&quot;"/>
    <numFmt numFmtId="202" formatCode="#,##0.00\ &quot;Ls&quot;;\-#,##0.00\ &quot;Ls&quot;"/>
    <numFmt numFmtId="203" formatCode="#,##0.00\ &quot;Ls&quot;;[Red]\-#,##0.00\ &quot;Ls&quot;"/>
    <numFmt numFmtId="204" formatCode="0.0000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%"/>
    <numFmt numFmtId="211" formatCode="mmm/yyyy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5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8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right" vertical="center"/>
      <protection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1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center" vertical="center" wrapText="1"/>
    </xf>
    <xf numFmtId="38" fontId="24" fillId="0" borderId="11" xfId="0" applyNumberFormat="1" applyFont="1" applyBorder="1" applyAlignment="1">
      <alignment horizontal="center" vertical="center" wrapText="1"/>
    </xf>
    <xf numFmtId="38" fontId="24" fillId="0" borderId="11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right" vertical="center" wrapText="1"/>
    </xf>
    <xf numFmtId="38" fontId="28" fillId="0" borderId="11" xfId="0" applyNumberFormat="1" applyFont="1" applyBorder="1" applyAlignment="1">
      <alignment horizontal="right" vertical="center" wrapText="1"/>
    </xf>
    <xf numFmtId="38" fontId="24" fillId="0" borderId="11" xfId="0" applyNumberFormat="1" applyFont="1" applyBorder="1" applyAlignment="1">
      <alignment horizontal="left" vertical="center" wrapText="1"/>
    </xf>
    <xf numFmtId="0" fontId="24" fillId="0" borderId="11" xfId="0" applyFont="1" applyBorder="1" applyAlignment="1">
      <alignment vertical="center" wrapText="1"/>
    </xf>
    <xf numFmtId="38" fontId="28" fillId="0" borderId="14" xfId="0" applyNumberFormat="1" applyFont="1" applyBorder="1" applyAlignment="1">
      <alignment horizontal="right" vertical="center" wrapText="1"/>
    </xf>
    <xf numFmtId="40" fontId="24" fillId="0" borderId="11" xfId="0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right" vertical="center" wrapText="1"/>
    </xf>
    <xf numFmtId="38" fontId="28" fillId="0" borderId="11" xfId="0" applyNumberFormat="1" applyFont="1" applyFill="1" applyBorder="1" applyAlignment="1">
      <alignment horizontal="right" vertical="center" wrapText="1"/>
    </xf>
    <xf numFmtId="38" fontId="24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Alignment="1">
      <alignment horizontal="right"/>
    </xf>
    <xf numFmtId="38" fontId="28" fillId="0" borderId="15" xfId="0" applyNumberFormat="1" applyFont="1" applyBorder="1" applyAlignment="1">
      <alignment/>
    </xf>
    <xf numFmtId="38" fontId="28" fillId="0" borderId="16" xfId="0" applyNumberFormat="1" applyFont="1" applyBorder="1" applyAlignment="1">
      <alignment/>
    </xf>
    <xf numFmtId="0" fontId="28" fillId="0" borderId="17" xfId="0" applyFont="1" applyBorder="1" applyAlignment="1">
      <alignment/>
    </xf>
    <xf numFmtId="38" fontId="24" fillId="0" borderId="0" xfId="0" applyNumberFormat="1" applyFont="1" applyBorder="1" applyAlignment="1">
      <alignment/>
    </xf>
    <xf numFmtId="0" fontId="28" fillId="0" borderId="18" xfId="0" applyFont="1" applyBorder="1" applyAlignment="1">
      <alignment/>
    </xf>
    <xf numFmtId="38" fontId="24" fillId="0" borderId="0" xfId="0" applyNumberFormat="1" applyFont="1" applyAlignment="1">
      <alignment/>
    </xf>
    <xf numFmtId="0" fontId="24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8" fontId="24" fillId="0" borderId="11" xfId="0" applyNumberFormat="1" applyFont="1" applyBorder="1" applyAlignment="1">
      <alignment vertical="center" wrapText="1"/>
    </xf>
    <xf numFmtId="38" fontId="24" fillId="0" borderId="11" xfId="0" applyNumberFormat="1" applyFont="1" applyFill="1" applyBorder="1" applyAlignment="1">
      <alignment vertical="center" wrapText="1"/>
    </xf>
    <xf numFmtId="1" fontId="24" fillId="0" borderId="11" xfId="0" applyNumberFormat="1" applyFont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40" fontId="24" fillId="0" borderId="11" xfId="0" applyNumberFormat="1" applyFont="1" applyFill="1" applyBorder="1" applyAlignment="1">
      <alignment horizontal="right" vertical="center" wrapText="1"/>
    </xf>
    <xf numFmtId="38" fontId="28" fillId="0" borderId="14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horizontal="left" vertical="center" wrapText="1"/>
    </xf>
    <xf numFmtId="1" fontId="24" fillId="0" borderId="11" xfId="0" applyNumberFormat="1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vertical="center" wrapText="1"/>
    </xf>
    <xf numFmtId="38" fontId="34" fillId="0" borderId="11" xfId="53" applyNumberFormat="1" applyFont="1" applyBorder="1" applyAlignment="1">
      <alignment horizontal="right" vertical="center" wrapText="1"/>
    </xf>
    <xf numFmtId="0" fontId="25" fillId="0" borderId="0" xfId="0" applyFont="1" applyAlignment="1" applyProtection="1">
      <alignment vertical="center"/>
      <protection locked="0"/>
    </xf>
    <xf numFmtId="1" fontId="28" fillId="0" borderId="11" xfId="0" applyNumberFormat="1" applyFont="1" applyFill="1" applyBorder="1" applyAlignment="1">
      <alignment horizontal="right" vertical="center" wrapText="1"/>
    </xf>
    <xf numFmtId="38" fontId="31" fillId="0" borderId="11" xfId="53" applyNumberFormat="1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38" fontId="34" fillId="0" borderId="12" xfId="53" applyNumberFormat="1" applyFont="1" applyBorder="1" applyAlignment="1">
      <alignment horizontal="right" vertical="center" wrapText="1"/>
    </xf>
    <xf numFmtId="38" fontId="34" fillId="0" borderId="13" xfId="53" applyNumberFormat="1" applyFont="1" applyBorder="1" applyAlignment="1">
      <alignment horizontal="right" vertical="center" wrapText="1"/>
    </xf>
    <xf numFmtId="38" fontId="24" fillId="0" borderId="12" xfId="0" applyNumberFormat="1" applyFont="1" applyBorder="1" applyAlignment="1">
      <alignment horizontal="center" vertical="center" wrapText="1"/>
    </xf>
    <xf numFmtId="38" fontId="24" fillId="0" borderId="19" xfId="0" applyNumberFormat="1" applyFont="1" applyBorder="1" applyAlignment="1">
      <alignment horizontal="center" vertical="center" wrapText="1"/>
    </xf>
    <xf numFmtId="38" fontId="24" fillId="0" borderId="13" xfId="0" applyNumberFormat="1" applyFont="1" applyBorder="1" applyAlignment="1">
      <alignment horizontal="center" vertical="center" wrapText="1"/>
    </xf>
    <xf numFmtId="38" fontId="24" fillId="0" borderId="14" xfId="0" applyNumberFormat="1" applyFont="1" applyBorder="1" applyAlignment="1">
      <alignment horizontal="center" vertical="center" wrapText="1"/>
    </xf>
    <xf numFmtId="38" fontId="24" fillId="0" borderId="20" xfId="0" applyNumberFormat="1" applyFont="1" applyBorder="1" applyAlignment="1">
      <alignment horizontal="center" vertical="center" wrapText="1"/>
    </xf>
    <xf numFmtId="38" fontId="24" fillId="0" borderId="21" xfId="0" applyNumberFormat="1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workbookViewId="0" topLeftCell="A1">
      <selection activeCell="W10" sqref="W10"/>
    </sheetView>
  </sheetViews>
  <sheetFormatPr defaultColWidth="9.140625" defaultRowHeight="12.75"/>
  <cols>
    <col min="1" max="1" width="4.00390625" style="11" customWidth="1"/>
    <col min="2" max="2" width="51.421875" style="11" bestFit="1" customWidth="1"/>
    <col min="3" max="3" width="6.7109375" style="11" bestFit="1" customWidth="1"/>
    <col min="4" max="4" width="8.28125" style="11" customWidth="1"/>
    <col min="5" max="5" width="4.00390625" style="40" hidden="1" customWidth="1"/>
    <col min="6" max="7" width="5.421875" style="40" hidden="1" customWidth="1"/>
    <col min="8" max="9" width="6.421875" style="40" hidden="1" customWidth="1"/>
    <col min="10" max="10" width="5.421875" style="40" hidden="1" customWidth="1"/>
    <col min="11" max="11" width="6.421875" style="40" hidden="1" customWidth="1"/>
    <col min="12" max="12" width="7.00390625" style="40" hidden="1" customWidth="1"/>
    <col min="13" max="13" width="2.8515625" style="40" hidden="1" customWidth="1"/>
    <col min="14" max="14" width="2.28125" style="40" hidden="1" customWidth="1"/>
    <col min="15" max="15" width="2.8515625" style="40" hidden="1" customWidth="1"/>
    <col min="16" max="16" width="3.421875" style="40" hidden="1" customWidth="1"/>
    <col min="17" max="17" width="6.421875" style="40" bestFit="1" customWidth="1"/>
    <col min="18" max="18" width="8.28125" style="40" customWidth="1"/>
    <col min="19" max="19" width="7.421875" style="40" customWidth="1"/>
    <col min="20" max="20" width="8.421875" style="40" bestFit="1" customWidth="1"/>
    <col min="21" max="21" width="12.00390625" style="40" customWidth="1"/>
    <col min="22" max="22" width="10.140625" style="11" bestFit="1" customWidth="1"/>
    <col min="23" max="16384" width="9.140625" style="11" customWidth="1"/>
  </cols>
  <sheetData>
    <row r="1" spans="5:21" s="1" customFormat="1" ht="15.7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52" t="s">
        <v>57</v>
      </c>
      <c r="U1" s="3"/>
    </row>
    <row r="2" spans="1:21" s="1" customFormat="1" ht="12.75">
      <c r="A2" s="1" t="s">
        <v>0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5:21" s="6" customFormat="1" ht="7.5"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12.75">
      <c r="A4" s="8" t="s">
        <v>54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3:21" s="6" customFormat="1" ht="7.5">
      <c r="C5" s="9" t="s">
        <v>1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1" customFormat="1" ht="13.5">
      <c r="A6" s="1" t="s">
        <v>55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s="1" customFormat="1" ht="12.75">
      <c r="A7" s="1" t="s">
        <v>2</v>
      </c>
      <c r="C7" s="10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3" ht="15" customHeight="1">
      <c r="A8" s="70" t="s">
        <v>3</v>
      </c>
      <c r="B8" s="73" t="s">
        <v>4</v>
      </c>
      <c r="C8" s="70" t="s">
        <v>5</v>
      </c>
      <c r="D8" s="62" t="s">
        <v>6</v>
      </c>
      <c r="E8" s="65" t="s">
        <v>7</v>
      </c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7"/>
      <c r="S8" s="62" t="s">
        <v>8</v>
      </c>
      <c r="T8" s="62" t="s">
        <v>9</v>
      </c>
      <c r="U8" s="55" t="s">
        <v>56</v>
      </c>
      <c r="V8" s="1"/>
      <c r="W8" s="1"/>
    </row>
    <row r="9" spans="1:23" ht="15" customHeight="1">
      <c r="A9" s="71"/>
      <c r="B9" s="74"/>
      <c r="C9" s="71"/>
      <c r="D9" s="63"/>
      <c r="E9" s="65" t="s">
        <v>10</v>
      </c>
      <c r="F9" s="66"/>
      <c r="G9" s="66"/>
      <c r="H9" s="66"/>
      <c r="I9" s="66"/>
      <c r="J9" s="66"/>
      <c r="K9" s="66"/>
      <c r="L9" s="66"/>
      <c r="M9" s="66"/>
      <c r="N9" s="66"/>
      <c r="O9" s="66"/>
      <c r="P9" s="67"/>
      <c r="Q9" s="62" t="s">
        <v>11</v>
      </c>
      <c r="R9" s="62" t="s">
        <v>12</v>
      </c>
      <c r="S9" s="63"/>
      <c r="T9" s="63"/>
      <c r="U9" s="56"/>
      <c r="V9" s="12"/>
      <c r="W9" s="12"/>
    </row>
    <row r="10" spans="1:23" ht="15.75">
      <c r="A10" s="72"/>
      <c r="B10" s="75"/>
      <c r="C10" s="72"/>
      <c r="D10" s="64"/>
      <c r="E10" s="13" t="s">
        <v>13</v>
      </c>
      <c r="F10" s="13" t="s">
        <v>14</v>
      </c>
      <c r="G10" s="13" t="s">
        <v>15</v>
      </c>
      <c r="H10" s="13" t="s">
        <v>16</v>
      </c>
      <c r="I10" s="13" t="s">
        <v>17</v>
      </c>
      <c r="J10" s="13" t="s">
        <v>18</v>
      </c>
      <c r="K10" s="13" t="s">
        <v>19</v>
      </c>
      <c r="L10" s="13" t="s">
        <v>20</v>
      </c>
      <c r="M10" s="13" t="s">
        <v>21</v>
      </c>
      <c r="N10" s="13" t="s">
        <v>22</v>
      </c>
      <c r="O10" s="13" t="s">
        <v>23</v>
      </c>
      <c r="P10" s="13" t="s">
        <v>24</v>
      </c>
      <c r="Q10" s="64"/>
      <c r="R10" s="64"/>
      <c r="S10" s="64"/>
      <c r="T10" s="64"/>
      <c r="U10" s="57"/>
      <c r="V10" s="12"/>
      <c r="W10" s="12"/>
    </row>
    <row r="11" spans="1:23" ht="15" customHeight="1">
      <c r="A11" s="68" t="s">
        <v>25</v>
      </c>
      <c r="B11" s="69"/>
      <c r="C11" s="29"/>
      <c r="D11" s="29">
        <f aca="true" t="shared" si="0" ref="D11:U11">SUM(D12,D18,D24,D27,D30,D35,D40,D43)</f>
        <v>102410</v>
      </c>
      <c r="E11" s="29">
        <f t="shared" si="0"/>
        <v>673.73</v>
      </c>
      <c r="F11" s="29">
        <f t="shared" si="0"/>
        <v>3600.1</v>
      </c>
      <c r="G11" s="29">
        <f t="shared" si="0"/>
        <v>4542.16</v>
      </c>
      <c r="H11" s="29">
        <f t="shared" si="0"/>
        <v>17562.9</v>
      </c>
      <c r="I11" s="29">
        <f t="shared" si="0"/>
        <v>15540.28</v>
      </c>
      <c r="J11" s="29">
        <f t="shared" si="0"/>
        <v>4016.43</v>
      </c>
      <c r="K11" s="29">
        <f t="shared" si="0"/>
        <v>10899.25</v>
      </c>
      <c r="L11" s="29">
        <f t="shared" si="0"/>
        <v>0</v>
      </c>
      <c r="M11" s="29">
        <f t="shared" si="0"/>
        <v>0</v>
      </c>
      <c r="N11" s="29">
        <f t="shared" si="0"/>
        <v>0</v>
      </c>
      <c r="O11" s="29">
        <f t="shared" si="0"/>
        <v>0</v>
      </c>
      <c r="P11" s="29">
        <f t="shared" si="0"/>
        <v>0</v>
      </c>
      <c r="Q11" s="29">
        <f t="shared" si="0"/>
        <v>56834.85</v>
      </c>
      <c r="R11" s="29">
        <f t="shared" si="0"/>
        <v>67100.54</v>
      </c>
      <c r="S11" s="29">
        <f t="shared" si="0"/>
        <v>45575.15</v>
      </c>
      <c r="T11" s="29">
        <f t="shared" si="0"/>
        <v>-21525.389999999992</v>
      </c>
      <c r="U11" s="53">
        <f t="shared" si="0"/>
        <v>-7000</v>
      </c>
      <c r="V11" s="1"/>
      <c r="W11" s="1"/>
    </row>
    <row r="12" spans="1:23" ht="25.5">
      <c r="A12" s="45">
        <v>1</v>
      </c>
      <c r="B12" s="27" t="s">
        <v>26</v>
      </c>
      <c r="C12" s="28">
        <v>2244</v>
      </c>
      <c r="D12" s="29">
        <f>52520+1210</f>
        <v>53730</v>
      </c>
      <c r="E12" s="30">
        <f>SUM(E13:E17)</f>
        <v>0</v>
      </c>
      <c r="F12" s="30">
        <f aca="true" t="shared" si="1" ref="F12:O12">SUM(F13:F17)</f>
        <v>3510.56</v>
      </c>
      <c r="G12" s="30">
        <f t="shared" si="1"/>
        <v>3510.56</v>
      </c>
      <c r="H12" s="30">
        <f t="shared" si="1"/>
        <v>6979.77</v>
      </c>
      <c r="I12" s="30">
        <f t="shared" si="1"/>
        <v>5652.0599999999995</v>
      </c>
      <c r="J12" s="30">
        <f t="shared" si="1"/>
        <v>0</v>
      </c>
      <c r="K12" s="30">
        <f t="shared" si="1"/>
        <v>9079.66</v>
      </c>
      <c r="L12" s="30">
        <f t="shared" si="1"/>
        <v>0</v>
      </c>
      <c r="M12" s="30">
        <f t="shared" si="1"/>
        <v>0</v>
      </c>
      <c r="N12" s="30">
        <f t="shared" si="1"/>
        <v>0</v>
      </c>
      <c r="O12" s="30">
        <f t="shared" si="1"/>
        <v>0</v>
      </c>
      <c r="P12" s="30">
        <f>SUM(P13:P17)</f>
        <v>0</v>
      </c>
      <c r="Q12" s="29">
        <f>SUM(E12:P12)</f>
        <v>28732.609999999997</v>
      </c>
      <c r="R12" s="30">
        <f>SUM(R13:R17)</f>
        <v>53615.95</v>
      </c>
      <c r="S12" s="30">
        <f>SUM(D12:D12)-SUM(Q12:Q12)</f>
        <v>24997.390000000003</v>
      </c>
      <c r="T12" s="30">
        <f>S12-SUM(R12)</f>
        <v>-28618.559999999994</v>
      </c>
      <c r="U12" s="30">
        <f>SUM(U13:U16)</f>
        <v>0</v>
      </c>
      <c r="V12" s="1"/>
      <c r="W12" s="1"/>
    </row>
    <row r="13" spans="1:23" ht="15.75">
      <c r="A13" s="15"/>
      <c r="B13" s="16" t="s">
        <v>27</v>
      </c>
      <c r="C13" s="17" t="s">
        <v>28</v>
      </c>
      <c r="D13" s="18"/>
      <c r="E13" s="14"/>
      <c r="F13" s="14">
        <f>2035.46</f>
        <v>2035.46</v>
      </c>
      <c r="G13" s="14">
        <f>2035.46</f>
        <v>2035.46</v>
      </c>
      <c r="H13" s="14">
        <f>5504.67</f>
        <v>5504.67</v>
      </c>
      <c r="I13" s="14">
        <v>1650</v>
      </c>
      <c r="J13" s="14"/>
      <c r="K13" s="14">
        <f>1650+1650</f>
        <v>3300</v>
      </c>
      <c r="L13" s="14"/>
      <c r="M13" s="14"/>
      <c r="N13" s="14"/>
      <c r="O13" s="14"/>
      <c r="P13" s="14"/>
      <c r="Q13" s="14">
        <f aca="true" t="shared" si="2" ref="Q13:Q26">SUM(E13:P13)</f>
        <v>14525.59</v>
      </c>
      <c r="R13" s="14">
        <f>20740.13-Q13</f>
        <v>6214.540000000001</v>
      </c>
      <c r="S13" s="14"/>
      <c r="T13" s="14"/>
      <c r="U13" s="51"/>
      <c r="V13" s="1"/>
      <c r="W13" s="1"/>
    </row>
    <row r="14" spans="1:23" ht="25.5">
      <c r="A14" s="15"/>
      <c r="B14" s="16" t="s">
        <v>29</v>
      </c>
      <c r="C14" s="17"/>
      <c r="D14" s="18"/>
      <c r="E14" s="14"/>
      <c r="F14" s="14"/>
      <c r="G14" s="14"/>
      <c r="H14" s="14"/>
      <c r="I14" s="14">
        <f>1758.6</f>
        <v>1758.6</v>
      </c>
      <c r="J14" s="14"/>
      <c r="K14" s="14">
        <v>1758.6</v>
      </c>
      <c r="L14" s="14"/>
      <c r="M14" s="14"/>
      <c r="N14" s="14"/>
      <c r="O14" s="14"/>
      <c r="P14" s="14"/>
      <c r="Q14" s="14">
        <f t="shared" si="2"/>
        <v>3517.2</v>
      </c>
      <c r="R14" s="14">
        <f>1715*4-Q14</f>
        <v>3342.8</v>
      </c>
      <c r="S14" s="14"/>
      <c r="T14" s="14"/>
      <c r="U14" s="51"/>
      <c r="V14" s="1"/>
      <c r="W14" s="1"/>
    </row>
    <row r="15" spans="1:23" ht="38.25">
      <c r="A15" s="15"/>
      <c r="B15" s="16" t="s">
        <v>30</v>
      </c>
      <c r="C15" s="17"/>
      <c r="D15" s="18"/>
      <c r="E15" s="14"/>
      <c r="F15" s="14">
        <f>1475.1</f>
        <v>1475.1</v>
      </c>
      <c r="G15" s="14">
        <v>1475.1</v>
      </c>
      <c r="H15" s="14">
        <v>1475.1</v>
      </c>
      <c r="I15" s="14">
        <v>2243.46</v>
      </c>
      <c r="J15" s="14"/>
      <c r="K15" s="14">
        <f>1475.1+2243.46</f>
        <v>3718.56</v>
      </c>
      <c r="L15" s="14"/>
      <c r="M15" s="14"/>
      <c r="N15" s="14"/>
      <c r="O15" s="14"/>
      <c r="P15" s="14"/>
      <c r="Q15" s="14">
        <f t="shared" si="2"/>
        <v>10387.32</v>
      </c>
      <c r="R15" s="14">
        <f>4867.13*11-Q15</f>
        <v>43151.11</v>
      </c>
      <c r="S15" s="14"/>
      <c r="T15" s="14"/>
      <c r="U15" s="51"/>
      <c r="V15" s="1"/>
      <c r="W15" s="1"/>
    </row>
    <row r="16" spans="1:23" ht="25.5">
      <c r="A16" s="15"/>
      <c r="B16" s="16" t="s">
        <v>31</v>
      </c>
      <c r="C16" s="17"/>
      <c r="D16" s="18"/>
      <c r="E16" s="14"/>
      <c r="F16" s="14"/>
      <c r="G16" s="14"/>
      <c r="H16" s="14"/>
      <c r="I16" s="14"/>
      <c r="J16" s="14"/>
      <c r="K16" s="14">
        <v>302.5</v>
      </c>
      <c r="L16" s="14"/>
      <c r="M16" s="14"/>
      <c r="N16" s="14"/>
      <c r="O16" s="14"/>
      <c r="P16" s="14"/>
      <c r="Q16" s="14">
        <f t="shared" si="2"/>
        <v>302.5</v>
      </c>
      <c r="R16" s="14">
        <f>1210-Q16</f>
        <v>907.5</v>
      </c>
      <c r="S16" s="14"/>
      <c r="T16" s="14"/>
      <c r="U16" s="54"/>
      <c r="V16" s="1"/>
      <c r="W16" s="1"/>
    </row>
    <row r="17" spans="1:21" s="1" customFormat="1" ht="12.75">
      <c r="A17" s="20"/>
      <c r="B17" s="16"/>
      <c r="C17" s="17"/>
      <c r="D17" s="18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3" ht="25.5">
      <c r="A18" s="26">
        <v>2</v>
      </c>
      <c r="B18" s="27" t="s">
        <v>32</v>
      </c>
      <c r="C18" s="28">
        <v>2244</v>
      </c>
      <c r="D18" s="29">
        <f>SUM(D19:D23)</f>
        <v>32400</v>
      </c>
      <c r="E18" s="30">
        <f aca="true" t="shared" si="3" ref="E18:P18">SUM(E19:E23)</f>
        <v>673.73</v>
      </c>
      <c r="F18" s="30">
        <f t="shared" si="3"/>
        <v>0</v>
      </c>
      <c r="G18" s="30">
        <f t="shared" si="3"/>
        <v>883.98</v>
      </c>
      <c r="H18" s="30">
        <f t="shared" si="3"/>
        <v>10286.68</v>
      </c>
      <c r="I18" s="30">
        <f t="shared" si="3"/>
        <v>9072.1</v>
      </c>
      <c r="J18" s="30">
        <f t="shared" si="3"/>
        <v>4016.43</v>
      </c>
      <c r="K18" s="30">
        <f t="shared" si="3"/>
        <v>629.59</v>
      </c>
      <c r="L18" s="30">
        <f t="shared" si="3"/>
        <v>0</v>
      </c>
      <c r="M18" s="30">
        <f>SUM(M19:M23)</f>
        <v>0</v>
      </c>
      <c r="N18" s="30">
        <f t="shared" si="3"/>
        <v>0</v>
      </c>
      <c r="O18" s="30">
        <f t="shared" si="3"/>
        <v>0</v>
      </c>
      <c r="P18" s="30">
        <f t="shared" si="3"/>
        <v>0</v>
      </c>
      <c r="Q18" s="29">
        <f>SUM(E18:P18)</f>
        <v>25562.51</v>
      </c>
      <c r="R18" s="30">
        <f>SUM(R19:R23)</f>
        <v>12417.840000000002</v>
      </c>
      <c r="S18" s="30">
        <f>SUM(D18:D18)-SUM(Q18:Q18)</f>
        <v>6837.490000000002</v>
      </c>
      <c r="T18" s="46">
        <f>S18-SUM(R18)</f>
        <v>-5580.35</v>
      </c>
      <c r="U18" s="30"/>
      <c r="V18" s="1"/>
      <c r="W18" s="1"/>
    </row>
    <row r="19" spans="1:21" s="1" customFormat="1" ht="25.5">
      <c r="A19" s="16"/>
      <c r="B19" s="16" t="s">
        <v>33</v>
      </c>
      <c r="C19" s="17" t="s">
        <v>28</v>
      </c>
      <c r="D19" s="21">
        <f>10962+10000</f>
        <v>20962</v>
      </c>
      <c r="E19" s="14">
        <v>673.73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>
        <f>SUM(E19:P19)</f>
        <v>673.73</v>
      </c>
      <c r="R19" s="14">
        <v>0</v>
      </c>
      <c r="S19" s="22">
        <f>D19-SUM(Q19:Q21)</f>
        <v>629.0800000000017</v>
      </c>
      <c r="T19" s="14">
        <f>S19-SUM(R19:R21)</f>
        <v>-1990.7199999999993</v>
      </c>
      <c r="U19" s="14"/>
    </row>
    <row r="20" spans="1:21" s="1" customFormat="1" ht="12.75">
      <c r="A20" s="16"/>
      <c r="B20" s="16" t="s">
        <v>34</v>
      </c>
      <c r="C20" s="17"/>
      <c r="D20" s="21"/>
      <c r="E20" s="14"/>
      <c r="F20" s="14"/>
      <c r="G20" s="14"/>
      <c r="H20" s="14">
        <f>5462.56</f>
        <v>5462.56</v>
      </c>
      <c r="I20" s="14"/>
      <c r="J20" s="14">
        <f>4016.43</f>
        <v>4016.43</v>
      </c>
      <c r="K20" s="14"/>
      <c r="L20" s="14"/>
      <c r="M20" s="14"/>
      <c r="N20" s="14"/>
      <c r="O20" s="14"/>
      <c r="P20" s="14"/>
      <c r="Q20" s="14">
        <f>SUM(E20:P20)</f>
        <v>9478.99</v>
      </c>
      <c r="R20" s="14">
        <f>12098.79-Q20</f>
        <v>2619.800000000001</v>
      </c>
      <c r="S20" s="14"/>
      <c r="T20" s="14"/>
      <c r="U20" s="51"/>
    </row>
    <row r="21" spans="1:21" s="1" customFormat="1" ht="12.75">
      <c r="A21" s="55"/>
      <c r="B21" s="58" t="s">
        <v>35</v>
      </c>
      <c r="C21" s="17"/>
      <c r="D21" s="21"/>
      <c r="E21" s="14"/>
      <c r="F21" s="14"/>
      <c r="G21" s="14"/>
      <c r="H21" s="14">
        <f>4824.12</f>
        <v>4824.12</v>
      </c>
      <c r="I21" s="14">
        <f>8391.98-3035.9</f>
        <v>5356.08</v>
      </c>
      <c r="J21" s="14"/>
      <c r="K21" s="14"/>
      <c r="L21" s="14"/>
      <c r="M21" s="14"/>
      <c r="N21" s="14"/>
      <c r="O21" s="14"/>
      <c r="P21" s="14"/>
      <c r="Q21" s="14">
        <f t="shared" si="2"/>
        <v>10180.2</v>
      </c>
      <c r="R21" s="14"/>
      <c r="S21" s="14"/>
      <c r="T21" s="14"/>
      <c r="U21" s="60"/>
    </row>
    <row r="22" spans="1:21" s="1" customFormat="1" ht="12.75">
      <c r="A22" s="57"/>
      <c r="B22" s="59"/>
      <c r="C22" s="28" t="s">
        <v>36</v>
      </c>
      <c r="D22" s="47">
        <v>11438</v>
      </c>
      <c r="E22" s="14"/>
      <c r="F22" s="14"/>
      <c r="G22" s="14">
        <f>883.98</f>
        <v>883.98</v>
      </c>
      <c r="H22" s="14"/>
      <c r="I22" s="14">
        <f>680.12+3035.9</f>
        <v>3716.02</v>
      </c>
      <c r="J22" s="14"/>
      <c r="K22" s="14">
        <f>629.59</f>
        <v>629.59</v>
      </c>
      <c r="L22" s="14"/>
      <c r="M22" s="14"/>
      <c r="N22" s="14"/>
      <c r="O22" s="14"/>
      <c r="P22" s="14"/>
      <c r="Q22" s="14">
        <f>SUM(E22:P22)</f>
        <v>5229.59</v>
      </c>
      <c r="R22" s="14">
        <f>25207.83-SUM(Q21:Q22)</f>
        <v>9798.04</v>
      </c>
      <c r="S22" s="14">
        <f>D22-SUM(Q22:Q23)</f>
        <v>6208.41</v>
      </c>
      <c r="T22" s="14">
        <f>S22-SUM(R22:R23)</f>
        <v>-3589.630000000001</v>
      </c>
      <c r="U22" s="61"/>
    </row>
    <row r="23" spans="1:21" s="1" customFormat="1" ht="12.75">
      <c r="A23" s="16"/>
      <c r="B23" s="16"/>
      <c r="C23" s="17"/>
      <c r="D23" s="2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>
        <f t="shared" si="2"/>
        <v>0</v>
      </c>
      <c r="R23" s="14"/>
      <c r="S23" s="14"/>
      <c r="T23" s="14"/>
      <c r="U23" s="14"/>
    </row>
    <row r="24" spans="1:23" ht="25.5">
      <c r="A24" s="26">
        <v>3</v>
      </c>
      <c r="B24" s="48" t="s">
        <v>37</v>
      </c>
      <c r="C24" s="28">
        <v>2244</v>
      </c>
      <c r="D24" s="29">
        <v>1000</v>
      </c>
      <c r="E24" s="30">
        <f aca="true" t="shared" si="4" ref="E24:P24">SUM(E25:E26)</f>
        <v>0</v>
      </c>
      <c r="F24" s="30">
        <f t="shared" si="4"/>
        <v>0</v>
      </c>
      <c r="G24" s="30">
        <f t="shared" si="4"/>
        <v>0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>
        <f t="shared" si="4"/>
        <v>0</v>
      </c>
      <c r="L24" s="30">
        <f t="shared" si="4"/>
        <v>0</v>
      </c>
      <c r="M24" s="30">
        <f t="shared" si="4"/>
        <v>0</v>
      </c>
      <c r="N24" s="30">
        <f t="shared" si="4"/>
        <v>0</v>
      </c>
      <c r="O24" s="30">
        <f t="shared" si="4"/>
        <v>0</v>
      </c>
      <c r="P24" s="30">
        <f t="shared" si="4"/>
        <v>0</v>
      </c>
      <c r="Q24" s="29">
        <f>SUM(E24:P24)</f>
        <v>0</v>
      </c>
      <c r="R24" s="30">
        <f>SUM(R25:R26)</f>
        <v>0</v>
      </c>
      <c r="S24" s="30">
        <f>SUM(D24:D24)-SUM(Q24:Q24)</f>
        <v>1000</v>
      </c>
      <c r="T24" s="30">
        <f>S24-SUM(R24)</f>
        <v>1000</v>
      </c>
      <c r="U24" s="30"/>
      <c r="V24" s="1"/>
      <c r="W24" s="1"/>
    </row>
    <row r="25" spans="1:23" ht="15.75">
      <c r="A25" s="24"/>
      <c r="B25" s="25"/>
      <c r="C25" s="17" t="s">
        <v>28</v>
      </c>
      <c r="D25" s="18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>
        <f>SUM(E25:P25)</f>
        <v>0</v>
      </c>
      <c r="R25" s="14"/>
      <c r="S25" s="14"/>
      <c r="T25" s="14"/>
      <c r="U25" s="14"/>
      <c r="V25" s="1"/>
      <c r="W25" s="1"/>
    </row>
    <row r="26" spans="1:21" s="1" customFormat="1" ht="12.75">
      <c r="A26" s="20"/>
      <c r="B26" s="25"/>
      <c r="C26" s="17"/>
      <c r="D26" s="18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>
        <f t="shared" si="2"/>
        <v>0</v>
      </c>
      <c r="R26" s="14"/>
      <c r="S26" s="14"/>
      <c r="T26" s="14"/>
      <c r="U26" s="42"/>
    </row>
    <row r="27" spans="1:23" ht="15.75">
      <c r="A27" s="26">
        <v>4</v>
      </c>
      <c r="B27" s="27" t="s">
        <v>38</v>
      </c>
      <c r="C27" s="28">
        <v>2244</v>
      </c>
      <c r="D27" s="29">
        <f>SUM(D28:D29)</f>
        <v>10000</v>
      </c>
      <c r="E27" s="30">
        <f aca="true" t="shared" si="5" ref="E27:P27">SUM(E28:E29)</f>
        <v>0</v>
      </c>
      <c r="F27" s="30">
        <f t="shared" si="5"/>
        <v>0</v>
      </c>
      <c r="G27" s="30">
        <f t="shared" si="5"/>
        <v>0</v>
      </c>
      <c r="H27" s="30">
        <f t="shared" si="5"/>
        <v>0</v>
      </c>
      <c r="I27" s="30">
        <f t="shared" si="5"/>
        <v>0</v>
      </c>
      <c r="J27" s="30">
        <f t="shared" si="5"/>
        <v>0</v>
      </c>
      <c r="K27" s="30">
        <f t="shared" si="5"/>
        <v>0</v>
      </c>
      <c r="L27" s="30">
        <f t="shared" si="5"/>
        <v>0</v>
      </c>
      <c r="M27" s="30">
        <f t="shared" si="5"/>
        <v>0</v>
      </c>
      <c r="N27" s="30">
        <f t="shared" si="5"/>
        <v>0</v>
      </c>
      <c r="O27" s="30">
        <f t="shared" si="5"/>
        <v>0</v>
      </c>
      <c r="P27" s="30">
        <f t="shared" si="5"/>
        <v>0</v>
      </c>
      <c r="Q27" s="29">
        <f>SUM(E27:P27)</f>
        <v>0</v>
      </c>
      <c r="R27" s="30">
        <f>SUM(R28:R29)</f>
        <v>770.06</v>
      </c>
      <c r="S27" s="30">
        <f>SUM(D27:D27)-SUM(Q27:Q27)</f>
        <v>10000</v>
      </c>
      <c r="T27" s="30">
        <f>S27-SUM(R27)</f>
        <v>9229.94</v>
      </c>
      <c r="U27" s="49">
        <f>SUM(U28:U29)</f>
        <v>-7000</v>
      </c>
      <c r="V27" s="1"/>
      <c r="W27" s="1"/>
    </row>
    <row r="28" spans="1:23" ht="15.75">
      <c r="A28" s="24"/>
      <c r="B28" s="20" t="s">
        <v>39</v>
      </c>
      <c r="C28" s="28" t="s">
        <v>36</v>
      </c>
      <c r="D28" s="29">
        <v>10000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f aca="true" t="shared" si="6" ref="Q28:Q46">SUM(E28:P28)</f>
        <v>0</v>
      </c>
      <c r="R28" s="14">
        <f>770.06-Q28</f>
        <v>770.06</v>
      </c>
      <c r="S28" s="14"/>
      <c r="T28" s="14"/>
      <c r="U28" s="44">
        <v>-7000</v>
      </c>
      <c r="V28" s="1"/>
      <c r="W28" s="1"/>
    </row>
    <row r="29" spans="1:21" s="1" customFormat="1" ht="12.75">
      <c r="A29" s="20"/>
      <c r="B29" s="20"/>
      <c r="C29" s="17"/>
      <c r="D29" s="18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>
        <f t="shared" si="6"/>
        <v>0</v>
      </c>
      <c r="R29" s="14"/>
      <c r="S29" s="14"/>
      <c r="T29" s="14"/>
      <c r="U29" s="42"/>
    </row>
    <row r="30" spans="1:23" ht="15.75">
      <c r="A30" s="26">
        <v>5</v>
      </c>
      <c r="B30" s="27" t="s">
        <v>40</v>
      </c>
      <c r="C30" s="28">
        <v>2244</v>
      </c>
      <c r="D30" s="29">
        <v>3200</v>
      </c>
      <c r="E30" s="30">
        <f aca="true" t="shared" si="7" ref="E30:J30">SUM(E31:E34)</f>
        <v>0</v>
      </c>
      <c r="F30" s="30">
        <f t="shared" si="7"/>
        <v>0</v>
      </c>
      <c r="G30" s="30">
        <f t="shared" si="7"/>
        <v>0</v>
      </c>
      <c r="H30" s="30">
        <f t="shared" si="7"/>
        <v>0</v>
      </c>
      <c r="I30" s="30">
        <f t="shared" si="7"/>
        <v>816.12</v>
      </c>
      <c r="J30" s="30">
        <f t="shared" si="7"/>
        <v>0</v>
      </c>
      <c r="K30" s="30">
        <f aca="true" t="shared" si="8" ref="K30:P30">SUM(K31:K32)</f>
        <v>1190</v>
      </c>
      <c r="L30" s="30">
        <f t="shared" si="8"/>
        <v>0</v>
      </c>
      <c r="M30" s="30">
        <f t="shared" si="8"/>
        <v>0</v>
      </c>
      <c r="N30" s="30">
        <f t="shared" si="8"/>
        <v>0</v>
      </c>
      <c r="O30" s="30">
        <f t="shared" si="8"/>
        <v>0</v>
      </c>
      <c r="P30" s="30">
        <f t="shared" si="8"/>
        <v>0</v>
      </c>
      <c r="Q30" s="29">
        <f>SUM(E30:P30)</f>
        <v>2006.12</v>
      </c>
      <c r="R30" s="30">
        <f>SUM(R31:R34)</f>
        <v>0</v>
      </c>
      <c r="S30" s="30">
        <f>SUM(D30:D30)-SUM(Q30:Q30)</f>
        <v>1193.88</v>
      </c>
      <c r="T30" s="46">
        <f>S30-SUM(R30)</f>
        <v>1193.88</v>
      </c>
      <c r="U30" s="43"/>
      <c r="V30" s="1"/>
      <c r="W30" s="1"/>
    </row>
    <row r="31" spans="1:23" s="32" customFormat="1" ht="15.75">
      <c r="A31" s="26"/>
      <c r="B31" s="27" t="s">
        <v>41</v>
      </c>
      <c r="C31" s="28" t="s">
        <v>28</v>
      </c>
      <c r="D31" s="29"/>
      <c r="E31" s="30"/>
      <c r="F31" s="30"/>
      <c r="G31" s="30"/>
      <c r="H31" s="30"/>
      <c r="I31" s="30">
        <v>816.12</v>
      </c>
      <c r="J31" s="30"/>
      <c r="K31" s="30"/>
      <c r="L31" s="30"/>
      <c r="M31" s="30"/>
      <c r="N31" s="30"/>
      <c r="O31" s="30"/>
      <c r="P31" s="30"/>
      <c r="Q31" s="30">
        <f t="shared" si="6"/>
        <v>816.12</v>
      </c>
      <c r="R31" s="30"/>
      <c r="S31" s="30"/>
      <c r="T31" s="30"/>
      <c r="U31" s="43"/>
      <c r="V31" s="31"/>
      <c r="W31" s="31"/>
    </row>
    <row r="32" spans="1:21" s="1" customFormat="1" ht="12.75">
      <c r="A32" s="20"/>
      <c r="B32" s="20" t="s">
        <v>42</v>
      </c>
      <c r="C32" s="17"/>
      <c r="D32" s="18"/>
      <c r="E32" s="14"/>
      <c r="F32" s="14"/>
      <c r="G32" s="14"/>
      <c r="H32" s="14"/>
      <c r="I32" s="14"/>
      <c r="J32" s="14"/>
      <c r="K32" s="14">
        <v>1190</v>
      </c>
      <c r="L32" s="14"/>
      <c r="M32" s="14"/>
      <c r="N32" s="14"/>
      <c r="O32" s="14"/>
      <c r="P32" s="14"/>
      <c r="Q32" s="14">
        <f>SUM(E32:P32)</f>
        <v>1190</v>
      </c>
      <c r="R32" s="14">
        <f>1190-Q32</f>
        <v>0</v>
      </c>
      <c r="S32" s="14"/>
      <c r="T32" s="14"/>
      <c r="U32" s="42"/>
    </row>
    <row r="33" spans="1:21" s="1" customFormat="1" ht="12.75">
      <c r="A33" s="20"/>
      <c r="B33" s="20" t="s">
        <v>43</v>
      </c>
      <c r="C33" s="17"/>
      <c r="D33" s="18"/>
      <c r="E33" s="14"/>
      <c r="F33" s="14"/>
      <c r="G33" s="14"/>
      <c r="H33" s="14"/>
      <c r="I33" s="14"/>
      <c r="J33" s="14"/>
      <c r="K33" s="14">
        <v>1191.85</v>
      </c>
      <c r="L33" s="14"/>
      <c r="M33" s="14"/>
      <c r="N33" s="14"/>
      <c r="O33" s="14"/>
      <c r="P33" s="14"/>
      <c r="Q33" s="14">
        <f>SUM(E33:P33)</f>
        <v>1191.85</v>
      </c>
      <c r="R33" s="14">
        <f>1191.85-Q33</f>
        <v>0</v>
      </c>
      <c r="S33" s="14"/>
      <c r="T33" s="14"/>
      <c r="U33" s="42"/>
    </row>
    <row r="34" spans="1:21" s="1" customFormat="1" ht="12.75">
      <c r="A34" s="20"/>
      <c r="B34" s="20"/>
      <c r="C34" s="17"/>
      <c r="D34" s="18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42"/>
    </row>
    <row r="35" spans="1:23" ht="15.75">
      <c r="A35" s="26">
        <v>6</v>
      </c>
      <c r="B35" s="27" t="s">
        <v>44</v>
      </c>
      <c r="C35" s="28">
        <v>2244</v>
      </c>
      <c r="D35" s="29">
        <v>1000</v>
      </c>
      <c r="E35" s="30">
        <f aca="true" t="shared" si="9" ref="E35:P35">SUM(E36:E39)</f>
        <v>0</v>
      </c>
      <c r="F35" s="30">
        <f t="shared" si="9"/>
        <v>0</v>
      </c>
      <c r="G35" s="30">
        <f t="shared" si="9"/>
        <v>0</v>
      </c>
      <c r="H35" s="30">
        <f t="shared" si="9"/>
        <v>296.45</v>
      </c>
      <c r="I35" s="30">
        <f t="shared" si="9"/>
        <v>0</v>
      </c>
      <c r="J35" s="30">
        <f t="shared" si="9"/>
        <v>0</v>
      </c>
      <c r="K35" s="30">
        <f t="shared" si="9"/>
        <v>0</v>
      </c>
      <c r="L35" s="30">
        <f t="shared" si="9"/>
        <v>0</v>
      </c>
      <c r="M35" s="30">
        <f t="shared" si="9"/>
        <v>0</v>
      </c>
      <c r="N35" s="30">
        <f t="shared" si="9"/>
        <v>0</v>
      </c>
      <c r="O35" s="30">
        <f t="shared" si="9"/>
        <v>0</v>
      </c>
      <c r="P35" s="30">
        <f t="shared" si="9"/>
        <v>0</v>
      </c>
      <c r="Q35" s="29">
        <f t="shared" si="6"/>
        <v>296.45</v>
      </c>
      <c r="R35" s="30">
        <f>SUM(R36:R39)</f>
        <v>296.69</v>
      </c>
      <c r="S35" s="30">
        <f>SUM(D35:D35)-SUM(Q35:Q35)</f>
        <v>703.55</v>
      </c>
      <c r="T35" s="30">
        <f>S35-SUM(R35)</f>
        <v>406.85999999999996</v>
      </c>
      <c r="U35" s="43"/>
      <c r="V35" s="1"/>
      <c r="W35" s="1"/>
    </row>
    <row r="36" spans="1:23" ht="15.75">
      <c r="A36" s="24"/>
      <c r="B36" s="20" t="s">
        <v>45</v>
      </c>
      <c r="C36" s="17" t="s">
        <v>28</v>
      </c>
      <c r="D36" s="18"/>
      <c r="E36" s="14"/>
      <c r="F36" s="14"/>
      <c r="G36" s="14"/>
      <c r="H36" s="14">
        <f>296.45</f>
        <v>296.45</v>
      </c>
      <c r="I36" s="14"/>
      <c r="J36" s="14"/>
      <c r="K36" s="14"/>
      <c r="L36" s="14"/>
      <c r="M36" s="14"/>
      <c r="N36" s="14"/>
      <c r="O36" s="14"/>
      <c r="P36" s="14"/>
      <c r="Q36" s="14">
        <f t="shared" si="6"/>
        <v>296.45</v>
      </c>
      <c r="R36" s="14"/>
      <c r="S36" s="14"/>
      <c r="T36" s="14"/>
      <c r="U36" s="42"/>
      <c r="V36" s="1"/>
      <c r="W36" s="1"/>
    </row>
    <row r="37" spans="1:23" ht="15.75">
      <c r="A37" s="24"/>
      <c r="B37" s="20" t="s">
        <v>46</v>
      </c>
      <c r="C37" s="17"/>
      <c r="D37" s="18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>
        <f t="shared" si="6"/>
        <v>0</v>
      </c>
      <c r="R37" s="14">
        <f>145.44-Q37</f>
        <v>145.44</v>
      </c>
      <c r="S37" s="14"/>
      <c r="T37" s="14"/>
      <c r="U37" s="42"/>
      <c r="V37" s="1"/>
      <c r="W37" s="1"/>
    </row>
    <row r="38" spans="1:23" ht="15.75">
      <c r="A38" s="24"/>
      <c r="B38" s="20" t="s">
        <v>47</v>
      </c>
      <c r="C38" s="17"/>
      <c r="D38" s="18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>
        <f t="shared" si="6"/>
        <v>0</v>
      </c>
      <c r="R38" s="14">
        <f>151.25-Q38</f>
        <v>151.25</v>
      </c>
      <c r="S38" s="14"/>
      <c r="T38" s="14"/>
      <c r="U38" s="42"/>
      <c r="V38" s="1"/>
      <c r="W38" s="1"/>
    </row>
    <row r="39" spans="1:21" s="1" customFormat="1" ht="12.75">
      <c r="A39" s="20"/>
      <c r="B39" s="20"/>
      <c r="C39" s="17"/>
      <c r="D39" s="18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42"/>
    </row>
    <row r="40" spans="1:23" ht="15.75">
      <c r="A40" s="45">
        <v>7</v>
      </c>
      <c r="B40" s="50" t="s">
        <v>48</v>
      </c>
      <c r="C40" s="28">
        <v>5269</v>
      </c>
      <c r="D40" s="29">
        <v>500</v>
      </c>
      <c r="E40" s="30">
        <f aca="true" t="shared" si="10" ref="E40:P40">SUM(E41:E42)</f>
        <v>0</v>
      </c>
      <c r="F40" s="30">
        <f t="shared" si="10"/>
        <v>0</v>
      </c>
      <c r="G40" s="30">
        <f t="shared" si="10"/>
        <v>0</v>
      </c>
      <c r="H40" s="30">
        <f t="shared" si="10"/>
        <v>0</v>
      </c>
      <c r="I40" s="30">
        <f t="shared" si="10"/>
        <v>0</v>
      </c>
      <c r="J40" s="30">
        <f t="shared" si="10"/>
        <v>0</v>
      </c>
      <c r="K40" s="30">
        <f t="shared" si="10"/>
        <v>0</v>
      </c>
      <c r="L40" s="30">
        <f t="shared" si="10"/>
        <v>0</v>
      </c>
      <c r="M40" s="30">
        <f t="shared" si="10"/>
        <v>0</v>
      </c>
      <c r="N40" s="30">
        <f t="shared" si="10"/>
        <v>0</v>
      </c>
      <c r="O40" s="30">
        <f t="shared" si="10"/>
        <v>0</v>
      </c>
      <c r="P40" s="30">
        <f t="shared" si="10"/>
        <v>0</v>
      </c>
      <c r="Q40" s="29">
        <f t="shared" si="6"/>
        <v>0</v>
      </c>
      <c r="R40" s="30">
        <f>SUM(R41:R42)</f>
        <v>0</v>
      </c>
      <c r="S40" s="30">
        <f>SUM(D40:D40)-SUM(Q40:Q40)</f>
        <v>500</v>
      </c>
      <c r="T40" s="30">
        <f>S40-SUM(R40)</f>
        <v>500</v>
      </c>
      <c r="U40" s="43"/>
      <c r="V40" s="1"/>
      <c r="W40" s="1"/>
    </row>
    <row r="41" spans="1:23" ht="15.75">
      <c r="A41" s="15"/>
      <c r="B41" s="23"/>
      <c r="C41" s="17" t="s">
        <v>28</v>
      </c>
      <c r="D41" s="18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>
        <f t="shared" si="6"/>
        <v>0</v>
      </c>
      <c r="R41" s="14"/>
      <c r="S41" s="14"/>
      <c r="T41" s="14"/>
      <c r="U41" s="42"/>
      <c r="V41" s="1"/>
      <c r="W41" s="1"/>
    </row>
    <row r="42" spans="1:21" s="1" customFormat="1" ht="12.75" hidden="1">
      <c r="A42" s="20"/>
      <c r="B42" s="20"/>
      <c r="C42" s="17"/>
      <c r="D42" s="18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>
        <f t="shared" si="6"/>
        <v>0</v>
      </c>
      <c r="R42" s="14"/>
      <c r="S42" s="14"/>
      <c r="T42" s="14"/>
      <c r="U42" s="42"/>
    </row>
    <row r="43" spans="1:23" ht="25.5">
      <c r="A43" s="26">
        <v>8</v>
      </c>
      <c r="B43" s="27" t="s">
        <v>49</v>
      </c>
      <c r="C43" s="28">
        <v>2279</v>
      </c>
      <c r="D43" s="29">
        <v>580</v>
      </c>
      <c r="E43" s="30">
        <f aca="true" t="shared" si="11" ref="E43:P43">SUM(E44:E46)</f>
        <v>0</v>
      </c>
      <c r="F43" s="30">
        <f t="shared" si="11"/>
        <v>89.54</v>
      </c>
      <c r="G43" s="30">
        <f t="shared" si="11"/>
        <v>147.62</v>
      </c>
      <c r="H43" s="30">
        <f>SUM(H44:H46)</f>
        <v>0</v>
      </c>
      <c r="I43" s="30">
        <f t="shared" si="11"/>
        <v>0</v>
      </c>
      <c r="J43" s="30">
        <f t="shared" si="11"/>
        <v>0</v>
      </c>
      <c r="K43" s="30">
        <f t="shared" si="11"/>
        <v>0</v>
      </c>
      <c r="L43" s="30">
        <f t="shared" si="11"/>
        <v>0</v>
      </c>
      <c r="M43" s="30">
        <f t="shared" si="11"/>
        <v>0</v>
      </c>
      <c r="N43" s="30">
        <f t="shared" si="11"/>
        <v>0</v>
      </c>
      <c r="O43" s="30">
        <f t="shared" si="11"/>
        <v>0</v>
      </c>
      <c r="P43" s="30">
        <f t="shared" si="11"/>
        <v>0</v>
      </c>
      <c r="Q43" s="29">
        <f t="shared" si="6"/>
        <v>237.16000000000003</v>
      </c>
      <c r="R43" s="30">
        <f>SUM(R44:R46)</f>
        <v>0</v>
      </c>
      <c r="S43" s="30">
        <f>SUM(D43:D43)-SUM(Q43:Q43)</f>
        <v>342.84</v>
      </c>
      <c r="T43" s="30">
        <f>S43-SUM(R43)</f>
        <v>342.84</v>
      </c>
      <c r="U43" s="43"/>
      <c r="V43" s="1"/>
      <c r="W43" s="1"/>
    </row>
    <row r="44" spans="1:23" ht="15.75">
      <c r="A44" s="24"/>
      <c r="B44" s="20" t="s">
        <v>50</v>
      </c>
      <c r="C44" s="17" t="s">
        <v>28</v>
      </c>
      <c r="D44" s="14"/>
      <c r="E44" s="14"/>
      <c r="F44" s="14">
        <f>89.54</f>
        <v>89.54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>
        <f t="shared" si="6"/>
        <v>89.54</v>
      </c>
      <c r="R44" s="14"/>
      <c r="S44" s="14"/>
      <c r="T44" s="14"/>
      <c r="U44" s="19"/>
      <c r="V44" s="1"/>
      <c r="W44" s="1"/>
    </row>
    <row r="45" spans="1:23" ht="15.75">
      <c r="A45" s="24"/>
      <c r="B45" s="20" t="s">
        <v>51</v>
      </c>
      <c r="C45" s="17"/>
      <c r="D45" s="14"/>
      <c r="E45" s="14"/>
      <c r="F45" s="14"/>
      <c r="G45" s="14">
        <f>147.62</f>
        <v>147.62</v>
      </c>
      <c r="H45" s="14"/>
      <c r="I45" s="14"/>
      <c r="J45" s="14"/>
      <c r="K45" s="14"/>
      <c r="L45" s="14"/>
      <c r="M45" s="14"/>
      <c r="N45" s="14"/>
      <c r="O45" s="14"/>
      <c r="P45" s="14"/>
      <c r="Q45" s="14">
        <f t="shared" si="6"/>
        <v>147.62</v>
      </c>
      <c r="R45" s="14"/>
      <c r="S45" s="14"/>
      <c r="T45" s="14"/>
      <c r="U45" s="19"/>
      <c r="V45" s="1"/>
      <c r="W45" s="1"/>
    </row>
    <row r="46" spans="1:21" s="1" customFormat="1" ht="12.75">
      <c r="A46" s="20"/>
      <c r="B46" s="20"/>
      <c r="C46" s="17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>
        <f t="shared" si="6"/>
        <v>0</v>
      </c>
      <c r="R46" s="14"/>
      <c r="S46" s="14"/>
      <c r="T46" s="14"/>
      <c r="U46" s="19"/>
    </row>
    <row r="47" spans="1:21" ht="15.75">
      <c r="A47" s="1"/>
      <c r="B47" s="1"/>
      <c r="C47" s="1"/>
      <c r="D47" s="1"/>
      <c r="E47" s="1"/>
      <c r="F47" s="1"/>
      <c r="G47" s="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</row>
    <row r="48" spans="1:21" ht="16.5" thickBot="1">
      <c r="A48" s="1"/>
      <c r="B48" s="33" t="s">
        <v>52</v>
      </c>
      <c r="C48" s="33" t="s">
        <v>53</v>
      </c>
      <c r="D48" s="34">
        <f>SUM(D49:D52)</f>
        <v>80972</v>
      </c>
      <c r="E48" s="35">
        <f aca="true" t="shared" si="12" ref="E48:S48">SUM(E49:E52)</f>
        <v>673.73</v>
      </c>
      <c r="F48" s="35">
        <f t="shared" si="12"/>
        <v>3600.1</v>
      </c>
      <c r="G48" s="35">
        <f t="shared" si="12"/>
        <v>3658.18</v>
      </c>
      <c r="H48" s="35">
        <f t="shared" si="12"/>
        <v>7276.22</v>
      </c>
      <c r="I48" s="35">
        <f t="shared" si="12"/>
        <v>6468.179999999999</v>
      </c>
      <c r="J48" s="35">
        <f t="shared" si="12"/>
        <v>0</v>
      </c>
      <c r="K48" s="35">
        <f t="shared" si="12"/>
        <v>10269.66</v>
      </c>
      <c r="L48" s="35">
        <f t="shared" si="12"/>
        <v>0</v>
      </c>
      <c r="M48" s="35">
        <f t="shared" si="12"/>
        <v>0</v>
      </c>
      <c r="N48" s="35">
        <f t="shared" si="12"/>
        <v>0</v>
      </c>
      <c r="O48" s="35">
        <f t="shared" si="12"/>
        <v>0</v>
      </c>
      <c r="P48" s="35">
        <f t="shared" si="12"/>
        <v>0</v>
      </c>
      <c r="Q48" s="35">
        <f t="shared" si="12"/>
        <v>31946.069999999996</v>
      </c>
      <c r="R48" s="35">
        <f>SUM(R49:R52)</f>
        <v>53912.64</v>
      </c>
      <c r="S48" s="35">
        <f t="shared" si="12"/>
        <v>29366.740000000005</v>
      </c>
      <c r="T48" s="35">
        <f>SUM(T49:T52)</f>
        <v>-27165.69999999999</v>
      </c>
      <c r="U48" s="11"/>
    </row>
    <row r="49" spans="1:21" ht="15.75">
      <c r="A49" s="1"/>
      <c r="B49" s="1"/>
      <c r="C49" s="36">
        <v>2244</v>
      </c>
      <c r="D49" s="37">
        <f>SUM(D12,D19,D24,D30,D35)</f>
        <v>79892</v>
      </c>
      <c r="E49" s="37">
        <f aca="true" t="shared" si="13" ref="E49:T49">SUM(E12,E19,E24,E30,E35)</f>
        <v>673.73</v>
      </c>
      <c r="F49" s="37">
        <f t="shared" si="13"/>
        <v>3510.56</v>
      </c>
      <c r="G49" s="37">
        <f t="shared" si="13"/>
        <v>3510.56</v>
      </c>
      <c r="H49" s="37">
        <f t="shared" si="13"/>
        <v>7276.22</v>
      </c>
      <c r="I49" s="37">
        <f t="shared" si="13"/>
        <v>6468.179999999999</v>
      </c>
      <c r="J49" s="37">
        <f t="shared" si="13"/>
        <v>0</v>
      </c>
      <c r="K49" s="37">
        <f t="shared" si="13"/>
        <v>10269.66</v>
      </c>
      <c r="L49" s="37">
        <f t="shared" si="13"/>
        <v>0</v>
      </c>
      <c r="M49" s="37">
        <f t="shared" si="13"/>
        <v>0</v>
      </c>
      <c r="N49" s="37">
        <f t="shared" si="13"/>
        <v>0</v>
      </c>
      <c r="O49" s="37">
        <f t="shared" si="13"/>
        <v>0</v>
      </c>
      <c r="P49" s="37">
        <f t="shared" si="13"/>
        <v>0</v>
      </c>
      <c r="Q49" s="37">
        <f t="shared" si="13"/>
        <v>31708.909999999996</v>
      </c>
      <c r="R49" s="37">
        <f t="shared" si="13"/>
        <v>53912.64</v>
      </c>
      <c r="S49" s="37">
        <f t="shared" si="13"/>
        <v>28523.900000000005</v>
      </c>
      <c r="T49" s="37">
        <f t="shared" si="13"/>
        <v>-28008.53999999999</v>
      </c>
      <c r="U49" s="11"/>
    </row>
    <row r="50" spans="1:21" ht="15.75">
      <c r="A50" s="1"/>
      <c r="B50" s="1"/>
      <c r="C50" s="38">
        <v>2279</v>
      </c>
      <c r="D50" s="37">
        <f>D43</f>
        <v>580</v>
      </c>
      <c r="E50" s="37">
        <f aca="true" t="shared" si="14" ref="E50:T50">E43</f>
        <v>0</v>
      </c>
      <c r="F50" s="37">
        <f t="shared" si="14"/>
        <v>89.54</v>
      </c>
      <c r="G50" s="37">
        <f t="shared" si="14"/>
        <v>147.62</v>
      </c>
      <c r="H50" s="37">
        <f t="shared" si="14"/>
        <v>0</v>
      </c>
      <c r="I50" s="37">
        <f t="shared" si="14"/>
        <v>0</v>
      </c>
      <c r="J50" s="37">
        <f t="shared" si="14"/>
        <v>0</v>
      </c>
      <c r="K50" s="37">
        <f t="shared" si="14"/>
        <v>0</v>
      </c>
      <c r="L50" s="37">
        <f t="shared" si="14"/>
        <v>0</v>
      </c>
      <c r="M50" s="37">
        <f t="shared" si="14"/>
        <v>0</v>
      </c>
      <c r="N50" s="37">
        <f t="shared" si="14"/>
        <v>0</v>
      </c>
      <c r="O50" s="37">
        <f t="shared" si="14"/>
        <v>0</v>
      </c>
      <c r="P50" s="37">
        <f t="shared" si="14"/>
        <v>0</v>
      </c>
      <c r="Q50" s="37">
        <f t="shared" si="14"/>
        <v>237.16000000000003</v>
      </c>
      <c r="R50" s="37">
        <f t="shared" si="14"/>
        <v>0</v>
      </c>
      <c r="S50" s="37">
        <f t="shared" si="14"/>
        <v>342.84</v>
      </c>
      <c r="T50" s="37">
        <f t="shared" si="14"/>
        <v>342.84</v>
      </c>
      <c r="U50" s="11"/>
    </row>
    <row r="51" spans="1:21" ht="15.75">
      <c r="A51" s="1"/>
      <c r="B51" s="1"/>
      <c r="C51" s="38">
        <v>5269</v>
      </c>
      <c r="D51" s="37">
        <f>D40</f>
        <v>500</v>
      </c>
      <c r="E51" s="37">
        <f aca="true" t="shared" si="15" ref="E51:T51">E40</f>
        <v>0</v>
      </c>
      <c r="F51" s="37">
        <f t="shared" si="15"/>
        <v>0</v>
      </c>
      <c r="G51" s="37">
        <f t="shared" si="15"/>
        <v>0</v>
      </c>
      <c r="H51" s="37">
        <f t="shared" si="15"/>
        <v>0</v>
      </c>
      <c r="I51" s="37">
        <f t="shared" si="15"/>
        <v>0</v>
      </c>
      <c r="J51" s="37">
        <f t="shared" si="15"/>
        <v>0</v>
      </c>
      <c r="K51" s="37">
        <f t="shared" si="15"/>
        <v>0</v>
      </c>
      <c r="L51" s="37">
        <f t="shared" si="15"/>
        <v>0</v>
      </c>
      <c r="M51" s="37">
        <f t="shared" si="15"/>
        <v>0</v>
      </c>
      <c r="N51" s="37">
        <f t="shared" si="15"/>
        <v>0</v>
      </c>
      <c r="O51" s="37">
        <f t="shared" si="15"/>
        <v>0</v>
      </c>
      <c r="P51" s="37">
        <f t="shared" si="15"/>
        <v>0</v>
      </c>
      <c r="Q51" s="37">
        <f t="shared" si="15"/>
        <v>0</v>
      </c>
      <c r="R51" s="37">
        <f t="shared" si="15"/>
        <v>0</v>
      </c>
      <c r="S51" s="37">
        <f t="shared" si="15"/>
        <v>500</v>
      </c>
      <c r="T51" s="37">
        <f t="shared" si="15"/>
        <v>500</v>
      </c>
      <c r="U51" s="11"/>
    </row>
    <row r="52" spans="1:21" ht="15" customHeight="1">
      <c r="A52" s="1"/>
      <c r="B52" s="4"/>
      <c r="C52" s="39"/>
      <c r="D52" s="39"/>
      <c r="E52" s="1"/>
      <c r="F52" s="1"/>
      <c r="G52" s="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</row>
    <row r="53" spans="1:21" ht="15" customHeight="1" thickBot="1">
      <c r="A53" s="1"/>
      <c r="B53" s="33" t="s">
        <v>36</v>
      </c>
      <c r="C53" s="33" t="s">
        <v>53</v>
      </c>
      <c r="D53" s="34">
        <f>SUM(D54:D55)</f>
        <v>21438</v>
      </c>
      <c r="E53" s="35">
        <f>SUM(E54:E55)</f>
        <v>0</v>
      </c>
      <c r="F53" s="35">
        <f aca="true" t="shared" si="16" ref="F53:T53">SUM(F54:F55)</f>
        <v>0</v>
      </c>
      <c r="G53" s="35">
        <f t="shared" si="16"/>
        <v>883.98</v>
      </c>
      <c r="H53" s="35">
        <f t="shared" si="16"/>
        <v>0</v>
      </c>
      <c r="I53" s="35">
        <f t="shared" si="16"/>
        <v>3716.02</v>
      </c>
      <c r="J53" s="35">
        <f t="shared" si="16"/>
        <v>0</v>
      </c>
      <c r="K53" s="35">
        <f t="shared" si="16"/>
        <v>629.59</v>
      </c>
      <c r="L53" s="35">
        <f t="shared" si="16"/>
        <v>0</v>
      </c>
      <c r="M53" s="35">
        <f t="shared" si="16"/>
        <v>0</v>
      </c>
      <c r="N53" s="35">
        <f t="shared" si="16"/>
        <v>0</v>
      </c>
      <c r="O53" s="35">
        <f t="shared" si="16"/>
        <v>0</v>
      </c>
      <c r="P53" s="35">
        <f t="shared" si="16"/>
        <v>0</v>
      </c>
      <c r="Q53" s="35">
        <f t="shared" si="16"/>
        <v>5229.59</v>
      </c>
      <c r="R53" s="35">
        <f t="shared" si="16"/>
        <v>10568.1</v>
      </c>
      <c r="S53" s="35">
        <f t="shared" si="16"/>
        <v>6208.41</v>
      </c>
      <c r="T53" s="35">
        <f t="shared" si="16"/>
        <v>-3589.630000000001</v>
      </c>
      <c r="U53" s="11"/>
    </row>
    <row r="54" spans="3:20" ht="15.75">
      <c r="C54" s="36">
        <v>2244</v>
      </c>
      <c r="D54" s="37">
        <f>SUM(D22:D23,D28)</f>
        <v>21438</v>
      </c>
      <c r="E54" s="37">
        <f aca="true" t="shared" si="17" ref="E54:T54">SUM(E22:E23,E28)</f>
        <v>0</v>
      </c>
      <c r="F54" s="37">
        <f t="shared" si="17"/>
        <v>0</v>
      </c>
      <c r="G54" s="37">
        <f t="shared" si="17"/>
        <v>883.98</v>
      </c>
      <c r="H54" s="37">
        <f t="shared" si="17"/>
        <v>0</v>
      </c>
      <c r="I54" s="37">
        <f t="shared" si="17"/>
        <v>3716.02</v>
      </c>
      <c r="J54" s="37">
        <f t="shared" si="17"/>
        <v>0</v>
      </c>
      <c r="K54" s="37">
        <f t="shared" si="17"/>
        <v>629.59</v>
      </c>
      <c r="L54" s="37">
        <f t="shared" si="17"/>
        <v>0</v>
      </c>
      <c r="M54" s="37">
        <f t="shared" si="17"/>
        <v>0</v>
      </c>
      <c r="N54" s="37">
        <f t="shared" si="17"/>
        <v>0</v>
      </c>
      <c r="O54" s="37">
        <f t="shared" si="17"/>
        <v>0</v>
      </c>
      <c r="P54" s="37">
        <f t="shared" si="17"/>
        <v>0</v>
      </c>
      <c r="Q54" s="37">
        <f t="shared" si="17"/>
        <v>5229.59</v>
      </c>
      <c r="R54" s="37">
        <f t="shared" si="17"/>
        <v>10568.1</v>
      </c>
      <c r="S54" s="37">
        <f t="shared" si="17"/>
        <v>6208.41</v>
      </c>
      <c r="T54" s="37">
        <f t="shared" si="17"/>
        <v>-3589.630000000001</v>
      </c>
    </row>
    <row r="65" ht="15.75">
      <c r="E65" s="41"/>
    </row>
  </sheetData>
  <mergeCells count="15">
    <mergeCell ref="Q9:Q10"/>
    <mergeCell ref="A11:B11"/>
    <mergeCell ref="A8:A10"/>
    <mergeCell ref="B8:B10"/>
    <mergeCell ref="C8:C10"/>
    <mergeCell ref="U8:U10"/>
    <mergeCell ref="A21:A22"/>
    <mergeCell ref="B21:B22"/>
    <mergeCell ref="U21:U22"/>
    <mergeCell ref="D8:D10"/>
    <mergeCell ref="E9:P9"/>
    <mergeCell ref="E8:R8"/>
    <mergeCell ref="R9:R10"/>
    <mergeCell ref="S8:S10"/>
    <mergeCell ref="T8:T10"/>
  </mergeCells>
  <printOptions horizontalCentered="1"/>
  <pageMargins left="1.3779527559055118" right="0" top="1.1811023622047245" bottom="0.3937007874015748" header="0.11811023622047245" footer="0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JPD</dc:creator>
  <cp:keywords/>
  <dc:description/>
  <cp:lastModifiedBy>Daina.Leinarte</cp:lastModifiedBy>
  <cp:lastPrinted>2009-08-14T12:35:33Z</cp:lastPrinted>
  <dcterms:created xsi:type="dcterms:W3CDTF">2009-08-06T07:31:34Z</dcterms:created>
  <dcterms:modified xsi:type="dcterms:W3CDTF">2009-08-14T12:35:41Z</dcterms:modified>
  <cp:category/>
  <cp:version/>
  <cp:contentType/>
  <cp:contentStatus/>
</cp:coreProperties>
</file>