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00" windowHeight="13005" activeTab="0"/>
  </bookViews>
  <sheets>
    <sheet name="8.pielikums" sheetId="1" r:id="rId1"/>
  </sheets>
  <definedNames>
    <definedName name="_xlnm.Print_Area" localSheetId="0">'8.pielikums'!$A$1:$V$141</definedName>
  </definedNames>
  <calcPr fullCalcOnLoad="1"/>
</workbook>
</file>

<file path=xl/comments1.xml><?xml version="1.0" encoding="utf-8"?>
<comments xmlns="http://schemas.openxmlformats.org/spreadsheetml/2006/main">
  <authors>
    <author>JPD</author>
    <author>arita.moroza</author>
    <author>Kristīne.Auseja</author>
    <author> JPD</author>
  </authors>
  <commentList>
    <comment ref="B6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</t>
        </r>
      </text>
    </comment>
    <comment ref="H109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1=285.10Ls</t>
        </r>
      </text>
    </comment>
    <comment ref="T10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=50%
Atlikusi summa pēc pasākuma (06.06.09.)</t>
        </r>
      </text>
    </comment>
    <comment ref="T9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50%
Atlikums ar pien.nod.aktu pēc koncerta
03.07.09.</t>
        </r>
      </text>
    </comment>
    <comment ref="T4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20%
Atlikuša summa sadaīta pa četurksniem un par avansu atskaitās ar pirmo čet.</t>
        </r>
      </text>
    </comment>
    <comment ref="C8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34=+5112
izziņa 108=-62355</t>
        </r>
      </text>
    </comment>
    <comment ref="C10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34=-1150</t>
        </r>
      </text>
    </comment>
    <comment ref="C9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34=+13000</t>
        </r>
      </text>
    </comment>
    <comment ref="C10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34=+1150</t>
        </r>
      </text>
    </comment>
    <comment ref="C12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48=-1129
izziņa 87= -1000+ekk no 2275 uz 2279 Ls 8371</t>
        </r>
      </text>
    </comment>
    <comment ref="T8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avanss 20 %
pēc katra pasākuma atskaite (2.1.2) + akts + rēķins, atksitot 20 %</t>
        </r>
      </text>
    </comment>
    <comment ref="E12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No gada sākuma bija 30000, pēc tam sadalīja pa projektam un 14800 sadalīja starp Jūrmalas pilsētas iestādēm</t>
        </r>
      </text>
    </comment>
    <comment ref="J115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300 Ls Dāvanu kartēm SAN</t>
        </r>
      </text>
    </comment>
    <comment ref="T19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avanss 50%</t>
        </r>
      </text>
    </comment>
    <comment ref="T25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avanss 20%</t>
        </r>
      </text>
    </comment>
    <comment ref="J21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tāme 11
</t>
        </r>
      </text>
    </comment>
    <comment ref="T2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40 % avanss
60 % no atlikušās pēc avansa atskaites
pēc pasākuma gala</t>
        </r>
      </text>
    </comment>
    <comment ref="T12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avanss 20 %
gala</t>
        </r>
      </text>
    </comment>
    <comment ref="C11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56= +300</t>
        </r>
      </text>
    </comment>
    <comment ref="C1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+500</t>
        </r>
      </text>
    </comment>
    <comment ref="C8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87=-1193; -6000</t>
        </r>
      </text>
    </comment>
    <comment ref="C10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34=+850</t>
        </r>
      </text>
    </comment>
    <comment ref="T10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avanss 50 %
10 dd</t>
        </r>
      </text>
    </comment>
    <comment ref="C12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87=-11893</t>
        </r>
      </text>
    </comment>
    <comment ref="C1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87=-520</t>
        </r>
      </text>
    </comment>
    <comment ref="C2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</t>
        </r>
      </text>
    </comment>
    <comment ref="C3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87=-1000</t>
        </r>
      </text>
    </comment>
    <comment ref="C3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</t>
        </r>
      </text>
    </comment>
    <comment ref="C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87=-70</t>
        </r>
      </text>
    </comment>
    <comment ref="C3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87=-250</t>
        </r>
      </text>
    </comment>
    <comment ref="C3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87=-250
</t>
        </r>
      </text>
    </comment>
    <comment ref="C4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
izziņa 108=-900</t>
        </r>
      </text>
    </comment>
    <comment ref="C5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</t>
        </r>
      </text>
    </comment>
    <comment ref="C5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87=-220</t>
        </r>
      </text>
    </comment>
    <comment ref="C5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87=-1500</t>
        </r>
      </text>
    </comment>
    <comment ref="C6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</t>
        </r>
      </text>
    </comment>
    <comment ref="C6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87=-1200</t>
        </r>
      </text>
    </comment>
    <comment ref="C6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87=-500</t>
        </r>
      </text>
    </comment>
    <comment ref="C6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87=-1500</t>
        </r>
      </text>
    </comment>
    <comment ref="C6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87=-65</t>
        </r>
      </text>
    </comment>
    <comment ref="C7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87=-220</t>
        </r>
      </text>
    </comment>
    <comment ref="C7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</t>
        </r>
      </text>
    </comment>
    <comment ref="C7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87=-150</t>
        </r>
      </text>
    </comment>
    <comment ref="C7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C7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87=-260izziņa 108=+220</t>
        </r>
      </text>
    </comment>
    <comment ref="C8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87=-800
izziņa 108=-300</t>
        </r>
      </text>
    </comment>
    <comment ref="C8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87=-2000i
zziņa 108=+697</t>
        </r>
      </text>
    </comment>
    <comment ref="C10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
izziņa 108=-300</t>
        </r>
      </text>
    </comment>
    <comment ref="C10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</t>
        </r>
      </text>
    </comment>
    <comment ref="C12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
izziņa 108=-460</t>
        </r>
      </text>
    </comment>
    <comment ref="K5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14
tāme 12</t>
        </r>
      </text>
    </comment>
    <comment ref="C2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108=+96</t>
        </r>
      </text>
    </comment>
    <comment ref="C2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108=-96</t>
        </r>
      </text>
    </comment>
    <comment ref="C4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108=+1000</t>
        </r>
      </text>
    </comment>
    <comment ref="C4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108=-1000</t>
        </r>
      </text>
    </comment>
    <comment ref="C6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108=+50</t>
        </r>
      </text>
    </comment>
    <comment ref="C4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108=-1000</t>
        </r>
      </text>
    </comment>
    <comment ref="C7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108=+60</t>
        </r>
      </text>
    </comment>
    <comment ref="C7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108=+25</t>
        </r>
      </text>
    </comment>
    <comment ref="C8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108=+2556</t>
        </r>
      </text>
    </comment>
    <comment ref="C8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108=+2556</t>
        </r>
      </text>
    </comment>
    <comment ref="C12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108=+200</t>
        </r>
      </text>
    </comment>
    <comment ref="C11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108=-196</t>
        </r>
      </text>
    </comment>
    <comment ref="C11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108=+1000</t>
        </r>
      </text>
    </comment>
    <comment ref="C11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108=-1000</t>
        </r>
      </text>
    </comment>
    <comment ref="K5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Ls 48.71 av.nor.</t>
        </r>
      </text>
    </comment>
    <comment ref="C34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10=+1000</t>
        </r>
      </text>
    </comment>
    <comment ref="K10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12</t>
        </r>
      </text>
    </comment>
    <comment ref="C1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87=+225</t>
        </r>
      </text>
    </comment>
    <comment ref="C1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87=-225</t>
        </r>
      </text>
    </comment>
    <comment ref="H1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2=242 Ls
</t>
        </r>
      </text>
    </comment>
    <comment ref="I1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5=206.5
Tāme 4=260 Ls</t>
        </r>
      </text>
    </comment>
    <comment ref="L10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12</t>
        </r>
      </text>
    </comment>
    <comment ref="L11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15</t>
        </r>
      </text>
    </comment>
    <comment ref="M16" authorId="3">
      <text>
        <r>
          <rPr>
            <b/>
            <sz val="8"/>
            <rFont val="Tahoma"/>
            <family val="0"/>
          </rPr>
          <t xml:space="preserve"> Līva Kupča:
</t>
        </r>
        <r>
          <rPr>
            <sz val="8"/>
            <rFont val="Tahoma"/>
            <family val="2"/>
          </rPr>
          <t xml:space="preserve">Tāme 16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<sst xmlns="http://schemas.openxmlformats.org/spreadsheetml/2006/main" count="147" uniqueCount="144">
  <si>
    <t>Līgumi</t>
  </si>
  <si>
    <t>Jūrmalas pilsētas dome</t>
  </si>
  <si>
    <t>EKK</t>
  </si>
  <si>
    <t>Partnera nosaukums</t>
  </si>
  <si>
    <t>Līguma numurs</t>
  </si>
  <si>
    <t>Termiņš</t>
  </si>
  <si>
    <t>Summa</t>
  </si>
  <si>
    <t>Izpilde</t>
  </si>
  <si>
    <t>Atlikums</t>
  </si>
  <si>
    <t>Paskaidrojums</t>
  </si>
  <si>
    <t>"Eiropas skaņa"</t>
  </si>
  <si>
    <t>12 mēn. No</t>
  </si>
  <si>
    <t>aparatūras īre</t>
  </si>
  <si>
    <t>2009.gada budžeta projekta atšifrējums ____________Kultūras pasākumi 08.620______________________</t>
  </si>
  <si>
    <t>Struktūrvienības nosaukums _______________Kultūras un sporta nodaļa________________</t>
  </si>
  <si>
    <t>Konta nr.</t>
  </si>
  <si>
    <t>LV84PARX0002484572001</t>
  </si>
  <si>
    <t>BP 321</t>
  </si>
  <si>
    <t>Nr.</t>
  </si>
  <si>
    <t>Pasākums/aktivitāte/projekts/pakalpojuma nosaukums/objekts</t>
  </si>
  <si>
    <t>Budžeta sadalījums pa EKK</t>
  </si>
  <si>
    <t>2009. gada budžeta projekts</t>
  </si>
  <si>
    <t>Kases atlikums</t>
  </si>
  <si>
    <t>Rezervēta summa</t>
  </si>
  <si>
    <t>Samazinājums</t>
  </si>
  <si>
    <t>Mēnesī</t>
  </si>
  <si>
    <t>No gada sākuma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</si>
  <si>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</si>
  <si>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</si>
  <si>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</si>
  <si>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</si>
  <si>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</si>
  <si>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</si>
  <si>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</si>
  <si>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</si>
  <si>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</si>
  <si>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</si>
  <si>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</si>
  <si>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</si>
  <si>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KOPA:</t>
  </si>
  <si>
    <t xml:space="preserve">Valsts svētki un atceres dienu pasākumi, patriotiskā audzināšana </t>
  </si>
  <si>
    <t>Lāčplēša dienas pasākums</t>
  </si>
  <si>
    <t>LR proklamēšanas 91. gadadiena</t>
  </si>
  <si>
    <t>Citu valsts svētku un pasākumu organizēšana</t>
  </si>
  <si>
    <t>Latvijas Nacionālo partizānu apvienības 19. saiets un Latvijas Nacionālo karavīru biedrības 11. saiets Kaugurciemā</t>
  </si>
  <si>
    <t>Tradicionālie svētki Jūrmalā</t>
  </si>
  <si>
    <t xml:space="preserve">Konkurss „Jaunās Zvaigznes” </t>
  </si>
  <si>
    <t>21.05.</t>
  </si>
  <si>
    <t>D.Kalna operas svētki</t>
  </si>
  <si>
    <t>Jauno Belvederas operas un operetes solistu atlases kārta Jūrmalā</t>
  </si>
  <si>
    <t>Festivāla "Summertime-aicina Inese Galante" organizēšanai</t>
  </si>
  <si>
    <t>Starptautiskais amerikāņu auto salidojums</t>
  </si>
  <si>
    <t>23.05.2009.</t>
  </si>
  <si>
    <t>Starptautiskais jaunatnes cirka festivāls "Allē Jūrmala"</t>
  </si>
  <si>
    <t xml:space="preserve">Jomas ielas svētki </t>
  </si>
  <si>
    <t>5.07.2009.</t>
  </si>
  <si>
    <t>Jūrmalas sakoptākais īpašums</t>
  </si>
  <si>
    <t xml:space="preserve">Starptautiskais jauno izpildītāju konkurss „Jaunais Vilnis” </t>
  </si>
  <si>
    <t>Piejūras reģiona vidējās paaudzes deju kolektīvu festivāls "Soļi smiltīs"</t>
  </si>
  <si>
    <t xml:space="preserve">Dzejas dienas pie Raiņa priedēm </t>
  </si>
  <si>
    <t>VI Starptautiskais senioru radošo kolektīvu festivāls</t>
  </si>
  <si>
    <t>Projekts Jūrmalai- 50</t>
  </si>
  <si>
    <t>Labdarības koncerts Diabētu biedrības biedreim</t>
  </si>
  <si>
    <t xml:space="preserve">Garīgās mūzikas festivāls "Vox angelica" </t>
  </si>
  <si>
    <t>Grupas "Menuets" koncerts</t>
  </si>
  <si>
    <t xml:space="preserve">Koncertu cikls Dubultu ev.lut. Un Slokas baznīcā 2009. gadā </t>
  </si>
  <si>
    <t>Ausrumdeju festivāls</t>
  </si>
  <si>
    <t>05.07.2009.</t>
  </si>
  <si>
    <t>Gadskārtu svētki un paražas</t>
  </si>
  <si>
    <t>Lieldienu svinības „Lielās dienas Jūrmalā”</t>
  </si>
  <si>
    <t xml:space="preserve">Kokļu diena Jūrmalā, Jāņu ieskaņas koncerts Dzintaru kz. </t>
  </si>
  <si>
    <t>Jāņu svinības pludmalē</t>
  </si>
  <si>
    <t xml:space="preserve">Pilsētas Ziemassvētku egles atklāšana un domes organizētie Jaungada pasākumi </t>
  </si>
  <si>
    <t>Ziemassvētku pasākuma rīkošana Jūrmalas pilsētas bērniem</t>
  </si>
  <si>
    <t>Ziemassvētku tirgus Tirgoņu ielā</t>
  </si>
  <si>
    <t xml:space="preserve">Meteņu spēles </t>
  </si>
  <si>
    <t xml:space="preserve">Jāņu dienas balle Mellužu estrādē </t>
  </si>
  <si>
    <t xml:space="preserve">Kultūras darbinieku un pašdarbības kolektīvu pieredzes apmaiņa, papildizglītība, konkursi un skates. </t>
  </si>
  <si>
    <t>Jūrmalas vokālo ansamļu skate</t>
  </si>
  <si>
    <t>Tālākizglītības semināri Jūrmalas kultūras darbiniekiem</t>
  </si>
  <si>
    <t>izziņa 3</t>
  </si>
  <si>
    <t>Jūrmalas senioru deju kolektīvu "Ābelīte" un "Vējš ābeļziedos" koncertbraucienam uz Kauņu</t>
  </si>
  <si>
    <t>Kultūras darbinieku gada noslēguma pasākums „Gada balva kultūrā ”</t>
  </si>
  <si>
    <t>Tautas mākslas kolektīvu gada noslēguma sarīkojums</t>
  </si>
  <si>
    <t>Senioru kolektīvu braucienam uz Ziemeļvalstu festivālu</t>
  </si>
  <si>
    <t>XXV Vispārējie latviešu Dziesmu un XIV Deju svētki</t>
  </si>
  <si>
    <t>Kultūras darbinieku pieredzes apmaiņas pasākumi, komandējumi</t>
  </si>
  <si>
    <t>Domes līdzfinansējums kultūras un izklaides pasākumiem</t>
  </si>
  <si>
    <t>Telpu īre atbalstāmajiem pasākumiem</t>
  </si>
  <si>
    <t>01.09.2009.</t>
  </si>
  <si>
    <t>Dzintaru koncertzāles sezonas atklāšanas koncerts</t>
  </si>
  <si>
    <t>pēdējais koncerts</t>
  </si>
  <si>
    <t>Dzintaru koncertzāles sezonas noslēguma koncerts</t>
  </si>
  <si>
    <t>10. Festivāls "Baleta Zvaigznes Jūrmalā"</t>
  </si>
  <si>
    <t>konkursa "Jaunais vilnis" organizēšanai Dzintaru kz</t>
  </si>
  <si>
    <t>Koncertizrādes "Sikspārnis" koncerts</t>
  </si>
  <si>
    <t>03.06.2009.</t>
  </si>
  <si>
    <t>Dziesmu svētku atskaņas koncerts R. Pauls un LNSO</t>
  </si>
  <si>
    <t>"Operas svētki" organizēšana</t>
  </si>
  <si>
    <t>Džeza koncerti Cineville Studio</t>
  </si>
  <si>
    <t>Jūrmalas Domes kausā izcīņai Latīnamerikas dejās</t>
  </si>
  <si>
    <t>Rock legion konkursa - koncerta org. Dzintaru koncerzālē</t>
  </si>
  <si>
    <t xml:space="preserve">VII Starptautiskais tautas deju festivāls "Sudmaliņas" </t>
  </si>
  <si>
    <t>Izstāde "Jūrmalas sporta arhitektūra"</t>
  </si>
  <si>
    <t>Jūrmalas Diabētu biedrības labdarības koncerts</t>
  </si>
  <si>
    <t>06.06.2009.</t>
  </si>
  <si>
    <t xml:space="preserve">Starptautiskā izstāde "Sala Vidusjūrā. Korsika" </t>
  </si>
  <si>
    <t>2.04-26.04.09.</t>
  </si>
  <si>
    <t>Kataloga "Ādas māksla" izdošanas līdzfinansējums</t>
  </si>
  <si>
    <t>17.06.2009.</t>
  </si>
  <si>
    <t>koncerts "Skani ar mani"</t>
  </si>
  <si>
    <t>Līdzfinansējums Annijas Putniņas dalībai "28. starptautiskajā Hansa Gabora Belvederes dziedātāju konkursā 2009"</t>
  </si>
  <si>
    <t>Citi</t>
  </si>
  <si>
    <t>Autoratlīdzību atlīdzība</t>
  </si>
  <si>
    <t>Pasākumu reklāma radio un TV, tipogrāf.pakalp.</t>
  </si>
  <si>
    <t xml:space="preserve">Sanitāro mezglu īre </t>
  </si>
  <si>
    <t xml:space="preserve">Tipogrāfijas izdevumi </t>
  </si>
  <si>
    <t xml:space="preserve">Prezentācijas izdevumi </t>
  </si>
  <si>
    <t>Elektrības apmaksa kultūras pasākumos</t>
  </si>
  <si>
    <t>Grāmatas "Menuets" izdošanai līdzfinansējums</t>
  </si>
  <si>
    <t>Eiropas atlases kultūras galvaspilsētas Latvijā atlases konkursa pieteikuma sagatavošana</t>
  </si>
  <si>
    <t>24. Vispārējo Dziesmu svētku un 16. Deju svētku koncertu biļetu iegāde</t>
  </si>
  <si>
    <t>Jūrmalas Bibliotekāru konkurss</t>
  </si>
  <si>
    <t>Kultūras projektu konkurss</t>
  </si>
  <si>
    <t>23.04.2009.</t>
  </si>
  <si>
    <t>31.05.2009.</t>
  </si>
  <si>
    <t>30.05.2009.</t>
  </si>
  <si>
    <t>08.300</t>
  </si>
  <si>
    <t>Sabiedrības integrācijas pasākumi programmas ietvaros</t>
  </si>
  <si>
    <t>Sociālā integrācija cilvēkiem ar redzes zudumu</t>
  </si>
  <si>
    <t>01.04.-31.08.09.</t>
  </si>
  <si>
    <t>Reklāmas izdevumi kultūras pasākumiem</t>
  </si>
  <si>
    <t>Jomas ielas svētki</t>
  </si>
  <si>
    <t>Nacionālie un valsts svētku pasākumi</t>
  </si>
  <si>
    <t>Dažādi kultūras pasākumi</t>
  </si>
  <si>
    <t>Mākslas pasākumi</t>
  </si>
  <si>
    <t>Tradicionālie pilsētas pasākumi</t>
  </si>
  <si>
    <t>Festivāls "Summertime-aicina Inese Galante</t>
  </si>
  <si>
    <t>Dzintaru koncertzāles sezonas atklāšana un noslēgums</t>
  </si>
  <si>
    <t xml:space="preserve">Gada balva kultūrā </t>
  </si>
  <si>
    <t>Jūrmalas iedzīvotāju simpātijas balva festivālā "Jaunais Vilnis"</t>
  </si>
  <si>
    <t>Ziedojumi</t>
  </si>
  <si>
    <t>Jomas ielas svētku organizēšana</t>
  </si>
  <si>
    <t>8.pielikums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</si>
</sst>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 Baltic"/>
      <family val="0"/>
    </font>
    <font>
      <sz val="8"/>
      <name val="Times New Roman Baltic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38" fontId="24" fillId="0" borderId="0" xfId="0" applyNumberFormat="1" applyFont="1" applyAlignment="1">
      <alignment vertical="center"/>
    </xf>
    <xf numFmtId="0" fontId="25" fillId="10" borderId="10" xfId="0" applyFont="1" applyFill="1" applyBorder="1" applyAlignment="1">
      <alignment horizontal="center" vertical="center" wrapText="1"/>
    </xf>
    <xf numFmtId="0" fontId="24" fillId="0" borderId="0" xfId="57" applyFont="1" applyAlignment="1">
      <alignment vertical="center"/>
      <protection/>
    </xf>
    <xf numFmtId="0" fontId="26" fillId="4" borderId="11" xfId="0" applyFont="1" applyFill="1" applyBorder="1" applyAlignment="1">
      <alignment horizontal="center" vertical="center" wrapText="1"/>
    </xf>
    <xf numFmtId="3" fontId="24" fillId="4" borderId="11" xfId="0" applyNumberFormat="1" applyFont="1" applyFill="1" applyBorder="1" applyAlignment="1">
      <alignment horizontal="center" vertical="center"/>
    </xf>
    <xf numFmtId="3" fontId="26" fillId="4" borderId="11" xfId="60" applyNumberFormat="1" applyFont="1" applyFill="1" applyBorder="1" applyAlignment="1">
      <alignment vertical="center" wrapText="1"/>
    </xf>
    <xf numFmtId="3" fontId="26" fillId="4" borderId="11" xfId="60" applyNumberFormat="1" applyFont="1" applyFill="1" applyBorder="1" applyAlignment="1">
      <alignment horizontal="right" vertical="center" wrapText="1"/>
    </xf>
    <xf numFmtId="3" fontId="26" fillId="4" borderId="11" xfId="60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57" applyFont="1" applyBorder="1" applyAlignment="1">
      <alignment horizontal="center" vertical="center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vertical="center" wrapText="1"/>
      <protection/>
    </xf>
    <xf numFmtId="0" fontId="27" fillId="4" borderId="11" xfId="57" applyFont="1" applyFill="1" applyBorder="1" applyAlignment="1">
      <alignment horizontal="right" vertical="center"/>
      <protection/>
    </xf>
    <xf numFmtId="0" fontId="27" fillId="4" borderId="11" xfId="57" applyFont="1" applyFill="1" applyBorder="1" applyAlignment="1">
      <alignment vertical="center" wrapText="1"/>
      <protection/>
    </xf>
    <xf numFmtId="3" fontId="27" fillId="4" borderId="11" xfId="57" applyNumberFormat="1" applyFont="1" applyFill="1" applyBorder="1" applyAlignment="1">
      <alignment horizontal="right" vertical="center" wrapText="1"/>
      <protection/>
    </xf>
    <xf numFmtId="3" fontId="27" fillId="4" borderId="11" xfId="57" applyNumberFormat="1" applyFont="1" applyFill="1" applyBorder="1" applyAlignment="1">
      <alignment vertical="center" wrapText="1"/>
      <protection/>
    </xf>
    <xf numFmtId="38" fontId="27" fillId="4" borderId="11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Border="1" applyAlignment="1">
      <alignment horizontal="right" vertical="center"/>
      <protection/>
    </xf>
    <xf numFmtId="0" fontId="24" fillId="0" borderId="11" xfId="57" applyFont="1" applyFill="1" applyBorder="1" applyAlignment="1">
      <alignment vertical="center" wrapText="1"/>
      <protection/>
    </xf>
    <xf numFmtId="3" fontId="24" fillId="0" borderId="11" xfId="57" applyNumberFormat="1" applyFont="1" applyFill="1" applyBorder="1" applyAlignment="1">
      <alignment vertical="center" wrapText="1"/>
      <protection/>
    </xf>
    <xf numFmtId="0" fontId="24" fillId="0" borderId="11" xfId="57" applyFont="1" applyFill="1" applyBorder="1" applyAlignment="1">
      <alignment vertical="center"/>
      <protection/>
    </xf>
    <xf numFmtId="3" fontId="24" fillId="0" borderId="11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Border="1" applyAlignment="1">
      <alignment vertical="center"/>
      <protection/>
    </xf>
    <xf numFmtId="38" fontId="24" fillId="0" borderId="14" xfId="57" applyNumberFormat="1" applyFont="1" applyFill="1" applyBorder="1" applyAlignment="1">
      <alignment horizontal="right" vertical="center" wrapText="1"/>
      <protection/>
    </xf>
    <xf numFmtId="38" fontId="24" fillId="0" borderId="11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0" fontId="24" fillId="0" borderId="13" xfId="57" applyFont="1" applyBorder="1" applyAlignment="1">
      <alignment horizontal="right" vertical="center"/>
      <protection/>
    </xf>
    <xf numFmtId="0" fontId="24" fillId="0" borderId="13" xfId="57" applyFont="1" applyBorder="1" applyAlignment="1">
      <alignment horizontal="left" vertical="center" wrapText="1"/>
      <protection/>
    </xf>
    <xf numFmtId="3" fontId="24" fillId="0" borderId="13" xfId="57" applyNumberFormat="1" applyFont="1" applyFill="1" applyBorder="1" applyAlignment="1">
      <alignment horizontal="right" vertical="center" wrapText="1"/>
      <protection/>
    </xf>
    <xf numFmtId="0" fontId="24" fillId="0" borderId="14" xfId="57" applyFont="1" applyBorder="1" applyAlignment="1">
      <alignment horizontal="right" vertical="center"/>
      <protection/>
    </xf>
    <xf numFmtId="3" fontId="24" fillId="0" borderId="14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Fill="1" applyBorder="1" applyAlignment="1">
      <alignment horizontal="right" vertical="center"/>
      <protection/>
    </xf>
    <xf numFmtId="3" fontId="24" fillId="0" borderId="15" xfId="57" applyNumberFormat="1" applyFont="1" applyFill="1" applyBorder="1" applyAlignment="1">
      <alignment horizontal="right" vertical="center" wrapText="1"/>
      <protection/>
    </xf>
    <xf numFmtId="0" fontId="24" fillId="0" borderId="15" xfId="0" applyFont="1" applyFill="1" applyBorder="1" applyAlignment="1">
      <alignment vertical="center"/>
    </xf>
    <xf numFmtId="3" fontId="24" fillId="0" borderId="15" xfId="57" applyNumberFormat="1" applyFont="1" applyFill="1" applyBorder="1" applyAlignment="1">
      <alignment vertical="center" wrapText="1"/>
      <protection/>
    </xf>
    <xf numFmtId="0" fontId="24" fillId="0" borderId="15" xfId="57" applyFont="1" applyFill="1" applyBorder="1" applyAlignment="1">
      <alignment vertical="center"/>
      <protection/>
    </xf>
    <xf numFmtId="4" fontId="24" fillId="0" borderId="11" xfId="57" applyNumberFormat="1" applyFont="1" applyFill="1" applyBorder="1" applyAlignment="1">
      <alignment horizontal="right" vertical="center" wrapText="1"/>
      <protection/>
    </xf>
    <xf numFmtId="0" fontId="24" fillId="0" borderId="15" xfId="57" applyFont="1" applyBorder="1" applyAlignment="1">
      <alignment vertical="center"/>
      <protection/>
    </xf>
    <xf numFmtId="0" fontId="24" fillId="0" borderId="15" xfId="57" applyFont="1" applyFill="1" applyBorder="1" applyAlignment="1">
      <alignment vertical="center" wrapText="1"/>
      <protection/>
    </xf>
    <xf numFmtId="0" fontId="24" fillId="0" borderId="13" xfId="57" applyFont="1" applyFill="1" applyBorder="1" applyAlignment="1">
      <alignment horizontal="right" vertical="center"/>
      <protection/>
    </xf>
    <xf numFmtId="3" fontId="24" fillId="0" borderId="16" xfId="57" applyNumberFormat="1" applyFont="1" applyFill="1" applyBorder="1" applyAlignment="1">
      <alignment horizontal="right" vertical="center" wrapText="1"/>
      <protection/>
    </xf>
    <xf numFmtId="0" fontId="24" fillId="0" borderId="16" xfId="0" applyFont="1" applyBorder="1" applyAlignment="1">
      <alignment vertical="center"/>
    </xf>
    <xf numFmtId="3" fontId="24" fillId="0" borderId="16" xfId="57" applyNumberFormat="1" applyFont="1" applyFill="1" applyBorder="1" applyAlignment="1">
      <alignment vertical="center" wrapText="1"/>
      <protection/>
    </xf>
    <xf numFmtId="0" fontId="24" fillId="0" borderId="16" xfId="57" applyFont="1" applyBorder="1" applyAlignment="1">
      <alignment vertical="center"/>
      <protection/>
    </xf>
    <xf numFmtId="3" fontId="24" fillId="0" borderId="17" xfId="57" applyNumberFormat="1" applyFont="1" applyFill="1" applyBorder="1" applyAlignment="1">
      <alignment horizontal="right" vertical="center" wrapText="1"/>
      <protection/>
    </xf>
    <xf numFmtId="38" fontId="24" fillId="0" borderId="17" xfId="57" applyNumberFormat="1" applyFont="1" applyFill="1" applyBorder="1" applyAlignment="1">
      <alignment horizontal="right" vertical="center" wrapText="1"/>
      <protection/>
    </xf>
    <xf numFmtId="38" fontId="24" fillId="0" borderId="15" xfId="57" applyNumberFormat="1" applyFont="1" applyFill="1" applyBorder="1" applyAlignment="1">
      <alignment horizontal="right" vertical="center" wrapText="1"/>
      <protection/>
    </xf>
    <xf numFmtId="0" fontId="24" fillId="0" borderId="18" xfId="57" applyFont="1" applyBorder="1" applyAlignment="1">
      <alignment vertical="center"/>
      <protection/>
    </xf>
    <xf numFmtId="0" fontId="24" fillId="0" borderId="18" xfId="57" applyFont="1" applyFill="1" applyBorder="1" applyAlignment="1">
      <alignment horizontal="left" vertical="center" wrapText="1"/>
      <protection/>
    </xf>
    <xf numFmtId="3" fontId="24" fillId="0" borderId="18" xfId="57" applyNumberFormat="1" applyFont="1" applyFill="1" applyBorder="1" applyAlignment="1">
      <alignment horizontal="right" vertical="center" wrapText="1"/>
      <protection/>
    </xf>
    <xf numFmtId="0" fontId="24" fillId="0" borderId="18" xfId="57" applyFont="1" applyFill="1" applyBorder="1" applyAlignment="1">
      <alignment horizontal="right" vertical="center"/>
      <protection/>
    </xf>
    <xf numFmtId="0" fontId="24" fillId="0" borderId="14" xfId="0" applyFont="1" applyBorder="1" applyAlignment="1">
      <alignment vertical="center"/>
    </xf>
    <xf numFmtId="3" fontId="24" fillId="0" borderId="14" xfId="57" applyNumberFormat="1" applyFont="1" applyFill="1" applyBorder="1" applyAlignment="1">
      <alignment vertical="center" wrapText="1"/>
      <protection/>
    </xf>
    <xf numFmtId="0" fontId="24" fillId="0" borderId="14" xfId="57" applyFont="1" applyBorder="1" applyAlignment="1">
      <alignment vertical="center"/>
      <protection/>
    </xf>
    <xf numFmtId="38" fontId="24" fillId="0" borderId="18" xfId="57" applyNumberFormat="1" applyFont="1" applyFill="1" applyBorder="1" applyAlignment="1">
      <alignment horizontal="right" vertical="center" wrapText="1"/>
      <protection/>
    </xf>
    <xf numFmtId="2" fontId="24" fillId="0" borderId="11" xfId="57" applyNumberFormat="1" applyFont="1" applyBorder="1" applyAlignment="1">
      <alignment horizontal="center" vertical="center"/>
      <protection/>
    </xf>
    <xf numFmtId="0" fontId="24" fillId="0" borderId="19" xfId="57" applyFont="1" applyFill="1" applyBorder="1" applyAlignment="1">
      <alignment horizontal="left" vertical="center" wrapText="1"/>
      <protection/>
    </xf>
    <xf numFmtId="0" fontId="24" fillId="0" borderId="15" xfId="57" applyFont="1" applyFill="1" applyBorder="1" applyAlignment="1">
      <alignment horizontal="right" vertical="center"/>
      <protection/>
    </xf>
    <xf numFmtId="0" fontId="24" fillId="0" borderId="15" xfId="0" applyFont="1" applyBorder="1" applyAlignment="1">
      <alignment vertical="center"/>
    </xf>
    <xf numFmtId="3" fontId="24" fillId="0" borderId="13" xfId="57" applyNumberFormat="1" applyFont="1" applyFill="1" applyBorder="1" applyAlignment="1">
      <alignment vertical="center" wrapText="1"/>
      <protection/>
    </xf>
    <xf numFmtId="40" fontId="24" fillId="0" borderId="15" xfId="57" applyNumberFormat="1" applyFont="1" applyFill="1" applyBorder="1" applyAlignment="1">
      <alignment horizontal="right" vertical="center" wrapText="1"/>
      <protection/>
    </xf>
    <xf numFmtId="0" fontId="24" fillId="0" borderId="14" xfId="57" applyFont="1" applyFill="1" applyBorder="1" applyAlignment="1">
      <alignment vertical="center" wrapText="1"/>
      <protection/>
    </xf>
    <xf numFmtId="0" fontId="24" fillId="0" borderId="14" xfId="57" applyFont="1" applyFill="1" applyBorder="1" applyAlignment="1">
      <alignment horizontal="right" vertical="center"/>
      <protection/>
    </xf>
    <xf numFmtId="0" fontId="24" fillId="0" borderId="14" xfId="0" applyFont="1" applyFill="1" applyBorder="1" applyAlignment="1">
      <alignment vertical="center"/>
    </xf>
    <xf numFmtId="3" fontId="24" fillId="0" borderId="18" xfId="57" applyNumberFormat="1" applyFont="1" applyFill="1" applyBorder="1" applyAlignment="1">
      <alignment vertical="center" wrapText="1"/>
      <protection/>
    </xf>
    <xf numFmtId="0" fontId="24" fillId="0" borderId="14" xfId="57" applyFont="1" applyFill="1" applyBorder="1" applyAlignment="1">
      <alignment vertical="center"/>
      <protection/>
    </xf>
    <xf numFmtId="0" fontId="24" fillId="0" borderId="0" xfId="57" applyFont="1" applyFill="1" applyAlignment="1">
      <alignment vertical="center"/>
      <protection/>
    </xf>
    <xf numFmtId="38" fontId="24" fillId="0" borderId="13" xfId="57" applyNumberFormat="1" applyFont="1" applyFill="1" applyBorder="1" applyAlignment="1">
      <alignment horizontal="right" vertical="center" wrapText="1"/>
      <protection/>
    </xf>
    <xf numFmtId="0" fontId="24" fillId="0" borderId="13" xfId="57" applyFont="1" applyBorder="1" applyAlignment="1">
      <alignment vertical="center"/>
      <protection/>
    </xf>
    <xf numFmtId="0" fontId="24" fillId="0" borderId="14" xfId="57" applyFont="1" applyFill="1" applyBorder="1" applyAlignment="1">
      <alignment horizontal="left" vertical="center" wrapText="1"/>
      <protection/>
    </xf>
    <xf numFmtId="0" fontId="24" fillId="0" borderId="18" xfId="0" applyFont="1" applyBorder="1" applyAlignment="1">
      <alignment vertical="center"/>
    </xf>
    <xf numFmtId="0" fontId="24" fillId="0" borderId="14" xfId="57" applyNumberFormat="1" applyFont="1" applyFill="1" applyBorder="1" applyAlignment="1">
      <alignment horizontal="right" vertical="center" wrapText="1"/>
      <protection/>
    </xf>
    <xf numFmtId="0" fontId="24" fillId="0" borderId="18" xfId="57" applyNumberFormat="1" applyFont="1" applyFill="1" applyBorder="1" applyAlignment="1">
      <alignment horizontal="right" vertical="center" wrapText="1"/>
      <protection/>
    </xf>
    <xf numFmtId="0" fontId="24" fillId="0" borderId="11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Border="1" applyAlignment="1">
      <alignment horizontal="left" vertical="center" wrapText="1"/>
      <protection/>
    </xf>
    <xf numFmtId="0" fontId="24" fillId="5" borderId="11" xfId="57" applyFont="1" applyFill="1" applyBorder="1" applyAlignment="1">
      <alignment vertical="center"/>
      <protection/>
    </xf>
    <xf numFmtId="0" fontId="24" fillId="8" borderId="11" xfId="57" applyFont="1" applyFill="1" applyBorder="1" applyAlignment="1">
      <alignment vertical="center"/>
      <protection/>
    </xf>
    <xf numFmtId="0" fontId="24" fillId="10" borderId="15" xfId="57" applyFont="1" applyFill="1" applyBorder="1" applyAlignment="1">
      <alignment vertical="center"/>
      <protection/>
    </xf>
    <xf numFmtId="0" fontId="24" fillId="0" borderId="18" xfId="57" applyFont="1" applyFill="1" applyBorder="1" applyAlignment="1">
      <alignment vertical="center"/>
      <protection/>
    </xf>
    <xf numFmtId="3" fontId="27" fillId="0" borderId="11" xfId="57" applyNumberFormat="1" applyFont="1" applyFill="1" applyBorder="1" applyAlignment="1">
      <alignment vertical="center" wrapText="1"/>
      <protection/>
    </xf>
    <xf numFmtId="0" fontId="24" fillId="0" borderId="13" xfId="57" applyFont="1" applyFill="1" applyBorder="1" applyAlignment="1">
      <alignment vertical="center"/>
      <protection/>
    </xf>
    <xf numFmtId="0" fontId="24" fillId="0" borderId="17" xfId="57" applyFont="1" applyBorder="1" applyAlignment="1">
      <alignment horizontal="right" vertical="center"/>
      <protection/>
    </xf>
    <xf numFmtId="0" fontId="24" fillId="0" borderId="20" xfId="57" applyFont="1" applyFill="1" applyBorder="1" applyAlignment="1">
      <alignment horizontal="left" vertical="center" wrapText="1"/>
      <protection/>
    </xf>
    <xf numFmtId="3" fontId="24" fillId="0" borderId="20" xfId="57" applyNumberFormat="1" applyFont="1" applyFill="1" applyBorder="1" applyAlignment="1">
      <alignment vertical="center" wrapText="1"/>
      <protection/>
    </xf>
    <xf numFmtId="0" fontId="24" fillId="0" borderId="20" xfId="57" applyFont="1" applyFill="1" applyBorder="1" applyAlignment="1">
      <alignment vertical="center"/>
      <protection/>
    </xf>
    <xf numFmtId="3" fontId="24" fillId="0" borderId="20" xfId="57" applyNumberFormat="1" applyFont="1" applyFill="1" applyBorder="1" applyAlignment="1">
      <alignment horizontal="right" vertical="center" wrapText="1"/>
      <protection/>
    </xf>
    <xf numFmtId="38" fontId="24" fillId="0" borderId="19" xfId="57" applyNumberFormat="1" applyFont="1" applyFill="1" applyBorder="1" applyAlignment="1">
      <alignment horizontal="right" vertical="center" wrapText="1"/>
      <protection/>
    </xf>
    <xf numFmtId="38" fontId="24" fillId="0" borderId="16" xfId="57" applyNumberFormat="1" applyFont="1" applyFill="1" applyBorder="1" applyAlignment="1">
      <alignment horizontal="right" vertical="center" wrapText="1"/>
      <protection/>
    </xf>
    <xf numFmtId="0" fontId="24" fillId="0" borderId="18" xfId="57" applyFont="1" applyBorder="1" applyAlignment="1">
      <alignment horizontal="right" vertical="center"/>
      <protection/>
    </xf>
    <xf numFmtId="0" fontId="24" fillId="0" borderId="15" xfId="57" applyFont="1" applyBorder="1" applyAlignment="1">
      <alignment horizontal="right" vertical="center"/>
      <protection/>
    </xf>
    <xf numFmtId="0" fontId="27" fillId="4" borderId="11" xfId="57" applyFont="1" applyFill="1" applyBorder="1" applyAlignment="1">
      <alignment vertical="center"/>
      <protection/>
    </xf>
    <xf numFmtId="0" fontId="24" fillId="0" borderId="21" xfId="57" applyFont="1" applyBorder="1" applyAlignment="1">
      <alignment horizontal="right" vertical="center"/>
      <protection/>
    </xf>
    <xf numFmtId="40" fontId="24" fillId="0" borderId="14" xfId="57" applyNumberFormat="1" applyFont="1" applyFill="1" applyBorder="1" applyAlignment="1">
      <alignment horizontal="right" vertical="center" wrapText="1"/>
      <protection/>
    </xf>
    <xf numFmtId="40" fontId="24" fillId="0" borderId="11" xfId="57" applyNumberFormat="1" applyFont="1" applyFill="1" applyBorder="1" applyAlignment="1">
      <alignment horizontal="right" vertical="center" wrapText="1"/>
      <protection/>
    </xf>
    <xf numFmtId="0" fontId="24" fillId="0" borderId="11" xfId="0" applyFont="1" applyFill="1" applyBorder="1" applyAlignment="1">
      <alignment vertical="center"/>
    </xf>
    <xf numFmtId="0" fontId="24" fillId="0" borderId="11" xfId="57" applyFont="1" applyBorder="1" applyAlignment="1">
      <alignment vertical="center" wrapText="1"/>
      <protection/>
    </xf>
    <xf numFmtId="0" fontId="24" fillId="0" borderId="13" xfId="57" applyFont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2" fontId="24" fillId="0" borderId="14" xfId="57" applyNumberFormat="1" applyFont="1" applyBorder="1" applyAlignment="1">
      <alignment horizontal="center" vertical="center"/>
      <protection/>
    </xf>
    <xf numFmtId="0" fontId="24" fillId="0" borderId="22" xfId="57" applyFont="1" applyBorder="1" applyAlignment="1">
      <alignment horizontal="left" vertical="center" wrapText="1"/>
      <protection/>
    </xf>
    <xf numFmtId="0" fontId="24" fillId="0" borderId="23" xfId="57" applyFont="1" applyFill="1" applyBorder="1" applyAlignment="1">
      <alignment horizontal="left" vertical="center" wrapText="1"/>
      <protection/>
    </xf>
    <xf numFmtId="38" fontId="27" fillId="4" borderId="11" xfId="57" applyNumberFormat="1" applyFont="1" applyFill="1" applyBorder="1" applyAlignment="1">
      <alignment vertical="center" wrapText="1"/>
      <protection/>
    </xf>
    <xf numFmtId="3" fontId="29" fillId="0" borderId="11" xfId="57" applyNumberFormat="1" applyFont="1" applyFill="1" applyBorder="1" applyAlignment="1">
      <alignment horizontal="right" vertical="center" wrapText="1"/>
      <protection/>
    </xf>
    <xf numFmtId="3" fontId="24" fillId="10" borderId="11" xfId="57" applyNumberFormat="1" applyFont="1" applyFill="1" applyBorder="1" applyAlignment="1">
      <alignment vertical="center" wrapText="1"/>
      <protection/>
    </xf>
    <xf numFmtId="49" fontId="27" fillId="10" borderId="11" xfId="57" applyNumberFormat="1" applyFont="1" applyFill="1" applyBorder="1" applyAlignment="1">
      <alignment horizontal="left" vertical="center" wrapText="1"/>
      <protection/>
    </xf>
    <xf numFmtId="3" fontId="27" fillId="10" borderId="11" xfId="57" applyNumberFormat="1" applyFont="1" applyFill="1" applyBorder="1" applyAlignment="1">
      <alignment vertical="center" wrapText="1"/>
      <protection/>
    </xf>
    <xf numFmtId="3" fontId="27" fillId="0" borderId="11" xfId="57" applyNumberFormat="1" applyFont="1" applyFill="1" applyBorder="1" applyAlignment="1">
      <alignment horizontal="right" vertical="center" wrapText="1"/>
      <protection/>
    </xf>
    <xf numFmtId="0" fontId="27" fillId="4" borderId="11" xfId="57" applyNumberFormat="1" applyFont="1" applyFill="1" applyBorder="1" applyAlignment="1">
      <alignment vertical="center" wrapText="1"/>
      <protection/>
    </xf>
    <xf numFmtId="0" fontId="24" fillId="0" borderId="0" xfId="57" applyFont="1" applyBorder="1" applyAlignment="1">
      <alignment horizontal="right" vertical="center"/>
      <protection/>
    </xf>
    <xf numFmtId="0" fontId="24" fillId="0" borderId="0" xfId="57" applyFont="1" applyBorder="1" applyAlignment="1">
      <alignment vertical="center" wrapText="1"/>
      <protection/>
    </xf>
    <xf numFmtId="3" fontId="24" fillId="0" borderId="0" xfId="57" applyNumberFormat="1" applyFont="1" applyFill="1" applyBorder="1" applyAlignment="1">
      <alignment horizontal="right" vertical="center" wrapText="1"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57" applyFont="1" applyBorder="1" applyAlignment="1">
      <alignment vertical="center"/>
      <protection/>
    </xf>
    <xf numFmtId="0" fontId="24" fillId="0" borderId="0" xfId="57" applyFont="1" applyFill="1" applyBorder="1" applyAlignment="1">
      <alignment vertical="center"/>
      <protection/>
    </xf>
    <xf numFmtId="38" fontId="24" fillId="0" borderId="0" xfId="57" applyNumberFormat="1" applyFont="1" applyFill="1" applyBorder="1" applyAlignment="1">
      <alignment horizontal="right" vertical="center" wrapText="1"/>
      <protection/>
    </xf>
    <xf numFmtId="0" fontId="24" fillId="0" borderId="0" xfId="57" applyFont="1" applyAlignment="1">
      <alignment horizontal="center" vertical="center"/>
      <protection/>
    </xf>
    <xf numFmtId="38" fontId="24" fillId="0" borderId="0" xfId="57" applyNumberFormat="1" applyFont="1" applyAlignment="1">
      <alignment vertical="center"/>
      <protection/>
    </xf>
    <xf numFmtId="3" fontId="24" fillId="0" borderId="0" xfId="57" applyNumberFormat="1" applyFont="1" applyFill="1" applyBorder="1" applyAlignment="1">
      <alignment vertical="center" wrapText="1"/>
      <protection/>
    </xf>
    <xf numFmtId="38" fontId="24" fillId="0" borderId="0" xfId="57" applyNumberFormat="1" applyFont="1" applyFill="1" applyBorder="1" applyAlignment="1">
      <alignment vertical="center" wrapText="1"/>
      <protection/>
    </xf>
    <xf numFmtId="3" fontId="24" fillId="0" borderId="0" xfId="57" applyNumberFormat="1" applyFont="1" applyFill="1" applyBorder="1" applyAlignment="1">
      <alignment vertical="center"/>
      <protection/>
    </xf>
    <xf numFmtId="38" fontId="24" fillId="0" borderId="0" xfId="57" applyNumberFormat="1" applyFont="1" applyFill="1" applyBorder="1" applyAlignment="1">
      <alignment vertical="center"/>
      <protection/>
    </xf>
    <xf numFmtId="38" fontId="24" fillId="0" borderId="0" xfId="57" applyNumberFormat="1" applyFont="1" applyFill="1" applyBorder="1" applyAlignment="1">
      <alignment horizontal="center" vertical="center" wrapText="1"/>
      <protection/>
    </xf>
    <xf numFmtId="3" fontId="27" fillId="0" borderId="0" xfId="57" applyNumberFormat="1" applyFont="1" applyFill="1" applyBorder="1" applyAlignment="1">
      <alignment horizontal="right" vertical="center" wrapText="1"/>
      <protection/>
    </xf>
    <xf numFmtId="38" fontId="27" fillId="0" borderId="0" xfId="57" applyNumberFormat="1" applyFont="1" applyFill="1" applyBorder="1" applyAlignment="1">
      <alignment horizontal="right" vertical="center" wrapText="1"/>
      <protection/>
    </xf>
    <xf numFmtId="1" fontId="24" fillId="0" borderId="11" xfId="57" applyNumberFormat="1" applyFont="1" applyFill="1" applyBorder="1" applyAlignment="1">
      <alignment horizontal="right" vertical="center" wrapText="1"/>
      <protection/>
    </xf>
    <xf numFmtId="1" fontId="24" fillId="0" borderId="15" xfId="57" applyNumberFormat="1" applyFont="1" applyFill="1" applyBorder="1" applyAlignment="1">
      <alignment horizontal="right" vertical="center" wrapText="1"/>
      <protection/>
    </xf>
    <xf numFmtId="1" fontId="24" fillId="0" borderId="18" xfId="57" applyNumberFormat="1" applyFont="1" applyFill="1" applyBorder="1" applyAlignment="1">
      <alignment horizontal="right" vertical="center" wrapText="1"/>
      <protection/>
    </xf>
    <xf numFmtId="1" fontId="24" fillId="0" borderId="14" xfId="57" applyNumberFormat="1" applyFont="1" applyFill="1" applyBorder="1" applyAlignment="1">
      <alignment horizontal="right" vertical="center" wrapText="1"/>
      <protection/>
    </xf>
    <xf numFmtId="1" fontId="24" fillId="0" borderId="13" xfId="57" applyNumberFormat="1" applyFont="1" applyFill="1" applyBorder="1" applyAlignment="1">
      <alignment horizontal="right" vertical="center" wrapText="1"/>
      <protection/>
    </xf>
    <xf numFmtId="1" fontId="24" fillId="0" borderId="16" xfId="57" applyNumberFormat="1" applyFont="1" applyFill="1" applyBorder="1" applyAlignment="1">
      <alignment horizontal="right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right" vertical="center" wrapText="1"/>
      <protection/>
    </xf>
    <xf numFmtId="3" fontId="27" fillId="0" borderId="13" xfId="57" applyNumberFormat="1" applyFont="1" applyFill="1" applyBorder="1" applyAlignment="1">
      <alignment horizontal="center" vertical="center" wrapText="1"/>
      <protection/>
    </xf>
    <xf numFmtId="38" fontId="27" fillId="0" borderId="11" xfId="57" applyNumberFormat="1" applyFont="1" applyFill="1" applyBorder="1" applyAlignment="1">
      <alignment horizontal="right" vertical="center" wrapText="1"/>
      <protection/>
    </xf>
    <xf numFmtId="1" fontId="27" fillId="0" borderId="11" xfId="57" applyNumberFormat="1" applyFont="1" applyFill="1" applyBorder="1" applyAlignment="1">
      <alignment horizontal="right" vertical="center" wrapText="1"/>
      <protection/>
    </xf>
    <xf numFmtId="0" fontId="27" fillId="0" borderId="11" xfId="57" applyFont="1" applyFill="1" applyBorder="1" applyAlignment="1">
      <alignment horizontal="right" vertical="center"/>
      <protection/>
    </xf>
    <xf numFmtId="0" fontId="27" fillId="0" borderId="11" xfId="57" applyFont="1" applyFill="1" applyBorder="1" applyAlignment="1">
      <alignment vertical="center" wrapText="1"/>
      <protection/>
    </xf>
    <xf numFmtId="3" fontId="27" fillId="0" borderId="13" xfId="57" applyNumberFormat="1" applyFont="1" applyFill="1" applyBorder="1" applyAlignment="1">
      <alignment vertical="center" wrapText="1"/>
      <protection/>
    </xf>
    <xf numFmtId="3" fontId="27" fillId="0" borderId="15" xfId="57" applyNumberFormat="1" applyFont="1" applyFill="1" applyBorder="1" applyAlignment="1">
      <alignment horizontal="right" vertical="center" wrapText="1"/>
      <protection/>
    </xf>
    <xf numFmtId="38" fontId="27" fillId="0" borderId="15" xfId="57" applyNumberFormat="1" applyFont="1" applyFill="1" applyBorder="1" applyAlignment="1">
      <alignment horizontal="right" vertical="center" wrapText="1"/>
      <protection/>
    </xf>
    <xf numFmtId="1" fontId="27" fillId="0" borderId="15" xfId="57" applyNumberFormat="1" applyFont="1" applyFill="1" applyBorder="1" applyAlignment="1">
      <alignment horizontal="right" vertical="center" wrapText="1"/>
      <protection/>
    </xf>
    <xf numFmtId="0" fontId="27" fillId="0" borderId="11" xfId="57" applyFont="1" applyFill="1" applyBorder="1" applyAlignment="1">
      <alignment vertical="center"/>
      <protection/>
    </xf>
    <xf numFmtId="3" fontId="27" fillId="0" borderId="14" xfId="57" applyNumberFormat="1" applyFont="1" applyFill="1" applyBorder="1" applyAlignment="1">
      <alignment horizontal="right" vertical="center" wrapText="1"/>
      <protection/>
    </xf>
    <xf numFmtId="38" fontId="27" fillId="0" borderId="11" xfId="57" applyNumberFormat="1" applyFont="1" applyFill="1" applyBorder="1" applyAlignment="1">
      <alignment vertical="center" wrapText="1"/>
      <protection/>
    </xf>
    <xf numFmtId="1" fontId="27" fillId="0" borderId="11" xfId="57" applyNumberFormat="1" applyFont="1" applyFill="1" applyBorder="1" applyAlignment="1">
      <alignment vertical="center" wrapText="1"/>
      <protection/>
    </xf>
    <xf numFmtId="0" fontId="32" fillId="0" borderId="0" xfId="0" applyFont="1" applyAlignment="1">
      <alignment vertical="center"/>
    </xf>
    <xf numFmtId="3" fontId="24" fillId="0" borderId="17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0" fontId="24" fillId="0" borderId="15" xfId="57" applyFont="1" applyFill="1" applyBorder="1" applyAlignment="1">
      <alignment horizontal="left" vertical="center" wrapText="1"/>
      <protection/>
    </xf>
    <xf numFmtId="0" fontId="24" fillId="0" borderId="15" xfId="57" applyFont="1" applyBorder="1" applyAlignment="1">
      <alignment vertic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4" fillId="0" borderId="13" xfId="57" applyFont="1" applyBorder="1" applyAlignment="1">
      <alignment horizontal="left" vertical="center" wrapText="1"/>
      <protection/>
    </xf>
    <xf numFmtId="0" fontId="24" fillId="0" borderId="14" xfId="57" applyFont="1" applyBorder="1" applyAlignment="1">
      <alignment horizontal="left" vertical="center" wrapText="1"/>
      <protection/>
    </xf>
    <xf numFmtId="0" fontId="24" fillId="0" borderId="13" xfId="57" applyFont="1" applyBorder="1" applyAlignment="1">
      <alignment horizontal="right" vertical="center"/>
      <protection/>
    </xf>
    <xf numFmtId="0" fontId="24" fillId="0" borderId="24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25" xfId="57" applyFont="1" applyFill="1" applyBorder="1" applyAlignment="1">
      <alignment horizontal="center" vertical="center" wrapText="1"/>
      <protection/>
    </xf>
    <xf numFmtId="0" fontId="24" fillId="0" borderId="18" xfId="57" applyFont="1" applyFill="1" applyBorder="1" applyAlignment="1">
      <alignment horizontal="left" vertical="center" wrapText="1"/>
      <protection/>
    </xf>
    <xf numFmtId="3" fontId="24" fillId="0" borderId="18" xfId="57" applyNumberFormat="1" applyFont="1" applyFill="1" applyBorder="1" applyAlignment="1">
      <alignment horizontal="right" vertical="center" wrapText="1"/>
      <protection/>
    </xf>
    <xf numFmtId="0" fontId="24" fillId="0" borderId="13" xfId="57" applyFont="1" applyFill="1" applyBorder="1" applyAlignment="1">
      <alignment horizontal="right" vertical="center"/>
      <protection/>
    </xf>
    <xf numFmtId="0" fontId="24" fillId="0" borderId="14" xfId="57" applyFont="1" applyFill="1" applyBorder="1" applyAlignment="1">
      <alignment horizontal="right" vertical="center"/>
      <protection/>
    </xf>
    <xf numFmtId="0" fontId="24" fillId="0" borderId="11" xfId="57" applyFont="1" applyFill="1" applyBorder="1" applyAlignment="1">
      <alignment vertical="center" wrapText="1"/>
      <protection/>
    </xf>
    <xf numFmtId="3" fontId="24" fillId="0" borderId="19" xfId="57" applyNumberFormat="1" applyFont="1" applyFill="1" applyBorder="1" applyAlignment="1">
      <alignment horizontal="right" vertical="center" wrapText="1"/>
      <protection/>
    </xf>
    <xf numFmtId="38" fontId="24" fillId="0" borderId="17" xfId="57" applyNumberFormat="1" applyFont="1" applyFill="1" applyBorder="1" applyAlignment="1">
      <alignment horizontal="center" vertical="center" wrapText="1"/>
      <protection/>
    </xf>
    <xf numFmtId="38" fontId="24" fillId="0" borderId="14" xfId="57" applyNumberFormat="1" applyFont="1" applyFill="1" applyBorder="1" applyAlignment="1">
      <alignment horizontal="center" vertical="center" wrapText="1"/>
      <protection/>
    </xf>
    <xf numFmtId="0" fontId="24" fillId="0" borderId="19" xfId="57" applyFont="1" applyBorder="1" applyAlignment="1">
      <alignment horizontal="right" vertical="center"/>
      <protection/>
    </xf>
    <xf numFmtId="0" fontId="24" fillId="0" borderId="14" xfId="57" applyFont="1" applyBorder="1" applyAlignment="1">
      <alignment horizontal="right" vertical="center"/>
      <protection/>
    </xf>
    <xf numFmtId="0" fontId="24" fillId="0" borderId="17" xfId="57" applyFont="1" applyFill="1" applyBorder="1" applyAlignment="1">
      <alignment horizontal="left" vertical="center" wrapText="1"/>
      <protection/>
    </xf>
    <xf numFmtId="0" fontId="24" fillId="0" borderId="19" xfId="57" applyFont="1" applyFill="1" applyBorder="1" applyAlignment="1">
      <alignment horizontal="left" vertical="center" wrapText="1"/>
      <protection/>
    </xf>
    <xf numFmtId="0" fontId="24" fillId="0" borderId="16" xfId="57" applyFont="1" applyFill="1" applyBorder="1" applyAlignment="1">
      <alignment horizontal="left" vertical="center" wrapText="1"/>
      <protection/>
    </xf>
    <xf numFmtId="3" fontId="24" fillId="0" borderId="11" xfId="57" applyNumberFormat="1" applyFont="1" applyFill="1" applyBorder="1" applyAlignment="1">
      <alignment horizontal="right" vertical="center" wrapText="1"/>
      <protection/>
    </xf>
    <xf numFmtId="3" fontId="24" fillId="0" borderId="15" xfId="57" applyNumberFormat="1" applyFont="1" applyFill="1" applyBorder="1" applyAlignment="1">
      <alignment horizontal="right" vertical="center" wrapText="1"/>
      <protection/>
    </xf>
    <xf numFmtId="2" fontId="24" fillId="0" borderId="14" xfId="57" applyNumberFormat="1" applyFont="1" applyBorder="1" applyAlignment="1">
      <alignment vertical="center"/>
      <protection/>
    </xf>
    <xf numFmtId="2" fontId="24" fillId="0" borderId="11" xfId="57" applyNumberFormat="1" applyFont="1" applyBorder="1" applyAlignment="1">
      <alignment vertical="center"/>
      <protection/>
    </xf>
    <xf numFmtId="2" fontId="24" fillId="0" borderId="15" xfId="57" applyNumberFormat="1" applyFont="1" applyBorder="1" applyAlignment="1">
      <alignment vertical="center"/>
      <protection/>
    </xf>
    <xf numFmtId="0" fontId="24" fillId="0" borderId="14" xfId="57" applyFont="1" applyBorder="1" applyAlignment="1">
      <alignment vertical="center"/>
      <protection/>
    </xf>
    <xf numFmtId="0" fontId="24" fillId="0" borderId="11" xfId="57" applyFont="1" applyBorder="1" applyAlignment="1">
      <alignment vertical="center"/>
      <protection/>
    </xf>
    <xf numFmtId="0" fontId="24" fillId="0" borderId="14" xfId="57" applyFont="1" applyFill="1" applyBorder="1" applyAlignment="1">
      <alignment horizontal="left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14" xfId="57" applyFont="1" applyFill="1" applyBorder="1" applyAlignment="1">
      <alignment horizontal="center" vertical="center" wrapText="1"/>
      <protection/>
    </xf>
    <xf numFmtId="3" fontId="24" fillId="0" borderId="13" xfId="57" applyNumberFormat="1" applyFont="1" applyFill="1" applyBorder="1" applyAlignment="1">
      <alignment horizontal="right" vertical="center" wrapText="1"/>
      <protection/>
    </xf>
    <xf numFmtId="3" fontId="24" fillId="0" borderId="14" xfId="57" applyNumberFormat="1" applyFont="1" applyFill="1" applyBorder="1" applyAlignment="1">
      <alignment horizontal="right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26" xfId="57" applyFont="1" applyFill="1" applyBorder="1" applyAlignment="1">
      <alignment horizontal="center" vertical="center" wrapText="1"/>
      <protection/>
    </xf>
    <xf numFmtId="0" fontId="24" fillId="0" borderId="27" xfId="57" applyFont="1" applyFill="1" applyBorder="1" applyAlignment="1">
      <alignment horizontal="center" vertical="center" wrapText="1"/>
      <protection/>
    </xf>
    <xf numFmtId="0" fontId="24" fillId="0" borderId="23" xfId="57" applyFont="1" applyFill="1" applyBorder="1" applyAlignment="1">
      <alignment horizontal="center" vertical="center" wrapText="1"/>
      <protection/>
    </xf>
    <xf numFmtId="38" fontId="24" fillId="0" borderId="13" xfId="57" applyNumberFormat="1" applyFont="1" applyFill="1" applyBorder="1" applyAlignment="1">
      <alignment horizontal="right" vertical="center" wrapText="1"/>
      <protection/>
    </xf>
    <xf numFmtId="38" fontId="24" fillId="0" borderId="14" xfId="57" applyNumberFormat="1" applyFont="1" applyFill="1" applyBorder="1" applyAlignment="1">
      <alignment horizontal="right" vertical="center" wrapText="1"/>
      <protection/>
    </xf>
    <xf numFmtId="38" fontId="24" fillId="0" borderId="13" xfId="57" applyNumberFormat="1" applyFont="1" applyFill="1" applyBorder="1" applyAlignment="1">
      <alignment horizontal="center" vertical="center" wrapText="1"/>
      <protection/>
    </xf>
    <xf numFmtId="3" fontId="24" fillId="0" borderId="16" xfId="57" applyNumberFormat="1" applyFont="1" applyFill="1" applyBorder="1" applyAlignment="1">
      <alignment horizontal="right" vertical="center" wrapText="1"/>
      <protection/>
    </xf>
    <xf numFmtId="0" fontId="24" fillId="0" borderId="28" xfId="57" applyFont="1" applyBorder="1" applyAlignment="1">
      <alignment horizontal="right" vertical="center"/>
      <protection/>
    </xf>
    <xf numFmtId="0" fontId="24" fillId="0" borderId="29" xfId="57" applyFont="1" applyBorder="1" applyAlignment="1">
      <alignment horizontal="right" vertical="center"/>
      <protection/>
    </xf>
    <xf numFmtId="0" fontId="24" fillId="0" borderId="30" xfId="57" applyFont="1" applyBorder="1" applyAlignment="1">
      <alignment horizontal="right" vertical="center"/>
      <protection/>
    </xf>
    <xf numFmtId="0" fontId="24" fillId="0" borderId="11" xfId="57" applyFont="1" applyFill="1" applyBorder="1" applyAlignment="1">
      <alignment horizontal="right" vertical="center"/>
      <protection/>
    </xf>
    <xf numFmtId="0" fontId="24" fillId="0" borderId="15" xfId="57" applyFont="1" applyFill="1" applyBorder="1" applyAlignment="1">
      <alignment horizontal="right" vertical="center"/>
      <protection/>
    </xf>
    <xf numFmtId="0" fontId="24" fillId="0" borderId="14" xfId="57" applyNumberFormat="1" applyFont="1" applyFill="1" applyBorder="1" applyAlignment="1">
      <alignment horizontal="left" vertical="center" wrapText="1"/>
      <protection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13" xfId="5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/>
    </xf>
    <xf numFmtId="0" fontId="24" fillId="0" borderId="11" xfId="57" applyFont="1" applyBorder="1" applyAlignment="1">
      <alignment horizontal="left" vertical="center" wrapText="1"/>
      <protection/>
    </xf>
    <xf numFmtId="2" fontId="24" fillId="0" borderId="18" xfId="57" applyNumberFormat="1" applyFont="1" applyBorder="1" applyAlignment="1">
      <alignment horizontal="center" vertical="center"/>
      <protection/>
    </xf>
    <xf numFmtId="2" fontId="24" fillId="0" borderId="11" xfId="57" applyNumberFormat="1" applyFont="1" applyBorder="1" applyAlignment="1">
      <alignment horizontal="center" vertical="center"/>
      <protection/>
    </xf>
    <xf numFmtId="2" fontId="24" fillId="0" borderId="15" xfId="57" applyNumberFormat="1" applyFont="1" applyBorder="1" applyAlignment="1">
      <alignment horizontal="center" vertical="center"/>
      <protection/>
    </xf>
    <xf numFmtId="0" fontId="24" fillId="0" borderId="11" xfId="57" applyFont="1" applyBorder="1" applyAlignment="1">
      <alignment horizontal="right" vertical="center"/>
      <protection/>
    </xf>
    <xf numFmtId="0" fontId="24" fillId="0" borderId="15" xfId="57" applyFont="1" applyBorder="1" applyAlignment="1">
      <alignment horizontal="right" vertical="center"/>
      <protection/>
    </xf>
    <xf numFmtId="0" fontId="24" fillId="0" borderId="31" xfId="57" applyFont="1" applyBorder="1" applyAlignment="1">
      <alignment horizontal="right" vertical="center"/>
      <protection/>
    </xf>
    <xf numFmtId="0" fontId="24" fillId="0" borderId="32" xfId="57" applyFont="1" applyBorder="1" applyAlignment="1">
      <alignment horizontal="right" vertical="center"/>
      <protection/>
    </xf>
    <xf numFmtId="38" fontId="24" fillId="0" borderId="17" xfId="57" applyNumberFormat="1" applyFont="1" applyFill="1" applyBorder="1" applyAlignment="1">
      <alignment horizontal="right" vertical="center" wrapText="1"/>
      <protection/>
    </xf>
    <xf numFmtId="0" fontId="24" fillId="0" borderId="17" xfId="57" applyFont="1" applyFill="1" applyBorder="1" applyAlignment="1">
      <alignment horizontal="right" vertical="center"/>
      <protection/>
    </xf>
    <xf numFmtId="0" fontId="27" fillId="0" borderId="13" xfId="57" applyFont="1" applyFill="1" applyBorder="1" applyAlignment="1">
      <alignment horizontal="right" vertical="center"/>
      <protection/>
    </xf>
    <xf numFmtId="0" fontId="27" fillId="0" borderId="17" xfId="57" applyFont="1" applyFill="1" applyBorder="1" applyAlignment="1">
      <alignment horizontal="right" vertical="center"/>
      <protection/>
    </xf>
    <xf numFmtId="0" fontId="27" fillId="0" borderId="14" xfId="57" applyFont="1" applyFill="1" applyBorder="1" applyAlignment="1">
      <alignment horizontal="right" vertical="center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0" fontId="27" fillId="0" borderId="17" xfId="57" applyFont="1" applyFill="1" applyBorder="1" applyAlignment="1">
      <alignment horizontal="left" vertical="center" wrapText="1"/>
      <protection/>
    </xf>
    <xf numFmtId="0" fontId="27" fillId="0" borderId="14" xfId="57" applyFont="1" applyFill="1" applyBorder="1" applyAlignment="1">
      <alignment horizontal="left" vertical="center" wrapText="1"/>
      <protection/>
    </xf>
    <xf numFmtId="0" fontId="27" fillId="4" borderId="13" xfId="57" applyFont="1" applyFill="1" applyBorder="1" applyAlignment="1">
      <alignment horizontal="right" vertical="center"/>
      <protection/>
    </xf>
    <xf numFmtId="0" fontId="27" fillId="4" borderId="17" xfId="57" applyFont="1" applyFill="1" applyBorder="1" applyAlignment="1">
      <alignment horizontal="right" vertical="center"/>
      <protection/>
    </xf>
    <xf numFmtId="0" fontId="27" fillId="4" borderId="14" xfId="57" applyFont="1" applyFill="1" applyBorder="1" applyAlignment="1">
      <alignment horizontal="right" vertical="center"/>
      <protection/>
    </xf>
    <xf numFmtId="0" fontId="24" fillId="0" borderId="18" xfId="57" applyFont="1" applyBorder="1" applyAlignment="1">
      <alignment vertical="center"/>
      <protection/>
    </xf>
    <xf numFmtId="0" fontId="24" fillId="0" borderId="11" xfId="57" applyFont="1" applyBorder="1" applyAlignment="1">
      <alignment horizontal="center" vertical="center"/>
      <protection/>
    </xf>
    <xf numFmtId="0" fontId="24" fillId="24" borderId="13" xfId="57" applyFont="1" applyFill="1" applyBorder="1" applyAlignment="1">
      <alignment horizontal="left" vertical="center" wrapText="1"/>
      <protection/>
    </xf>
    <xf numFmtId="0" fontId="24" fillId="24" borderId="16" xfId="57" applyFont="1" applyFill="1" applyBorder="1" applyAlignment="1">
      <alignment horizontal="left" vertical="center" wrapText="1"/>
      <protection/>
    </xf>
    <xf numFmtId="0" fontId="24" fillId="0" borderId="18" xfId="57" applyFont="1" applyBorder="1" applyAlignment="1">
      <alignment horizontal="right" vertical="center"/>
      <protection/>
    </xf>
    <xf numFmtId="0" fontId="24" fillId="0" borderId="33" xfId="57" applyFont="1" applyBorder="1" applyAlignment="1">
      <alignment horizontal="right" vertical="center"/>
      <protection/>
    </xf>
    <xf numFmtId="0" fontId="24" fillId="0" borderId="34" xfId="57" applyFont="1" applyBorder="1" applyAlignment="1">
      <alignment horizontal="left" vertical="center" wrapText="1"/>
      <protection/>
    </xf>
    <xf numFmtId="0" fontId="24" fillId="0" borderId="25" xfId="57" applyFont="1" applyBorder="1" applyAlignment="1">
      <alignment horizontal="left" vertical="center" wrapText="1"/>
      <protection/>
    </xf>
    <xf numFmtId="0" fontId="24" fillId="0" borderId="35" xfId="57" applyFont="1" applyBorder="1" applyAlignment="1">
      <alignment horizontal="left" vertical="center" wrapText="1"/>
      <protection/>
    </xf>
    <xf numFmtId="0" fontId="24" fillId="0" borderId="11" xfId="57" applyNumberFormat="1" applyFont="1" applyFill="1" applyBorder="1" applyAlignment="1">
      <alignment horizontal="right" vertical="center" wrapText="1"/>
      <protection/>
    </xf>
    <xf numFmtId="1" fontId="24" fillId="0" borderId="13" xfId="57" applyNumberFormat="1" applyFont="1" applyFill="1" applyBorder="1" applyAlignment="1">
      <alignment horizontal="center" vertical="center" wrapText="1"/>
      <protection/>
    </xf>
    <xf numFmtId="1" fontId="24" fillId="0" borderId="17" xfId="57" applyNumberFormat="1" applyFont="1" applyFill="1" applyBorder="1" applyAlignment="1">
      <alignment horizontal="center" vertical="center" wrapText="1"/>
      <protection/>
    </xf>
    <xf numFmtId="1" fontId="24" fillId="0" borderId="14" xfId="57" applyNumberFormat="1" applyFont="1" applyFill="1" applyBorder="1" applyAlignment="1">
      <alignment horizontal="center" vertical="center" wrapText="1"/>
      <protection/>
    </xf>
    <xf numFmtId="1" fontId="24" fillId="0" borderId="13" xfId="57" applyNumberFormat="1" applyFont="1" applyFill="1" applyBorder="1" applyAlignment="1">
      <alignment horizontal="right" vertical="center" wrapText="1"/>
      <protection/>
    </xf>
    <xf numFmtId="1" fontId="24" fillId="0" borderId="14" xfId="57" applyNumberFormat="1" applyFont="1" applyFill="1" applyBorder="1" applyAlignment="1">
      <alignment horizontal="right" vertical="center" wrapText="1"/>
      <protection/>
    </xf>
    <xf numFmtId="1" fontId="24" fillId="0" borderId="17" xfId="57" applyNumberFormat="1" applyFont="1" applyFill="1" applyBorder="1" applyAlignment="1">
      <alignment horizontal="right" vertical="center" wrapText="1"/>
      <protection/>
    </xf>
    <xf numFmtId="40" fontId="24" fillId="0" borderId="13" xfId="57" applyNumberFormat="1" applyFont="1" applyFill="1" applyBorder="1" applyAlignment="1">
      <alignment horizontal="right" vertical="center" wrapText="1"/>
      <protection/>
    </xf>
    <xf numFmtId="40" fontId="24" fillId="0" borderId="17" xfId="57" applyNumberFormat="1" applyFont="1" applyFill="1" applyBorder="1" applyAlignment="1">
      <alignment horizontal="right" vertical="center" wrapText="1"/>
      <protection/>
    </xf>
    <xf numFmtId="40" fontId="24" fillId="0" borderId="14" xfId="57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elik_nastj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4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V79" sqref="V79"/>
    </sheetView>
  </sheetViews>
  <sheetFormatPr defaultColWidth="9.140625" defaultRowHeight="12.75" zeroHeight="1"/>
  <cols>
    <col min="1" max="1" width="4.140625" style="127" customWidth="1"/>
    <col min="2" max="2" width="34.7109375" style="5" customWidth="1"/>
    <col min="3" max="3" width="6.57421875" style="5" bestFit="1" customWidth="1"/>
    <col min="4" max="4" width="5.28125" style="5" bestFit="1" customWidth="1"/>
    <col min="5" max="5" width="7.8515625" style="5" customWidth="1"/>
    <col min="6" max="6" width="2.7109375" style="5" hidden="1" customWidth="1"/>
    <col min="7" max="7" width="4.8515625" style="78" hidden="1" customWidth="1"/>
    <col min="8" max="8" width="3.57421875" style="78" hidden="1" customWidth="1"/>
    <col min="9" max="9" width="5.7109375" style="78" hidden="1" customWidth="1"/>
    <col min="10" max="10" width="4.8515625" style="1" hidden="1" customWidth="1"/>
    <col min="11" max="11" width="4.8515625" style="5" hidden="1" customWidth="1"/>
    <col min="12" max="12" width="6.140625" style="5" hidden="1" customWidth="1"/>
    <col min="13" max="13" width="5.28125" style="5" hidden="1" customWidth="1"/>
    <col min="14" max="14" width="2.7109375" style="5" hidden="1" customWidth="1"/>
    <col min="15" max="15" width="2.140625" style="1" hidden="1" customWidth="1"/>
    <col min="16" max="16" width="2.7109375" style="5" hidden="1" customWidth="1"/>
    <col min="17" max="17" width="3.28125" style="5" hidden="1" customWidth="1"/>
    <col min="18" max="18" width="6.7109375" style="1" customWidth="1"/>
    <col min="19" max="19" width="6.57421875" style="128" customWidth="1"/>
    <col min="20" max="20" width="7.7109375" style="5" customWidth="1"/>
    <col min="21" max="21" width="7.00390625" style="3" bestFit="1" customWidth="1"/>
    <col min="22" max="22" width="12.421875" style="5" customWidth="1"/>
    <col min="23" max="23" width="11.7109375" style="5" customWidth="1"/>
    <col min="24" max="24" width="9.140625" style="5" customWidth="1"/>
    <col min="25" max="25" width="13.57421875" style="5" customWidth="1"/>
    <col min="26" max="26" width="12.421875" style="5" customWidth="1"/>
    <col min="27" max="27" width="11.28125" style="5" customWidth="1"/>
    <col min="28" max="30" width="9.140625" style="5" customWidth="1"/>
    <col min="31" max="31" width="10.421875" style="5" customWidth="1"/>
    <col min="32" max="16384" width="9.140625" style="5" customWidth="1"/>
  </cols>
  <sheetData>
    <row r="1" spans="1:250" ht="15.75">
      <c r="A1" s="1"/>
      <c r="B1" s="1"/>
      <c r="C1" s="1"/>
      <c r="D1" s="1"/>
      <c r="E1" s="1"/>
      <c r="F1" s="1"/>
      <c r="G1" s="2"/>
      <c r="H1" s="2"/>
      <c r="I1" s="2"/>
      <c r="K1" s="1"/>
      <c r="L1" s="1"/>
      <c r="M1" s="1"/>
      <c r="N1" s="1"/>
      <c r="P1" s="1"/>
      <c r="Q1" s="1"/>
      <c r="S1" s="3"/>
      <c r="T1" s="1"/>
      <c r="V1" s="157" t="s">
        <v>143</v>
      </c>
      <c r="W1" s="1"/>
      <c r="X1" s="4" t="s">
        <v>0</v>
      </c>
      <c r="Y1" s="4"/>
      <c r="Z1" s="4"/>
      <c r="AA1" s="4"/>
      <c r="AB1" s="4"/>
      <c r="AC1" s="4"/>
      <c r="AD1" s="4"/>
      <c r="AE1" s="4"/>
      <c r="AF1" s="4"/>
      <c r="AG1" s="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24">
      <c r="A2" s="1" t="s">
        <v>1</v>
      </c>
      <c r="B2" s="1"/>
      <c r="C2" s="1"/>
      <c r="D2" s="1"/>
      <c r="E2" s="1"/>
      <c r="F2" s="1"/>
      <c r="G2" s="2"/>
      <c r="H2" s="2"/>
      <c r="I2" s="2"/>
      <c r="K2" s="1"/>
      <c r="L2" s="1"/>
      <c r="M2" s="1"/>
      <c r="N2" s="1"/>
      <c r="P2" s="1"/>
      <c r="Q2" s="1"/>
      <c r="S2" s="3"/>
      <c r="T2" s="1"/>
      <c r="V2" s="1"/>
      <c r="W2" s="1"/>
      <c r="X2" s="6" t="s">
        <v>2</v>
      </c>
      <c r="Y2" s="6" t="s">
        <v>3</v>
      </c>
      <c r="Z2" s="7" t="s">
        <v>4</v>
      </c>
      <c r="AA2" s="8" t="s">
        <v>5</v>
      </c>
      <c r="AB2" s="9" t="s">
        <v>6</v>
      </c>
      <c r="AC2" s="9" t="s">
        <v>7</v>
      </c>
      <c r="AD2" s="9" t="s">
        <v>8</v>
      </c>
      <c r="AE2" s="10" t="s">
        <v>9</v>
      </c>
      <c r="AF2" s="10"/>
      <c r="AG2" s="1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1.25">
      <c r="A3" s="1"/>
      <c r="B3" s="1"/>
      <c r="C3" s="1"/>
      <c r="D3" s="1"/>
      <c r="E3" s="1"/>
      <c r="F3" s="1"/>
      <c r="G3" s="2"/>
      <c r="H3" s="2"/>
      <c r="I3" s="2"/>
      <c r="K3" s="1"/>
      <c r="L3" s="1"/>
      <c r="M3" s="1"/>
      <c r="N3" s="1"/>
      <c r="P3" s="1"/>
      <c r="Q3" s="1"/>
      <c r="S3" s="3"/>
      <c r="T3" s="1"/>
      <c r="V3" s="1"/>
      <c r="W3" s="1"/>
      <c r="X3" s="11">
        <v>2264</v>
      </c>
      <c r="Y3" s="11" t="s">
        <v>10</v>
      </c>
      <c r="Z3" s="11"/>
      <c r="AA3" s="11" t="s">
        <v>11</v>
      </c>
      <c r="AB3" s="11">
        <v>6050</v>
      </c>
      <c r="AC3" s="11"/>
      <c r="AD3" s="11">
        <f>AB3-AC3</f>
        <v>6050</v>
      </c>
      <c r="AE3" s="11" t="s">
        <v>12</v>
      </c>
      <c r="AF3" s="11"/>
      <c r="AG3" s="1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1.25">
      <c r="A4" s="12" t="s">
        <v>13</v>
      </c>
      <c r="B4" s="1"/>
      <c r="C4" s="12"/>
      <c r="D4" s="1"/>
      <c r="E4" s="1"/>
      <c r="F4" s="1"/>
      <c r="G4" s="2"/>
      <c r="H4" s="2"/>
      <c r="I4" s="2"/>
      <c r="K4" s="1"/>
      <c r="L4" s="1"/>
      <c r="M4" s="1"/>
      <c r="N4" s="1"/>
      <c r="P4" s="1"/>
      <c r="Q4" s="1"/>
      <c r="S4" s="3"/>
      <c r="T4" s="1"/>
      <c r="V4" s="1"/>
      <c r="W4" s="1"/>
      <c r="X4" s="11"/>
      <c r="Y4" s="11"/>
      <c r="Z4" s="11"/>
      <c r="AA4" s="11"/>
      <c r="AB4" s="11"/>
      <c r="AC4" s="13"/>
      <c r="AD4" s="11"/>
      <c r="AE4" s="11"/>
      <c r="AF4" s="11"/>
      <c r="AG4" s="11"/>
      <c r="AH4" s="1"/>
      <c r="AI4" s="1"/>
      <c r="AJ4" s="1"/>
      <c r="AK4" s="12"/>
      <c r="AL4" s="1"/>
      <c r="AM4" s="1"/>
      <c r="AN4" s="1"/>
      <c r="AO4" s="1"/>
      <c r="AP4" s="1"/>
      <c r="AQ4" s="1"/>
      <c r="AR4" s="1"/>
      <c r="AS4" s="12"/>
      <c r="AT4" s="1"/>
      <c r="AU4" s="1"/>
      <c r="AV4" s="1"/>
      <c r="AW4" s="1"/>
      <c r="AX4" s="1"/>
      <c r="AY4" s="1"/>
      <c r="AZ4" s="1"/>
      <c r="BA4" s="12"/>
      <c r="BB4" s="1"/>
      <c r="BC4" s="1"/>
      <c r="BD4" s="1"/>
      <c r="BE4" s="1"/>
      <c r="BF4" s="1"/>
      <c r="BG4" s="1"/>
      <c r="BH4" s="1"/>
      <c r="BI4" s="12"/>
      <c r="BJ4" s="1"/>
      <c r="BK4" s="1"/>
      <c r="BL4" s="1"/>
      <c r="BM4" s="1"/>
      <c r="BN4" s="1"/>
      <c r="BO4" s="1"/>
      <c r="BP4" s="1"/>
      <c r="BQ4" s="12"/>
      <c r="BR4" s="1"/>
      <c r="BS4" s="1"/>
      <c r="BT4" s="1"/>
      <c r="BU4" s="1"/>
      <c r="BV4" s="1"/>
      <c r="BW4" s="1"/>
      <c r="BX4" s="1"/>
      <c r="BY4" s="12"/>
      <c r="BZ4" s="1"/>
      <c r="CA4" s="1"/>
      <c r="CB4" s="1"/>
      <c r="CC4" s="1"/>
      <c r="CD4" s="1"/>
      <c r="CE4" s="1"/>
      <c r="CF4" s="1"/>
      <c r="CG4" s="12"/>
      <c r="CH4" s="1"/>
      <c r="CI4" s="1"/>
      <c r="CJ4" s="1"/>
      <c r="CK4" s="1"/>
      <c r="CL4" s="1"/>
      <c r="CM4" s="1"/>
      <c r="CN4" s="1"/>
      <c r="CO4" s="12"/>
      <c r="CP4" s="1"/>
      <c r="CQ4" s="1"/>
      <c r="CR4" s="1"/>
      <c r="CS4" s="1"/>
      <c r="CT4" s="1"/>
      <c r="CU4" s="1"/>
      <c r="CV4" s="1"/>
      <c r="CW4" s="12"/>
      <c r="CX4" s="1"/>
      <c r="CY4" s="1"/>
      <c r="CZ4" s="1"/>
      <c r="DA4" s="1"/>
      <c r="DB4" s="1"/>
      <c r="DC4" s="1"/>
      <c r="DD4" s="1"/>
      <c r="DE4" s="12"/>
      <c r="DF4" s="1"/>
      <c r="DG4" s="1"/>
      <c r="DH4" s="1"/>
      <c r="DI4" s="1"/>
      <c r="DJ4" s="1"/>
      <c r="DK4" s="1"/>
      <c r="DL4" s="1"/>
      <c r="DM4" s="12"/>
      <c r="DN4" s="1"/>
      <c r="DO4" s="1"/>
      <c r="DP4" s="1"/>
      <c r="DQ4" s="1"/>
      <c r="DR4" s="1"/>
      <c r="DS4" s="1"/>
      <c r="DT4" s="1"/>
      <c r="DU4" s="12"/>
      <c r="DV4" s="1"/>
      <c r="DW4" s="1"/>
      <c r="DX4" s="1"/>
      <c r="DY4" s="1"/>
      <c r="DZ4" s="1"/>
      <c r="EA4" s="1"/>
      <c r="EB4" s="1"/>
      <c r="EC4" s="12"/>
      <c r="ED4" s="1"/>
      <c r="EE4" s="1"/>
      <c r="EF4" s="1"/>
      <c r="EG4" s="1"/>
      <c r="EH4" s="1"/>
      <c r="EI4" s="1"/>
      <c r="EJ4" s="1"/>
      <c r="EK4" s="12"/>
      <c r="EL4" s="1"/>
      <c r="EM4" s="1"/>
      <c r="EN4" s="1"/>
      <c r="EO4" s="1"/>
      <c r="EP4" s="1"/>
      <c r="EQ4" s="1"/>
      <c r="ER4" s="1"/>
      <c r="ES4" s="12"/>
      <c r="ET4" s="1"/>
      <c r="EU4" s="1"/>
      <c r="EV4" s="1"/>
      <c r="EW4" s="1"/>
      <c r="EX4" s="1"/>
      <c r="EY4" s="1"/>
      <c r="EZ4" s="1"/>
      <c r="FA4" s="12"/>
      <c r="FB4" s="1"/>
      <c r="FC4" s="1"/>
      <c r="FD4" s="1"/>
      <c r="FE4" s="1"/>
      <c r="FF4" s="1"/>
      <c r="FG4" s="1"/>
      <c r="FH4" s="1"/>
      <c r="FI4" s="12"/>
      <c r="FJ4" s="1"/>
      <c r="FK4" s="1"/>
      <c r="FL4" s="1"/>
      <c r="FM4" s="1"/>
      <c r="FN4" s="1"/>
      <c r="FO4" s="1"/>
      <c r="FP4" s="1"/>
      <c r="FQ4" s="12"/>
      <c r="FR4" s="1"/>
      <c r="FS4" s="1"/>
      <c r="FT4" s="1"/>
      <c r="FU4" s="1"/>
      <c r="FV4" s="1"/>
      <c r="FW4" s="1"/>
      <c r="FX4" s="1"/>
      <c r="FY4" s="12"/>
      <c r="FZ4" s="1"/>
      <c r="GA4" s="1"/>
      <c r="GB4" s="1"/>
      <c r="GC4" s="1"/>
      <c r="GD4" s="1"/>
      <c r="GE4" s="1"/>
      <c r="GF4" s="1"/>
      <c r="GG4" s="12"/>
      <c r="GH4" s="1"/>
      <c r="GI4" s="1"/>
      <c r="GJ4" s="1"/>
      <c r="GK4" s="1"/>
      <c r="GL4" s="1"/>
      <c r="GM4" s="1"/>
      <c r="GN4" s="1"/>
      <c r="GO4" s="12"/>
      <c r="GP4" s="1"/>
      <c r="GQ4" s="1"/>
      <c r="GR4" s="1"/>
      <c r="GS4" s="1"/>
      <c r="GT4" s="1"/>
      <c r="GU4" s="1"/>
      <c r="GV4" s="1"/>
      <c r="GW4" s="12"/>
      <c r="GX4" s="1"/>
      <c r="GY4" s="1"/>
      <c r="GZ4" s="1"/>
      <c r="HA4" s="1"/>
      <c r="HB4" s="1"/>
      <c r="HC4" s="1"/>
      <c r="HD4" s="1"/>
      <c r="HE4" s="12"/>
      <c r="HF4" s="1"/>
      <c r="HG4" s="1"/>
      <c r="HH4" s="1"/>
      <c r="HI4" s="1"/>
      <c r="HJ4" s="1"/>
      <c r="HK4" s="1"/>
      <c r="HL4" s="1"/>
      <c r="HM4" s="12"/>
      <c r="HN4" s="1"/>
      <c r="HO4" s="1"/>
      <c r="HP4" s="1"/>
      <c r="HQ4" s="1"/>
      <c r="HR4" s="1"/>
      <c r="HS4" s="1"/>
      <c r="HT4" s="1"/>
      <c r="HU4" s="12"/>
      <c r="HV4" s="1"/>
      <c r="HW4" s="1"/>
      <c r="HX4" s="1"/>
      <c r="HY4" s="1"/>
      <c r="HZ4" s="1"/>
      <c r="IA4" s="1"/>
      <c r="IB4" s="1"/>
      <c r="IC4" s="12"/>
      <c r="ID4" s="1"/>
      <c r="IE4" s="1"/>
      <c r="IF4" s="1"/>
      <c r="IG4" s="1"/>
      <c r="IH4" s="1"/>
      <c r="II4" s="1"/>
      <c r="IJ4" s="1"/>
      <c r="IK4" s="12"/>
      <c r="IL4" s="1"/>
      <c r="IM4" s="1"/>
      <c r="IN4" s="1"/>
      <c r="IO4" s="1"/>
      <c r="IP4" s="1"/>
    </row>
    <row r="5" spans="1:250" ht="11.25">
      <c r="A5" s="1"/>
      <c r="B5" s="1"/>
      <c r="C5" s="1"/>
      <c r="D5" s="1"/>
      <c r="E5" s="1"/>
      <c r="F5" s="1"/>
      <c r="G5" s="2"/>
      <c r="H5" s="2"/>
      <c r="I5" s="2"/>
      <c r="K5" s="1"/>
      <c r="L5" s="14"/>
      <c r="M5" s="1"/>
      <c r="N5" s="1"/>
      <c r="P5" s="1"/>
      <c r="Q5" s="1"/>
      <c r="S5" s="3"/>
      <c r="T5" s="1"/>
      <c r="V5" s="1"/>
      <c r="W5" s="1"/>
      <c r="X5" s="11"/>
      <c r="Y5" s="11"/>
      <c r="Z5" s="15"/>
      <c r="AA5" s="11"/>
      <c r="AB5" s="11"/>
      <c r="AC5" s="11"/>
      <c r="AD5" s="11"/>
      <c r="AE5" s="11"/>
      <c r="AF5" s="11"/>
      <c r="AG5" s="11"/>
      <c r="AH5" s="14"/>
      <c r="AI5" s="1"/>
      <c r="AJ5" s="1"/>
      <c r="AK5" s="1"/>
      <c r="AL5" s="1"/>
      <c r="AM5" s="1"/>
      <c r="AN5" s="1"/>
      <c r="AO5" s="1"/>
      <c r="AP5" s="14"/>
      <c r="AQ5" s="1"/>
      <c r="AR5" s="1"/>
      <c r="AS5" s="1"/>
      <c r="AT5" s="1"/>
      <c r="AU5" s="1"/>
      <c r="AV5" s="1"/>
      <c r="AW5" s="1"/>
      <c r="AX5" s="14"/>
      <c r="AY5" s="1"/>
      <c r="AZ5" s="1"/>
      <c r="BA5" s="1"/>
      <c r="BB5" s="1"/>
      <c r="BC5" s="1"/>
      <c r="BD5" s="1"/>
      <c r="BE5" s="1"/>
      <c r="BF5" s="14"/>
      <c r="BG5" s="1"/>
      <c r="BH5" s="1"/>
      <c r="BI5" s="1"/>
      <c r="BJ5" s="1"/>
      <c r="BK5" s="1"/>
      <c r="BL5" s="1"/>
      <c r="BM5" s="1"/>
      <c r="BN5" s="14"/>
      <c r="BO5" s="1"/>
      <c r="BP5" s="1"/>
      <c r="BQ5" s="1"/>
      <c r="BR5" s="1"/>
      <c r="BS5" s="1"/>
      <c r="BT5" s="1"/>
      <c r="BU5" s="1"/>
      <c r="BV5" s="14"/>
      <c r="BW5" s="1"/>
      <c r="BX5" s="1"/>
      <c r="BY5" s="1"/>
      <c r="BZ5" s="1"/>
      <c r="CA5" s="1"/>
      <c r="CB5" s="1"/>
      <c r="CC5" s="1"/>
      <c r="CD5" s="14"/>
      <c r="CE5" s="1"/>
      <c r="CF5" s="1"/>
      <c r="CG5" s="1"/>
      <c r="CH5" s="1"/>
      <c r="CI5" s="1"/>
      <c r="CJ5" s="1"/>
      <c r="CK5" s="1"/>
      <c r="CL5" s="14"/>
      <c r="CM5" s="1"/>
      <c r="CN5" s="1"/>
      <c r="CO5" s="1"/>
      <c r="CP5" s="1"/>
      <c r="CQ5" s="1"/>
      <c r="CR5" s="1"/>
      <c r="CS5" s="1"/>
      <c r="CT5" s="14"/>
      <c r="CU5" s="1"/>
      <c r="CV5" s="1"/>
      <c r="CW5" s="1"/>
      <c r="CX5" s="1"/>
      <c r="CY5" s="1"/>
      <c r="CZ5" s="1"/>
      <c r="DA5" s="1"/>
      <c r="DB5" s="14"/>
      <c r="DC5" s="1"/>
      <c r="DD5" s="1"/>
      <c r="DE5" s="1"/>
      <c r="DF5" s="1"/>
      <c r="DG5" s="1"/>
      <c r="DH5" s="1"/>
      <c r="DI5" s="1"/>
      <c r="DJ5" s="14"/>
      <c r="DK5" s="1"/>
      <c r="DL5" s="1"/>
      <c r="DM5" s="1"/>
      <c r="DN5" s="1"/>
      <c r="DO5" s="1"/>
      <c r="DP5" s="1"/>
      <c r="DQ5" s="1"/>
      <c r="DR5" s="14"/>
      <c r="DS5" s="1"/>
      <c r="DT5" s="1"/>
      <c r="DU5" s="1"/>
      <c r="DV5" s="1"/>
      <c r="DW5" s="1"/>
      <c r="DX5" s="1"/>
      <c r="DY5" s="1"/>
      <c r="DZ5" s="14"/>
      <c r="EA5" s="1"/>
      <c r="EB5" s="1"/>
      <c r="EC5" s="1"/>
      <c r="ED5" s="1"/>
      <c r="EE5" s="1"/>
      <c r="EF5" s="1"/>
      <c r="EG5" s="1"/>
      <c r="EH5" s="14"/>
      <c r="EI5" s="1"/>
      <c r="EJ5" s="1"/>
      <c r="EK5" s="1"/>
      <c r="EL5" s="1"/>
      <c r="EM5" s="1"/>
      <c r="EN5" s="1"/>
      <c r="EO5" s="1"/>
      <c r="EP5" s="14"/>
      <c r="EQ5" s="1"/>
      <c r="ER5" s="1"/>
      <c r="ES5" s="1"/>
      <c r="ET5" s="1"/>
      <c r="EU5" s="1"/>
      <c r="EV5" s="1"/>
      <c r="EW5" s="1"/>
      <c r="EX5" s="14"/>
      <c r="EY5" s="1"/>
      <c r="EZ5" s="1"/>
      <c r="FA5" s="1"/>
      <c r="FB5" s="1"/>
      <c r="FC5" s="1"/>
      <c r="FD5" s="1"/>
      <c r="FE5" s="1"/>
      <c r="FF5" s="14"/>
      <c r="FG5" s="1"/>
      <c r="FH5" s="1"/>
      <c r="FI5" s="1"/>
      <c r="FJ5" s="1"/>
      <c r="FK5" s="1"/>
      <c r="FL5" s="1"/>
      <c r="FM5" s="1"/>
      <c r="FN5" s="14"/>
      <c r="FO5" s="1"/>
      <c r="FP5" s="1"/>
      <c r="FQ5" s="1"/>
      <c r="FR5" s="1"/>
      <c r="FS5" s="1"/>
      <c r="FT5" s="1"/>
      <c r="FU5" s="1"/>
      <c r="FV5" s="14"/>
      <c r="FW5" s="1"/>
      <c r="FX5" s="1"/>
      <c r="FY5" s="1"/>
      <c r="FZ5" s="1"/>
      <c r="GA5" s="1"/>
      <c r="GB5" s="1"/>
      <c r="GC5" s="1"/>
      <c r="GD5" s="14"/>
      <c r="GE5" s="1"/>
      <c r="GF5" s="1"/>
      <c r="GG5" s="1"/>
      <c r="GH5" s="1"/>
      <c r="GI5" s="1"/>
      <c r="GJ5" s="1"/>
      <c r="GK5" s="1"/>
      <c r="GL5" s="14"/>
      <c r="GM5" s="1"/>
      <c r="GN5" s="1"/>
      <c r="GO5" s="1"/>
      <c r="GP5" s="1"/>
      <c r="GQ5" s="1"/>
      <c r="GR5" s="1"/>
      <c r="GS5" s="1"/>
      <c r="GT5" s="14"/>
      <c r="GU5" s="1"/>
      <c r="GV5" s="1"/>
      <c r="GW5" s="1"/>
      <c r="GX5" s="1"/>
      <c r="GY5" s="1"/>
      <c r="GZ5" s="1"/>
      <c r="HA5" s="1"/>
      <c r="HB5" s="14"/>
      <c r="HC5" s="1"/>
      <c r="HD5" s="1"/>
      <c r="HE5" s="1"/>
      <c r="HF5" s="1"/>
      <c r="HG5" s="1"/>
      <c r="HH5" s="1"/>
      <c r="HI5" s="1"/>
      <c r="HJ5" s="14"/>
      <c r="HK5" s="1"/>
      <c r="HL5" s="1"/>
      <c r="HM5" s="1"/>
      <c r="HN5" s="1"/>
      <c r="HO5" s="1"/>
      <c r="HP5" s="1"/>
      <c r="HQ5" s="1"/>
      <c r="HR5" s="14"/>
      <c r="HS5" s="1"/>
      <c r="HT5" s="1"/>
      <c r="HU5" s="1"/>
      <c r="HV5" s="1"/>
      <c r="HW5" s="1"/>
      <c r="HX5" s="1"/>
      <c r="HY5" s="1"/>
      <c r="HZ5" s="14"/>
      <c r="IA5" s="1"/>
      <c r="IB5" s="1"/>
      <c r="IC5" s="1"/>
      <c r="ID5" s="1"/>
      <c r="IE5" s="1"/>
      <c r="IF5" s="1"/>
      <c r="IG5" s="1"/>
      <c r="IH5" s="14"/>
      <c r="II5" s="1"/>
      <c r="IJ5" s="1"/>
      <c r="IK5" s="1"/>
      <c r="IL5" s="1"/>
      <c r="IM5" s="1"/>
      <c r="IN5" s="1"/>
      <c r="IO5" s="1"/>
      <c r="IP5" s="14"/>
    </row>
    <row r="6" spans="1:250" ht="11.25">
      <c r="A6" s="1" t="s">
        <v>14</v>
      </c>
      <c r="B6" s="1"/>
      <c r="C6" s="1"/>
      <c r="D6" s="1"/>
      <c r="E6" s="1"/>
      <c r="F6" s="1"/>
      <c r="G6" s="2"/>
      <c r="H6" s="2"/>
      <c r="I6" s="2"/>
      <c r="K6" s="1"/>
      <c r="L6" s="1"/>
      <c r="M6" s="1"/>
      <c r="N6" s="1"/>
      <c r="P6" s="1"/>
      <c r="Q6" s="1"/>
      <c r="S6" s="3"/>
      <c r="T6" s="1"/>
      <c r="V6" s="1"/>
      <c r="W6" s="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1.25">
      <c r="A7" s="1" t="s">
        <v>15</v>
      </c>
      <c r="B7" s="1" t="s">
        <v>16</v>
      </c>
      <c r="C7" s="1"/>
      <c r="D7" s="1"/>
      <c r="E7" s="1"/>
      <c r="F7" s="16"/>
      <c r="G7" s="17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  <c r="S7" s="3"/>
      <c r="T7" s="18"/>
      <c r="V7" s="18"/>
      <c r="W7" s="1" t="s">
        <v>17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9"/>
      <c r="AI7" s="1"/>
      <c r="AJ7" s="1"/>
      <c r="AK7" s="1"/>
      <c r="AL7" s="1"/>
      <c r="AM7" s="1"/>
      <c r="AN7" s="1"/>
      <c r="AO7" s="19"/>
      <c r="AP7" s="19"/>
      <c r="AQ7" s="1"/>
      <c r="AR7" s="1"/>
      <c r="AS7" s="1"/>
      <c r="AT7" s="1"/>
      <c r="AU7" s="1"/>
      <c r="AV7" s="1"/>
      <c r="AW7" s="19"/>
      <c r="AX7" s="19"/>
      <c r="AY7" s="1"/>
      <c r="AZ7" s="1"/>
      <c r="BA7" s="1"/>
      <c r="BB7" s="1"/>
      <c r="BC7" s="1"/>
      <c r="BD7" s="1"/>
      <c r="BE7" s="19"/>
      <c r="BF7" s="19"/>
      <c r="BG7" s="1"/>
      <c r="BH7" s="1"/>
      <c r="BI7" s="1"/>
      <c r="BJ7" s="1"/>
      <c r="BK7" s="1"/>
      <c r="BL7" s="1"/>
      <c r="BM7" s="19"/>
      <c r="BN7" s="19"/>
      <c r="BO7" s="1"/>
      <c r="BP7" s="1"/>
      <c r="BQ7" s="1"/>
      <c r="BR7" s="1"/>
      <c r="BS7" s="1"/>
      <c r="BT7" s="1"/>
      <c r="BU7" s="19"/>
      <c r="BV7" s="19"/>
      <c r="BW7" s="1"/>
      <c r="BX7" s="1"/>
      <c r="BY7" s="1"/>
      <c r="BZ7" s="1"/>
      <c r="CA7" s="1"/>
      <c r="CB7" s="1"/>
      <c r="CC7" s="19"/>
      <c r="CD7" s="19"/>
      <c r="CE7" s="1"/>
      <c r="CF7" s="1"/>
      <c r="CG7" s="1"/>
      <c r="CH7" s="1"/>
      <c r="CI7" s="1"/>
      <c r="CJ7" s="1"/>
      <c r="CK7" s="19"/>
      <c r="CL7" s="19"/>
      <c r="CM7" s="1"/>
      <c r="CN7" s="1"/>
      <c r="CO7" s="1"/>
      <c r="CP7" s="1"/>
      <c r="CQ7" s="1"/>
      <c r="CR7" s="1"/>
      <c r="CS7" s="19"/>
      <c r="CT7" s="19"/>
      <c r="CU7" s="1"/>
      <c r="CV7" s="1"/>
      <c r="CW7" s="1"/>
      <c r="CX7" s="1"/>
      <c r="CY7" s="1"/>
      <c r="CZ7" s="1"/>
      <c r="DA7" s="19"/>
      <c r="DB7" s="19"/>
      <c r="DC7" s="1"/>
      <c r="DD7" s="1"/>
      <c r="DE7" s="1"/>
      <c r="DF7" s="1"/>
      <c r="DG7" s="1"/>
      <c r="DH7" s="1"/>
      <c r="DI7" s="19"/>
      <c r="DJ7" s="19"/>
      <c r="DK7" s="1"/>
      <c r="DL7" s="1"/>
      <c r="DM7" s="1"/>
      <c r="DN7" s="1"/>
      <c r="DO7" s="1"/>
      <c r="DP7" s="1"/>
      <c r="DQ7" s="19"/>
      <c r="DR7" s="19"/>
      <c r="DS7" s="1"/>
      <c r="DT7" s="1"/>
      <c r="DU7" s="1"/>
      <c r="DV7" s="1"/>
      <c r="DW7" s="1"/>
      <c r="DX7" s="1"/>
      <c r="DY7" s="19"/>
      <c r="DZ7" s="19"/>
      <c r="EA7" s="1"/>
      <c r="EB7" s="1"/>
      <c r="EC7" s="1"/>
      <c r="ED7" s="1"/>
      <c r="EE7" s="1"/>
      <c r="EF7" s="1"/>
      <c r="EG7" s="19"/>
      <c r="EH7" s="19"/>
      <c r="EI7" s="1"/>
      <c r="EJ7" s="1"/>
      <c r="EK7" s="1"/>
      <c r="EL7" s="1"/>
      <c r="EM7" s="1"/>
      <c r="EN7" s="1"/>
      <c r="EO7" s="19"/>
      <c r="EP7" s="19"/>
      <c r="EQ7" s="1"/>
      <c r="ER7" s="1"/>
      <c r="ES7" s="1"/>
      <c r="ET7" s="1"/>
      <c r="EU7" s="1"/>
      <c r="EV7" s="1"/>
      <c r="EW7" s="19"/>
      <c r="EX7" s="19"/>
      <c r="EY7" s="1"/>
      <c r="EZ7" s="1"/>
      <c r="FA7" s="1"/>
      <c r="FB7" s="1"/>
      <c r="FC7" s="1"/>
      <c r="FD7" s="1"/>
      <c r="FE7" s="19"/>
      <c r="FF7" s="19"/>
      <c r="FG7" s="1"/>
      <c r="FH7" s="1"/>
      <c r="FI7" s="1"/>
      <c r="FJ7" s="1"/>
      <c r="FK7" s="1"/>
      <c r="FL7" s="1"/>
      <c r="FM7" s="19"/>
      <c r="FN7" s="19"/>
      <c r="FO7" s="1"/>
      <c r="FP7" s="1"/>
      <c r="FQ7" s="1"/>
      <c r="FR7" s="1"/>
      <c r="FS7" s="1"/>
      <c r="FT7" s="1"/>
      <c r="FU7" s="19"/>
      <c r="FV7" s="19"/>
      <c r="FW7" s="1"/>
      <c r="FX7" s="1"/>
      <c r="FY7" s="1"/>
      <c r="FZ7" s="1"/>
      <c r="GA7" s="1"/>
      <c r="GB7" s="1"/>
      <c r="GC7" s="19"/>
      <c r="GD7" s="19"/>
      <c r="GE7" s="1"/>
      <c r="GF7" s="1"/>
      <c r="GG7" s="1"/>
      <c r="GH7" s="1"/>
      <c r="GI7" s="1"/>
      <c r="GJ7" s="1"/>
      <c r="GK7" s="19"/>
      <c r="GL7" s="19"/>
      <c r="GM7" s="1"/>
      <c r="GN7" s="1"/>
      <c r="GO7" s="1"/>
      <c r="GP7" s="1"/>
      <c r="GQ7" s="1"/>
      <c r="GR7" s="1"/>
      <c r="GS7" s="19"/>
      <c r="GT7" s="19"/>
      <c r="GU7" s="1"/>
      <c r="GV7" s="1"/>
      <c r="GW7" s="1"/>
      <c r="GX7" s="1"/>
      <c r="GY7" s="1"/>
      <c r="GZ7" s="1"/>
      <c r="HA7" s="19"/>
      <c r="HB7" s="19"/>
      <c r="HC7" s="1"/>
      <c r="HD7" s="1"/>
      <c r="HE7" s="1"/>
      <c r="HF7" s="1"/>
      <c r="HG7" s="1"/>
      <c r="HH7" s="1"/>
      <c r="HI7" s="19"/>
      <c r="HJ7" s="19"/>
      <c r="HK7" s="1"/>
      <c r="HL7" s="1"/>
      <c r="HM7" s="1"/>
      <c r="HN7" s="1"/>
      <c r="HO7" s="1"/>
      <c r="HP7" s="1"/>
      <c r="HQ7" s="19"/>
      <c r="HR7" s="19"/>
      <c r="HS7" s="1"/>
      <c r="HT7" s="1"/>
      <c r="HU7" s="1"/>
      <c r="HV7" s="1"/>
      <c r="HW7" s="1"/>
      <c r="HX7" s="1"/>
      <c r="HY7" s="19"/>
      <c r="HZ7" s="19"/>
      <c r="IA7" s="1"/>
      <c r="IB7" s="1"/>
      <c r="IC7" s="1"/>
      <c r="ID7" s="1"/>
      <c r="IE7" s="1"/>
      <c r="IF7" s="1"/>
      <c r="IG7" s="19"/>
      <c r="IH7" s="19"/>
      <c r="II7" s="1"/>
      <c r="IJ7" s="1"/>
      <c r="IK7" s="1"/>
      <c r="IL7" s="1"/>
      <c r="IM7" s="1"/>
      <c r="IN7" s="1"/>
      <c r="IO7" s="19"/>
      <c r="IP7" s="19"/>
    </row>
    <row r="8" spans="1:22" ht="11.25">
      <c r="A8" s="232" t="s">
        <v>18</v>
      </c>
      <c r="B8" s="162" t="s">
        <v>19</v>
      </c>
      <c r="C8" s="195" t="s">
        <v>20</v>
      </c>
      <c r="D8" s="195"/>
      <c r="E8" s="195" t="s">
        <v>21</v>
      </c>
      <c r="F8" s="166" t="s">
        <v>7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  <c r="S8" s="201" t="s">
        <v>22</v>
      </c>
      <c r="T8" s="190" t="s">
        <v>23</v>
      </c>
      <c r="U8" s="201" t="s">
        <v>8</v>
      </c>
      <c r="V8" s="190" t="s">
        <v>24</v>
      </c>
    </row>
    <row r="9" spans="1:22" ht="12.75" customHeight="1">
      <c r="A9" s="232"/>
      <c r="B9" s="162"/>
      <c r="C9" s="195"/>
      <c r="D9" s="195"/>
      <c r="E9" s="195"/>
      <c r="F9" s="196" t="s">
        <v>25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195" t="s">
        <v>26</v>
      </c>
      <c r="S9" s="175"/>
      <c r="T9" s="191"/>
      <c r="U9" s="175"/>
      <c r="V9" s="191"/>
    </row>
    <row r="10" spans="1:22" ht="11.25">
      <c r="A10" s="232"/>
      <c r="B10" s="162"/>
      <c r="C10" s="195"/>
      <c r="D10" s="195"/>
      <c r="E10" s="195"/>
      <c r="F10" s="21" t="s">
        <v>27</v>
      </c>
      <c r="G10" s="21" t="s">
        <v>28</v>
      </c>
      <c r="H10" s="21" t="s">
        <v>29</v>
      </c>
      <c r="I10" s="21" t="s">
        <v>30</v>
      </c>
      <c r="J10" s="21" t="s">
        <v>31</v>
      </c>
      <c r="K10" s="21" t="s">
        <v>32</v>
      </c>
      <c r="L10" s="21" t="s">
        <v>33</v>
      </c>
      <c r="M10" s="23" t="s">
        <v>34</v>
      </c>
      <c r="N10" s="23" t="s">
        <v>35</v>
      </c>
      <c r="O10" s="23" t="s">
        <v>36</v>
      </c>
      <c r="P10" s="23" t="s">
        <v>37</v>
      </c>
      <c r="Q10" s="23" t="s">
        <v>38</v>
      </c>
      <c r="R10" s="195"/>
      <c r="S10" s="176"/>
      <c r="T10" s="192"/>
      <c r="U10" s="176"/>
      <c r="V10" s="192"/>
    </row>
    <row r="11" spans="1:22" ht="14.25" customHeight="1">
      <c r="A11" s="142"/>
      <c r="B11" s="143" t="s">
        <v>39</v>
      </c>
      <c r="C11" s="118">
        <f>C12+C18+C50+C72+C85+C107+C123</f>
        <v>221562</v>
      </c>
      <c r="D11" s="144" t="s">
        <v>2</v>
      </c>
      <c r="E11" s="118">
        <f aca="true" t="shared" si="0" ref="E11:U11">E12+E18+E50+E72+E85+E107+E123</f>
        <v>221562</v>
      </c>
      <c r="F11" s="118">
        <f t="shared" si="0"/>
        <v>80</v>
      </c>
      <c r="G11" s="118">
        <f t="shared" si="0"/>
        <v>1429.69</v>
      </c>
      <c r="H11" s="118">
        <f t="shared" si="0"/>
        <v>527.1</v>
      </c>
      <c r="I11" s="118">
        <f t="shared" si="0"/>
        <v>11630.86</v>
      </c>
      <c r="J11" s="118">
        <f t="shared" si="0"/>
        <v>7214.74</v>
      </c>
      <c r="K11" s="118">
        <f t="shared" si="0"/>
        <v>2515.95</v>
      </c>
      <c r="L11" s="118">
        <f t="shared" si="0"/>
        <v>78467.16000000002</v>
      </c>
      <c r="M11" s="118">
        <f t="shared" si="0"/>
        <v>906.25</v>
      </c>
      <c r="N11" s="118">
        <f t="shared" si="0"/>
        <v>0</v>
      </c>
      <c r="O11" s="118">
        <f t="shared" si="0"/>
        <v>0</v>
      </c>
      <c r="P11" s="118">
        <f t="shared" si="0"/>
        <v>0</v>
      </c>
      <c r="Q11" s="118">
        <f t="shared" si="0"/>
        <v>0</v>
      </c>
      <c r="R11" s="118">
        <f t="shared" si="0"/>
        <v>102379.36</v>
      </c>
      <c r="S11" s="145">
        <f t="shared" si="0"/>
        <v>116789.24999999999</v>
      </c>
      <c r="T11" s="118">
        <f t="shared" si="0"/>
        <v>71968.82999999999</v>
      </c>
      <c r="U11" s="145">
        <f t="shared" si="0"/>
        <v>44820.42</v>
      </c>
      <c r="V11" s="146">
        <f>V12+V18+V50+V72+V85+V107+V123</f>
        <v>-24525</v>
      </c>
    </row>
    <row r="12" spans="1:22" ht="21">
      <c r="A12" s="147">
        <v>1</v>
      </c>
      <c r="B12" s="148" t="s">
        <v>40</v>
      </c>
      <c r="C12" s="118">
        <f>SUM(C13:C17)</f>
        <v>3090</v>
      </c>
      <c r="D12" s="91"/>
      <c r="E12" s="118">
        <f aca="true" t="shared" si="1" ref="E12:V12">SUM(E13:E17)</f>
        <v>3090</v>
      </c>
      <c r="F12" s="118">
        <f t="shared" si="1"/>
        <v>0</v>
      </c>
      <c r="G12" s="118">
        <f t="shared" si="1"/>
        <v>0</v>
      </c>
      <c r="H12" s="118">
        <f t="shared" si="1"/>
        <v>242</v>
      </c>
      <c r="I12" s="118">
        <f t="shared" si="1"/>
        <v>431.5</v>
      </c>
      <c r="J12" s="118">
        <f t="shared" si="1"/>
        <v>295</v>
      </c>
      <c r="K12" s="118">
        <f t="shared" si="1"/>
        <v>0</v>
      </c>
      <c r="L12" s="118">
        <f t="shared" si="1"/>
        <v>550</v>
      </c>
      <c r="M12" s="118">
        <f t="shared" si="1"/>
        <v>44.25</v>
      </c>
      <c r="N12" s="118">
        <f t="shared" si="1"/>
        <v>0</v>
      </c>
      <c r="O12" s="118">
        <f t="shared" si="1"/>
        <v>0</v>
      </c>
      <c r="P12" s="118">
        <f t="shared" si="1"/>
        <v>0</v>
      </c>
      <c r="Q12" s="118">
        <f t="shared" si="1"/>
        <v>0</v>
      </c>
      <c r="R12" s="118">
        <f t="shared" si="1"/>
        <v>1562.75</v>
      </c>
      <c r="S12" s="145">
        <f t="shared" si="1"/>
        <v>1527.25</v>
      </c>
      <c r="T12" s="118">
        <f t="shared" si="1"/>
        <v>280</v>
      </c>
      <c r="U12" s="145">
        <f t="shared" si="1"/>
        <v>1247.25</v>
      </c>
      <c r="V12" s="146">
        <f t="shared" si="1"/>
        <v>-1040</v>
      </c>
    </row>
    <row r="13" spans="1:22" ht="11.25">
      <c r="A13" s="29">
        <v>1.1</v>
      </c>
      <c r="B13" s="30" t="s">
        <v>41</v>
      </c>
      <c r="C13" s="31">
        <f>1420-520</f>
        <v>900</v>
      </c>
      <c r="D13" s="32">
        <v>2231</v>
      </c>
      <c r="E13" s="33">
        <f>C13</f>
        <v>900</v>
      </c>
      <c r="F13" s="33"/>
      <c r="G13" s="33"/>
      <c r="H13" s="33"/>
      <c r="I13" s="33"/>
      <c r="J13" s="11"/>
      <c r="K13" s="31"/>
      <c r="L13" s="31"/>
      <c r="M13" s="31"/>
      <c r="N13" s="31"/>
      <c r="O13" s="11"/>
      <c r="P13" s="34"/>
      <c r="Q13" s="34"/>
      <c r="R13" s="33">
        <f>SUM(F13:Q13)</f>
        <v>0</v>
      </c>
      <c r="S13" s="35">
        <f>C13-SUM(F13:Q13)</f>
        <v>900</v>
      </c>
      <c r="T13" s="33"/>
      <c r="U13" s="36">
        <f>S13-T13</f>
        <v>900</v>
      </c>
      <c r="V13" s="136">
        <v>-900</v>
      </c>
    </row>
    <row r="14" spans="1:22" ht="11.25">
      <c r="A14" s="29">
        <v>1.2</v>
      </c>
      <c r="B14" s="37" t="s">
        <v>42</v>
      </c>
      <c r="C14" s="31">
        <v>190</v>
      </c>
      <c r="D14" s="32">
        <v>2239</v>
      </c>
      <c r="E14" s="33">
        <f>C14</f>
        <v>190</v>
      </c>
      <c r="F14" s="33"/>
      <c r="G14" s="33"/>
      <c r="H14" s="33"/>
      <c r="I14" s="33"/>
      <c r="J14" s="11"/>
      <c r="K14" s="31"/>
      <c r="L14" s="31"/>
      <c r="M14" s="31"/>
      <c r="N14" s="31"/>
      <c r="O14" s="11"/>
      <c r="P14" s="34"/>
      <c r="Q14" s="34"/>
      <c r="R14" s="33">
        <f>SUM(F14:Q14)</f>
        <v>0</v>
      </c>
      <c r="S14" s="35">
        <f>C14-SUM(F14:Q14)</f>
        <v>190</v>
      </c>
      <c r="T14" s="33"/>
      <c r="U14" s="36">
        <f>S14-T14</f>
        <v>190</v>
      </c>
      <c r="V14" s="136">
        <v>-190</v>
      </c>
    </row>
    <row r="15" spans="1:22" ht="12.75" customHeight="1">
      <c r="A15" s="165">
        <v>1.4</v>
      </c>
      <c r="B15" s="163" t="s">
        <v>43</v>
      </c>
      <c r="C15" s="31">
        <f>225</f>
        <v>225</v>
      </c>
      <c r="D15" s="32">
        <v>2279</v>
      </c>
      <c r="E15" s="193">
        <f>SUM(C15:C16)</f>
        <v>2000</v>
      </c>
      <c r="F15" s="33"/>
      <c r="G15" s="33"/>
      <c r="H15" s="33"/>
      <c r="I15" s="33">
        <f>225</f>
        <v>225</v>
      </c>
      <c r="J15" s="11"/>
      <c r="K15" s="31"/>
      <c r="L15" s="31">
        <v>50</v>
      </c>
      <c r="M15" s="31"/>
      <c r="N15" s="31"/>
      <c r="O15" s="11"/>
      <c r="P15" s="34"/>
      <c r="Q15" s="34"/>
      <c r="R15" s="33">
        <f>SUM(F15:Q15)</f>
        <v>275</v>
      </c>
      <c r="S15" s="35">
        <f>C15-SUM(F15:Q15)</f>
        <v>-50</v>
      </c>
      <c r="T15" s="33"/>
      <c r="U15" s="36">
        <f>S15-T15</f>
        <v>-50</v>
      </c>
      <c r="V15" s="136">
        <v>50</v>
      </c>
    </row>
    <row r="16" spans="1:22" ht="11.25">
      <c r="A16" s="178"/>
      <c r="B16" s="164"/>
      <c r="C16" s="31">
        <f>2000-225</f>
        <v>1775</v>
      </c>
      <c r="D16" s="32">
        <v>2262</v>
      </c>
      <c r="E16" s="194"/>
      <c r="F16" s="33"/>
      <c r="G16" s="33"/>
      <c r="H16" s="33">
        <f>242</f>
        <v>242</v>
      </c>
      <c r="I16" s="33">
        <f>206.5</f>
        <v>206.5</v>
      </c>
      <c r="J16" s="11">
        <f>295</f>
        <v>295</v>
      </c>
      <c r="K16" s="31"/>
      <c r="L16" s="31"/>
      <c r="M16" s="31">
        <v>44.25</v>
      </c>
      <c r="N16" s="31"/>
      <c r="O16" s="11"/>
      <c r="P16" s="34"/>
      <c r="Q16" s="34"/>
      <c r="R16" s="33">
        <f>SUM(F16:Q16)</f>
        <v>787.75</v>
      </c>
      <c r="S16" s="35">
        <f>C16-SUM(F16:Q16)</f>
        <v>987.25</v>
      </c>
      <c r="T16" s="33">
        <f>180+100</f>
        <v>280</v>
      </c>
      <c r="U16" s="36">
        <f>S16-T16</f>
        <v>707.25</v>
      </c>
      <c r="V16" s="136">
        <v>-500</v>
      </c>
    </row>
    <row r="17" spans="1:22" ht="33.75">
      <c r="A17" s="38">
        <v>1.5</v>
      </c>
      <c r="B17" s="39" t="s">
        <v>44</v>
      </c>
      <c r="C17" s="31"/>
      <c r="D17" s="32">
        <v>2231</v>
      </c>
      <c r="E17" s="33">
        <f>C17</f>
        <v>0</v>
      </c>
      <c r="F17" s="33"/>
      <c r="G17" s="33"/>
      <c r="H17" s="33"/>
      <c r="I17" s="33"/>
      <c r="J17" s="11"/>
      <c r="K17" s="31"/>
      <c r="L17" s="31">
        <f>500</f>
        <v>500</v>
      </c>
      <c r="M17" s="31"/>
      <c r="N17" s="31"/>
      <c r="O17" s="11"/>
      <c r="P17" s="34"/>
      <c r="Q17" s="34"/>
      <c r="R17" s="33">
        <f>SUM(F17:Q17)</f>
        <v>500</v>
      </c>
      <c r="S17" s="35">
        <f>C17-SUM(F17:Q17)</f>
        <v>-500</v>
      </c>
      <c r="T17" s="33"/>
      <c r="U17" s="36">
        <f>S17-T17</f>
        <v>-500</v>
      </c>
      <c r="V17" s="136">
        <v>500</v>
      </c>
    </row>
    <row r="18" spans="1:22" ht="11.25">
      <c r="A18" s="147">
        <v>2</v>
      </c>
      <c r="B18" s="148" t="s">
        <v>45</v>
      </c>
      <c r="C18" s="118">
        <f>SUM(C19:C49)</f>
        <v>65210</v>
      </c>
      <c r="D18" s="91"/>
      <c r="E18" s="118">
        <f>SUM(E19:E49)</f>
        <v>65210</v>
      </c>
      <c r="F18" s="118">
        <f aca="true" t="shared" si="2" ref="F18:V18">SUM(F19:F49)</f>
        <v>0</v>
      </c>
      <c r="G18" s="118">
        <f t="shared" si="2"/>
        <v>0</v>
      </c>
      <c r="H18" s="118">
        <f t="shared" si="2"/>
        <v>0</v>
      </c>
      <c r="I18" s="118">
        <f t="shared" si="2"/>
        <v>3515</v>
      </c>
      <c r="J18" s="118">
        <f t="shared" si="2"/>
        <v>3495.75</v>
      </c>
      <c r="K18" s="118">
        <f t="shared" si="2"/>
        <v>565.95</v>
      </c>
      <c r="L18" s="118">
        <f t="shared" si="2"/>
        <v>31756.63</v>
      </c>
      <c r="M18" s="118">
        <f t="shared" si="2"/>
        <v>862</v>
      </c>
      <c r="N18" s="118">
        <f t="shared" si="2"/>
        <v>0</v>
      </c>
      <c r="O18" s="118">
        <f t="shared" si="2"/>
        <v>0</v>
      </c>
      <c r="P18" s="118">
        <f t="shared" si="2"/>
        <v>0</v>
      </c>
      <c r="Q18" s="118">
        <f t="shared" si="2"/>
        <v>0</v>
      </c>
      <c r="R18" s="118">
        <f>SUM(R19:R49)</f>
        <v>40195.33</v>
      </c>
      <c r="S18" s="145">
        <f t="shared" si="2"/>
        <v>25014.67</v>
      </c>
      <c r="T18" s="118">
        <f t="shared" si="2"/>
        <v>14184</v>
      </c>
      <c r="U18" s="145">
        <f t="shared" si="2"/>
        <v>10830.669999999998</v>
      </c>
      <c r="V18" s="146">
        <f t="shared" si="2"/>
        <v>-6959</v>
      </c>
    </row>
    <row r="19" spans="1:23" ht="12" thickBot="1">
      <c r="A19" s="34">
        <v>2.1</v>
      </c>
      <c r="B19" s="30" t="s">
        <v>46</v>
      </c>
      <c r="C19" s="33">
        <v>2500</v>
      </c>
      <c r="D19" s="43">
        <v>2279</v>
      </c>
      <c r="E19" s="40">
        <f>C19</f>
        <v>2500</v>
      </c>
      <c r="F19" s="33"/>
      <c r="G19" s="33"/>
      <c r="H19" s="40"/>
      <c r="I19" s="44"/>
      <c r="J19" s="45"/>
      <c r="K19" s="46"/>
      <c r="L19" s="46">
        <f>2500</f>
        <v>2500</v>
      </c>
      <c r="M19" s="46"/>
      <c r="N19" s="46"/>
      <c r="O19" s="45"/>
      <c r="P19" s="47"/>
      <c r="Q19" s="47"/>
      <c r="R19" s="33">
        <f aca="true" t="shared" si="3" ref="R19:R47">SUM(F19:Q19)</f>
        <v>2500</v>
      </c>
      <c r="S19" s="35">
        <f aca="true" t="shared" si="4" ref="S19:S47">C19-SUM(F19:Q19)</f>
        <v>0</v>
      </c>
      <c r="T19" s="48">
        <f>2500-R19</f>
        <v>0</v>
      </c>
      <c r="U19" s="36">
        <f aca="true" t="shared" si="5" ref="U19:U49">S19-T19</f>
        <v>0</v>
      </c>
      <c r="V19" s="136"/>
      <c r="W19" s="5" t="s">
        <v>47</v>
      </c>
    </row>
    <row r="20" spans="1:22" ht="12.75" customHeight="1" hidden="1" thickBot="1">
      <c r="A20" s="49">
        <v>2.2</v>
      </c>
      <c r="B20" s="50" t="s">
        <v>48</v>
      </c>
      <c r="C20" s="40">
        <v>0</v>
      </c>
      <c r="D20" s="51">
        <v>2279</v>
      </c>
      <c r="E20" s="44">
        <v>0</v>
      </c>
      <c r="F20" s="52"/>
      <c r="G20" s="52"/>
      <c r="H20" s="44"/>
      <c r="I20" s="52"/>
      <c r="J20" s="53"/>
      <c r="K20" s="54"/>
      <c r="L20" s="54"/>
      <c r="M20" s="54"/>
      <c r="N20" s="54"/>
      <c r="O20" s="53"/>
      <c r="P20" s="55"/>
      <c r="Q20" s="55"/>
      <c r="R20" s="56">
        <f t="shared" si="3"/>
        <v>0</v>
      </c>
      <c r="S20" s="57">
        <f t="shared" si="4"/>
        <v>0</v>
      </c>
      <c r="T20" s="44"/>
      <c r="U20" s="58">
        <f t="shared" si="5"/>
        <v>0</v>
      </c>
      <c r="V20" s="137"/>
    </row>
    <row r="21" spans="1:22" ht="13.5" customHeight="1">
      <c r="A21" s="231">
        <v>2.3</v>
      </c>
      <c r="B21" s="169" t="s">
        <v>49</v>
      </c>
      <c r="C21" s="61">
        <f>250+96</f>
        <v>346</v>
      </c>
      <c r="D21" s="62">
        <v>2231</v>
      </c>
      <c r="E21" s="170">
        <f>SUM(C21:C23)</f>
        <v>2880</v>
      </c>
      <c r="F21" s="61"/>
      <c r="G21" s="61"/>
      <c r="H21" s="61"/>
      <c r="I21" s="42"/>
      <c r="J21" s="63">
        <f>30+165.75</f>
        <v>195.75</v>
      </c>
      <c r="K21" s="64"/>
      <c r="L21" s="64">
        <f>150</f>
        <v>150</v>
      </c>
      <c r="M21" s="64"/>
      <c r="N21" s="64"/>
      <c r="O21" s="63"/>
      <c r="P21" s="65"/>
      <c r="Q21" s="65"/>
      <c r="R21" s="61">
        <f t="shared" si="3"/>
        <v>345.75</v>
      </c>
      <c r="S21" s="66">
        <f t="shared" si="4"/>
        <v>0.25</v>
      </c>
      <c r="T21" s="61"/>
      <c r="U21" s="66">
        <f t="shared" si="5"/>
        <v>0.25</v>
      </c>
      <c r="V21" s="138"/>
    </row>
    <row r="22" spans="1:22" ht="11.25">
      <c r="A22" s="188"/>
      <c r="B22" s="159"/>
      <c r="C22" s="33">
        <v>2450</v>
      </c>
      <c r="D22" s="43">
        <v>1150</v>
      </c>
      <c r="E22" s="182"/>
      <c r="F22" s="33"/>
      <c r="G22" s="33"/>
      <c r="H22" s="33"/>
      <c r="I22" s="33">
        <f>1320.55+394.45</f>
        <v>1715</v>
      </c>
      <c r="J22" s="11"/>
      <c r="K22" s="31">
        <f>565.95</f>
        <v>565.95</v>
      </c>
      <c r="L22" s="31">
        <f>169.05</f>
        <v>169.05</v>
      </c>
      <c r="M22" s="31"/>
      <c r="N22" s="31"/>
      <c r="O22" s="11"/>
      <c r="P22" s="34"/>
      <c r="Q22" s="34"/>
      <c r="R22" s="33">
        <f t="shared" si="3"/>
        <v>2450</v>
      </c>
      <c r="S22" s="35">
        <f t="shared" si="4"/>
        <v>0</v>
      </c>
      <c r="T22" s="33"/>
      <c r="U22" s="36">
        <f t="shared" si="5"/>
        <v>0</v>
      </c>
      <c r="V22" s="136">
        <v>-169</v>
      </c>
    </row>
    <row r="23" spans="1:22" ht="12" thickBot="1">
      <c r="A23" s="161"/>
      <c r="B23" s="160"/>
      <c r="C23" s="44">
        <f>180-96</f>
        <v>84</v>
      </c>
      <c r="D23" s="69">
        <v>2279</v>
      </c>
      <c r="E23" s="183"/>
      <c r="F23" s="44"/>
      <c r="G23" s="44"/>
      <c r="H23" s="44"/>
      <c r="I23" s="44"/>
      <c r="J23" s="70"/>
      <c r="K23" s="46"/>
      <c r="L23" s="71"/>
      <c r="M23" s="46"/>
      <c r="N23" s="46"/>
      <c r="O23" s="70"/>
      <c r="P23" s="49"/>
      <c r="Q23" s="49"/>
      <c r="R23" s="44">
        <f t="shared" si="3"/>
        <v>0</v>
      </c>
      <c r="S23" s="58">
        <f t="shared" si="4"/>
        <v>84</v>
      </c>
      <c r="T23" s="44">
        <f>84-R23</f>
        <v>84</v>
      </c>
      <c r="U23" s="72">
        <f t="shared" si="5"/>
        <v>0</v>
      </c>
      <c r="V23" s="137"/>
    </row>
    <row r="24" spans="1:22" ht="22.5">
      <c r="A24" s="65">
        <v>2.4</v>
      </c>
      <c r="B24" s="73" t="s">
        <v>50</v>
      </c>
      <c r="C24" s="42">
        <v>10000</v>
      </c>
      <c r="D24" s="74">
        <v>2279</v>
      </c>
      <c r="E24" s="42">
        <f>10000</f>
        <v>10000</v>
      </c>
      <c r="F24" s="42"/>
      <c r="G24" s="42"/>
      <c r="H24" s="42"/>
      <c r="I24" s="42"/>
      <c r="J24" s="75"/>
      <c r="K24" s="64"/>
      <c r="L24" s="76">
        <v>2000</v>
      </c>
      <c r="M24" s="64"/>
      <c r="N24" s="64"/>
      <c r="O24" s="75"/>
      <c r="P24" s="77"/>
      <c r="Q24" s="77"/>
      <c r="R24" s="42">
        <f t="shared" si="3"/>
        <v>2000</v>
      </c>
      <c r="S24" s="35">
        <f t="shared" si="4"/>
        <v>8000</v>
      </c>
      <c r="T24" s="42">
        <f>10000-R24</f>
        <v>8000</v>
      </c>
      <c r="U24" s="35">
        <f t="shared" si="5"/>
        <v>0</v>
      </c>
      <c r="V24" s="139"/>
    </row>
    <row r="25" spans="1:23" ht="22.5">
      <c r="A25" s="34">
        <v>2.5</v>
      </c>
      <c r="B25" s="30" t="s">
        <v>51</v>
      </c>
      <c r="C25" s="33">
        <v>1500</v>
      </c>
      <c r="D25" s="43">
        <v>2279</v>
      </c>
      <c r="E25" s="33">
        <v>1500</v>
      </c>
      <c r="F25" s="33"/>
      <c r="G25" s="33"/>
      <c r="H25" s="33"/>
      <c r="I25" s="33"/>
      <c r="J25" s="11">
        <f>1500</f>
        <v>1500</v>
      </c>
      <c r="K25" s="31"/>
      <c r="L25" s="31"/>
      <c r="M25" s="31"/>
      <c r="N25" s="31"/>
      <c r="O25" s="11"/>
      <c r="P25" s="34"/>
      <c r="Q25" s="34"/>
      <c r="R25" s="33">
        <f t="shared" si="3"/>
        <v>1500</v>
      </c>
      <c r="S25" s="35">
        <f t="shared" si="4"/>
        <v>0</v>
      </c>
      <c r="T25" s="48">
        <f>1500-R25</f>
        <v>0</v>
      </c>
      <c r="U25" s="36">
        <f t="shared" si="5"/>
        <v>0</v>
      </c>
      <c r="V25" s="136"/>
      <c r="W25" s="78" t="s">
        <v>52</v>
      </c>
    </row>
    <row r="26" spans="1:22" ht="22.5" hidden="1">
      <c r="A26" s="34">
        <v>2.6</v>
      </c>
      <c r="B26" s="30" t="s">
        <v>53</v>
      </c>
      <c r="C26" s="33">
        <v>0</v>
      </c>
      <c r="D26" s="43">
        <v>2279</v>
      </c>
      <c r="E26" s="33">
        <v>0</v>
      </c>
      <c r="F26" s="33"/>
      <c r="G26" s="33"/>
      <c r="H26" s="33"/>
      <c r="I26" s="33"/>
      <c r="J26" s="11"/>
      <c r="K26" s="31"/>
      <c r="L26" s="31"/>
      <c r="M26" s="31"/>
      <c r="N26" s="31"/>
      <c r="O26" s="11"/>
      <c r="P26" s="34"/>
      <c r="Q26" s="34"/>
      <c r="R26" s="33">
        <f t="shared" si="3"/>
        <v>0</v>
      </c>
      <c r="S26" s="35">
        <f t="shared" si="4"/>
        <v>0</v>
      </c>
      <c r="T26" s="33"/>
      <c r="U26" s="36">
        <f t="shared" si="5"/>
        <v>0</v>
      </c>
      <c r="V26" s="136"/>
    </row>
    <row r="27" spans="1:23" ht="11.25">
      <c r="A27" s="188">
        <v>2.7</v>
      </c>
      <c r="B27" s="173" t="s">
        <v>54</v>
      </c>
      <c r="C27" s="193">
        <f>31500-6500</f>
        <v>25000</v>
      </c>
      <c r="D27" s="171">
        <v>2279</v>
      </c>
      <c r="E27" s="182">
        <f>SUM(C27:C29)</f>
        <v>25200</v>
      </c>
      <c r="F27" s="33"/>
      <c r="G27" s="33"/>
      <c r="H27" s="33"/>
      <c r="I27" s="33"/>
      <c r="J27" s="11"/>
      <c r="K27" s="31"/>
      <c r="L27" s="31">
        <f>10000+15000</f>
        <v>25000</v>
      </c>
      <c r="M27" s="31"/>
      <c r="N27" s="31"/>
      <c r="O27" s="11"/>
      <c r="P27" s="34"/>
      <c r="Q27" s="34"/>
      <c r="R27" s="193">
        <f>SUM(F27:Q28)</f>
        <v>25037.58</v>
      </c>
      <c r="S27" s="199">
        <f>C27-SUM(F27:Q28)</f>
        <v>-37.580000000001746</v>
      </c>
      <c r="T27" s="33">
        <f>25000-L27</f>
        <v>0</v>
      </c>
      <c r="U27" s="199">
        <f>S27-SUM(T27:T28)</f>
        <v>-37.580000000001746</v>
      </c>
      <c r="V27" s="244">
        <v>38</v>
      </c>
      <c r="W27" s="5" t="s">
        <v>55</v>
      </c>
    </row>
    <row r="28" spans="1:22" ht="11.25">
      <c r="A28" s="188"/>
      <c r="B28" s="173"/>
      <c r="C28" s="194"/>
      <c r="D28" s="172"/>
      <c r="E28" s="182"/>
      <c r="F28" s="33"/>
      <c r="G28" s="33"/>
      <c r="H28" s="33"/>
      <c r="I28" s="33"/>
      <c r="J28" s="11"/>
      <c r="K28" s="31"/>
      <c r="L28" s="31">
        <v>37.58</v>
      </c>
      <c r="M28" s="31"/>
      <c r="N28" s="31"/>
      <c r="O28" s="11"/>
      <c r="P28" s="34"/>
      <c r="Q28" s="34"/>
      <c r="R28" s="194"/>
      <c r="S28" s="200"/>
      <c r="T28" s="33"/>
      <c r="U28" s="200"/>
      <c r="V28" s="245"/>
    </row>
    <row r="29" spans="1:22" ht="11.25">
      <c r="A29" s="188"/>
      <c r="B29" s="173"/>
      <c r="C29" s="33">
        <f>500-300</f>
        <v>200</v>
      </c>
      <c r="D29" s="43">
        <v>2231</v>
      </c>
      <c r="E29" s="182"/>
      <c r="F29" s="33"/>
      <c r="G29" s="33"/>
      <c r="H29" s="33"/>
      <c r="I29" s="33"/>
      <c r="J29" s="11"/>
      <c r="K29" s="31"/>
      <c r="L29" s="31"/>
      <c r="M29" s="31">
        <f>150</f>
        <v>150</v>
      </c>
      <c r="N29" s="31"/>
      <c r="O29" s="11"/>
      <c r="P29" s="34"/>
      <c r="Q29" s="34"/>
      <c r="R29" s="33">
        <f t="shared" si="3"/>
        <v>150</v>
      </c>
      <c r="S29" s="35">
        <f t="shared" si="4"/>
        <v>50</v>
      </c>
      <c r="T29" s="33">
        <f>150-R29</f>
        <v>0</v>
      </c>
      <c r="U29" s="36">
        <f t="shared" si="5"/>
        <v>50</v>
      </c>
      <c r="V29" s="136">
        <v>-50</v>
      </c>
    </row>
    <row r="30" spans="1:22" ht="12.75" customHeight="1" hidden="1">
      <c r="A30" s="188">
        <v>2.8</v>
      </c>
      <c r="B30" s="159" t="s">
        <v>56</v>
      </c>
      <c r="C30" s="33">
        <v>0</v>
      </c>
      <c r="D30" s="43">
        <v>2390</v>
      </c>
      <c r="E30" s="182">
        <f>SUM(C30:C31)</f>
        <v>0</v>
      </c>
      <c r="F30" s="33"/>
      <c r="G30" s="33"/>
      <c r="H30" s="33"/>
      <c r="I30" s="33"/>
      <c r="J30" s="11"/>
      <c r="K30" s="31"/>
      <c r="L30" s="31"/>
      <c r="M30" s="31"/>
      <c r="N30" s="31"/>
      <c r="O30" s="11"/>
      <c r="P30" s="34"/>
      <c r="Q30" s="34"/>
      <c r="R30" s="33">
        <f t="shared" si="3"/>
        <v>0</v>
      </c>
      <c r="S30" s="35">
        <f t="shared" si="4"/>
        <v>0</v>
      </c>
      <c r="T30" s="33"/>
      <c r="U30" s="36">
        <f t="shared" si="5"/>
        <v>0</v>
      </c>
      <c r="V30" s="136"/>
    </row>
    <row r="31" spans="1:22" ht="12.75" customHeight="1" hidden="1">
      <c r="A31" s="188"/>
      <c r="B31" s="159"/>
      <c r="C31" s="33">
        <v>0</v>
      </c>
      <c r="D31" s="43">
        <v>2231</v>
      </c>
      <c r="E31" s="182"/>
      <c r="F31" s="33"/>
      <c r="G31" s="33"/>
      <c r="H31" s="33"/>
      <c r="I31" s="33"/>
      <c r="J31" s="11"/>
      <c r="K31" s="31"/>
      <c r="L31" s="31"/>
      <c r="M31" s="31"/>
      <c r="N31" s="31"/>
      <c r="O31" s="11"/>
      <c r="P31" s="34"/>
      <c r="Q31" s="34"/>
      <c r="R31" s="33">
        <f t="shared" si="3"/>
        <v>0</v>
      </c>
      <c r="S31" s="35">
        <f t="shared" si="4"/>
        <v>0</v>
      </c>
      <c r="T31" s="33"/>
      <c r="U31" s="36">
        <f t="shared" si="5"/>
        <v>0</v>
      </c>
      <c r="V31" s="136"/>
    </row>
    <row r="32" spans="1:22" ht="23.25" thickBot="1">
      <c r="A32" s="49">
        <v>2.9</v>
      </c>
      <c r="B32" s="50" t="s">
        <v>57</v>
      </c>
      <c r="C32" s="44">
        <f>5000-1000</f>
        <v>4000</v>
      </c>
      <c r="D32" s="69">
        <v>2279</v>
      </c>
      <c r="E32" s="44">
        <f>C32</f>
        <v>4000</v>
      </c>
      <c r="F32" s="44"/>
      <c r="G32" s="44"/>
      <c r="H32" s="44"/>
      <c r="I32" s="44"/>
      <c r="J32" s="70"/>
      <c r="K32" s="46"/>
      <c r="L32" s="46"/>
      <c r="M32" s="46">
        <v>512</v>
      </c>
      <c r="N32" s="46"/>
      <c r="O32" s="70"/>
      <c r="P32" s="49"/>
      <c r="Q32" s="80"/>
      <c r="R32" s="44">
        <f t="shared" si="3"/>
        <v>512</v>
      </c>
      <c r="S32" s="57">
        <f t="shared" si="4"/>
        <v>3488</v>
      </c>
      <c r="T32" s="40"/>
      <c r="U32" s="58">
        <f t="shared" si="5"/>
        <v>3488</v>
      </c>
      <c r="V32" s="140">
        <f>-1188-1310</f>
        <v>-2498</v>
      </c>
    </row>
    <row r="33" spans="1:22" ht="11.25">
      <c r="A33" s="184">
        <v>2.1</v>
      </c>
      <c r="B33" s="189" t="s">
        <v>58</v>
      </c>
      <c r="C33" s="42">
        <f>1000-300</f>
        <v>700</v>
      </c>
      <c r="D33" s="74">
        <v>2264</v>
      </c>
      <c r="E33" s="174">
        <f>C33+C34+C35+C36</f>
        <v>1880</v>
      </c>
      <c r="F33" s="61"/>
      <c r="G33" s="61"/>
      <c r="H33" s="61"/>
      <c r="I33" s="61"/>
      <c r="J33" s="82"/>
      <c r="K33" s="64"/>
      <c r="L33" s="64"/>
      <c r="M33" s="64"/>
      <c r="N33" s="64"/>
      <c r="O33" s="63"/>
      <c r="P33" s="65"/>
      <c r="Q33" s="59"/>
      <c r="R33" s="42">
        <f t="shared" si="3"/>
        <v>0</v>
      </c>
      <c r="S33" s="66">
        <f t="shared" si="4"/>
        <v>700</v>
      </c>
      <c r="T33" s="61">
        <f>700-R33</f>
        <v>700</v>
      </c>
      <c r="U33" s="35">
        <f t="shared" si="5"/>
        <v>0</v>
      </c>
      <c r="V33" s="138">
        <v>-100</v>
      </c>
    </row>
    <row r="34" spans="1:22" ht="12" customHeight="1">
      <c r="A34" s="185"/>
      <c r="B34" s="159"/>
      <c r="C34" s="33">
        <f>570-70</f>
        <v>500</v>
      </c>
      <c r="D34" s="43">
        <v>2231</v>
      </c>
      <c r="E34" s="158"/>
      <c r="F34" s="33"/>
      <c r="G34" s="33"/>
      <c r="H34" s="33"/>
      <c r="I34" s="33"/>
      <c r="J34" s="63"/>
      <c r="K34" s="31"/>
      <c r="L34" s="31">
        <f>500</f>
        <v>500</v>
      </c>
      <c r="M34" s="31">
        <f>200</f>
        <v>200</v>
      </c>
      <c r="N34" s="31"/>
      <c r="O34" s="11"/>
      <c r="P34" s="34"/>
      <c r="Q34" s="34"/>
      <c r="R34" s="33">
        <f t="shared" si="3"/>
        <v>700</v>
      </c>
      <c r="S34" s="35">
        <f t="shared" si="4"/>
        <v>-200</v>
      </c>
      <c r="T34" s="33">
        <f>500+200-R34</f>
        <v>0</v>
      </c>
      <c r="U34" s="36">
        <f t="shared" si="5"/>
        <v>-200</v>
      </c>
      <c r="V34" s="136">
        <v>200</v>
      </c>
    </row>
    <row r="35" spans="1:22" ht="12" customHeight="1">
      <c r="A35" s="185"/>
      <c r="B35" s="159"/>
      <c r="C35" s="33">
        <f>850-250</f>
        <v>600</v>
      </c>
      <c r="D35" s="43">
        <v>2390</v>
      </c>
      <c r="E35" s="158"/>
      <c r="F35" s="33"/>
      <c r="G35" s="33"/>
      <c r="H35" s="33"/>
      <c r="I35" s="33"/>
      <c r="J35" s="11"/>
      <c r="K35" s="31"/>
      <c r="L35" s="31">
        <f>60+340</f>
        <v>400</v>
      </c>
      <c r="M35" s="31"/>
      <c r="N35" s="31"/>
      <c r="O35" s="11"/>
      <c r="P35" s="34"/>
      <c r="Q35" s="34"/>
      <c r="R35" s="33">
        <f t="shared" si="3"/>
        <v>400</v>
      </c>
      <c r="S35" s="35">
        <f t="shared" si="4"/>
        <v>200</v>
      </c>
      <c r="T35" s="33">
        <f>400-R35</f>
        <v>0</v>
      </c>
      <c r="U35" s="36">
        <f t="shared" si="5"/>
        <v>200</v>
      </c>
      <c r="V35" s="136">
        <v>-200</v>
      </c>
    </row>
    <row r="36" spans="1:22" ht="12" customHeight="1" thickBot="1">
      <c r="A36" s="186"/>
      <c r="B36" s="160"/>
      <c r="C36" s="44">
        <v>80</v>
      </c>
      <c r="D36" s="69">
        <v>2239</v>
      </c>
      <c r="E36" s="202"/>
      <c r="F36" s="56"/>
      <c r="G36" s="52"/>
      <c r="H36" s="52"/>
      <c r="I36" s="52"/>
      <c r="J36" s="70"/>
      <c r="K36" s="46"/>
      <c r="L36" s="46"/>
      <c r="M36" s="46"/>
      <c r="N36" s="46"/>
      <c r="O36" s="70"/>
      <c r="P36" s="49"/>
      <c r="Q36" s="49"/>
      <c r="R36" s="40">
        <f t="shared" si="3"/>
        <v>0</v>
      </c>
      <c r="S36" s="58">
        <f t="shared" si="4"/>
        <v>80</v>
      </c>
      <c r="T36" s="44"/>
      <c r="U36" s="58">
        <f t="shared" si="5"/>
        <v>80</v>
      </c>
      <c r="V36" s="137">
        <v>-80</v>
      </c>
    </row>
    <row r="37" spans="1:22" ht="11.25">
      <c r="A37" s="187">
        <v>2.11</v>
      </c>
      <c r="B37" s="208" t="s">
        <v>59</v>
      </c>
      <c r="C37" s="83">
        <f>350-250</f>
        <v>100</v>
      </c>
      <c r="D37" s="74">
        <v>2231</v>
      </c>
      <c r="E37" s="194">
        <f>C37+C38</f>
        <v>250</v>
      </c>
      <c r="F37" s="84"/>
      <c r="G37" s="83"/>
      <c r="H37" s="83"/>
      <c r="I37" s="83"/>
      <c r="J37" s="63"/>
      <c r="K37" s="64"/>
      <c r="L37" s="64"/>
      <c r="M37" s="64"/>
      <c r="N37" s="64"/>
      <c r="O37" s="63"/>
      <c r="P37" s="65"/>
      <c r="Q37" s="65"/>
      <c r="R37" s="61">
        <f t="shared" si="3"/>
        <v>0</v>
      </c>
      <c r="S37" s="35">
        <f t="shared" si="4"/>
        <v>100</v>
      </c>
      <c r="T37" s="42"/>
      <c r="U37" s="35">
        <f t="shared" si="5"/>
        <v>100</v>
      </c>
      <c r="V37" s="139"/>
    </row>
    <row r="38" spans="1:22" ht="11.25" customHeight="1">
      <c r="A38" s="188"/>
      <c r="B38" s="209"/>
      <c r="C38" s="33">
        <v>150</v>
      </c>
      <c r="D38" s="43">
        <v>2390</v>
      </c>
      <c r="E38" s="240"/>
      <c r="F38" s="85"/>
      <c r="G38" s="85"/>
      <c r="H38" s="85"/>
      <c r="I38" s="85"/>
      <c r="J38" s="11"/>
      <c r="K38" s="31"/>
      <c r="L38" s="31"/>
      <c r="M38" s="31"/>
      <c r="N38" s="31"/>
      <c r="O38" s="11"/>
      <c r="P38" s="34"/>
      <c r="Q38" s="34"/>
      <c r="R38" s="33">
        <f t="shared" si="3"/>
        <v>0</v>
      </c>
      <c r="S38" s="35">
        <f t="shared" si="4"/>
        <v>150</v>
      </c>
      <c r="T38" s="33"/>
      <c r="U38" s="36">
        <f t="shared" si="5"/>
        <v>150</v>
      </c>
      <c r="V38" s="136">
        <v>-100</v>
      </c>
    </row>
    <row r="39" spans="1:22" ht="22.5">
      <c r="A39" s="80">
        <v>2.12</v>
      </c>
      <c r="B39" s="37" t="s">
        <v>60</v>
      </c>
      <c r="C39" s="33">
        <v>3000</v>
      </c>
      <c r="D39" s="33">
        <v>2279</v>
      </c>
      <c r="E39" s="33">
        <v>3000</v>
      </c>
      <c r="F39" s="33"/>
      <c r="G39" s="33"/>
      <c r="H39" s="33"/>
      <c r="I39" s="33"/>
      <c r="J39" s="11"/>
      <c r="K39" s="31"/>
      <c r="L39" s="31"/>
      <c r="M39" s="31"/>
      <c r="N39" s="31"/>
      <c r="O39" s="11"/>
      <c r="P39" s="34"/>
      <c r="Q39" s="34"/>
      <c r="R39" s="33">
        <f t="shared" si="3"/>
        <v>0</v>
      </c>
      <c r="S39" s="36">
        <f t="shared" si="4"/>
        <v>3000</v>
      </c>
      <c r="T39" s="33"/>
      <c r="U39" s="36">
        <f t="shared" si="5"/>
        <v>3000</v>
      </c>
      <c r="V39" s="136"/>
    </row>
    <row r="40" spans="1:22" ht="12.75" customHeight="1" hidden="1">
      <c r="A40" s="188">
        <v>2.13</v>
      </c>
      <c r="B40" s="189" t="s">
        <v>61</v>
      </c>
      <c r="C40" s="42">
        <v>0</v>
      </c>
      <c r="D40" s="74">
        <v>2390</v>
      </c>
      <c r="E40" s="193">
        <f>SUM(C40:C43)</f>
        <v>0</v>
      </c>
      <c r="F40" s="42"/>
      <c r="G40" s="42"/>
      <c r="H40" s="42"/>
      <c r="I40" s="42"/>
      <c r="J40" s="11"/>
      <c r="K40" s="31"/>
      <c r="L40" s="31"/>
      <c r="M40" s="31"/>
      <c r="N40" s="31"/>
      <c r="O40" s="11"/>
      <c r="P40" s="34"/>
      <c r="Q40" s="34"/>
      <c r="R40" s="33">
        <f t="shared" si="3"/>
        <v>0</v>
      </c>
      <c r="S40" s="35">
        <f t="shared" si="4"/>
        <v>0</v>
      </c>
      <c r="T40" s="42"/>
      <c r="U40" s="35">
        <f t="shared" si="5"/>
        <v>0</v>
      </c>
      <c r="V40" s="139"/>
    </row>
    <row r="41" spans="1:22" ht="12.75" customHeight="1" hidden="1">
      <c r="A41" s="188"/>
      <c r="B41" s="159"/>
      <c r="C41" s="33">
        <v>0</v>
      </c>
      <c r="D41" s="43">
        <v>2231</v>
      </c>
      <c r="E41" s="158"/>
      <c r="F41" s="33"/>
      <c r="G41" s="33"/>
      <c r="H41" s="33"/>
      <c r="I41" s="33"/>
      <c r="J41" s="11"/>
      <c r="K41" s="31"/>
      <c r="L41" s="31"/>
      <c r="M41" s="31"/>
      <c r="N41" s="31"/>
      <c r="O41" s="11"/>
      <c r="P41" s="34"/>
      <c r="Q41" s="34"/>
      <c r="R41" s="33">
        <f t="shared" si="3"/>
        <v>0</v>
      </c>
      <c r="S41" s="35">
        <f t="shared" si="4"/>
        <v>0</v>
      </c>
      <c r="T41" s="33"/>
      <c r="U41" s="36">
        <f t="shared" si="5"/>
        <v>0</v>
      </c>
      <c r="V41" s="136"/>
    </row>
    <row r="42" spans="1:22" ht="12.75" customHeight="1" hidden="1">
      <c r="A42" s="188"/>
      <c r="B42" s="159"/>
      <c r="C42" s="33">
        <v>0</v>
      </c>
      <c r="D42" s="43">
        <v>2279</v>
      </c>
      <c r="E42" s="158"/>
      <c r="F42" s="33"/>
      <c r="G42" s="33"/>
      <c r="H42" s="33"/>
      <c r="I42" s="33"/>
      <c r="J42" s="11"/>
      <c r="K42" s="31"/>
      <c r="L42" s="31"/>
      <c r="M42" s="31"/>
      <c r="N42" s="31"/>
      <c r="O42" s="11"/>
      <c r="P42" s="34"/>
      <c r="Q42" s="34"/>
      <c r="R42" s="33">
        <f t="shared" si="3"/>
        <v>0</v>
      </c>
      <c r="S42" s="35">
        <f t="shared" si="4"/>
        <v>0</v>
      </c>
      <c r="T42" s="33"/>
      <c r="U42" s="36">
        <f t="shared" si="5"/>
        <v>0</v>
      </c>
      <c r="V42" s="136"/>
    </row>
    <row r="43" spans="1:22" ht="13.5" customHeight="1" hidden="1" thickBot="1">
      <c r="A43" s="161"/>
      <c r="B43" s="160"/>
      <c r="C43" s="44">
        <v>0</v>
      </c>
      <c r="D43" s="69">
        <v>2239</v>
      </c>
      <c r="E43" s="202"/>
      <c r="F43" s="44"/>
      <c r="G43" s="44"/>
      <c r="H43" s="44"/>
      <c r="I43" s="44"/>
      <c r="J43" s="11"/>
      <c r="K43" s="31"/>
      <c r="L43" s="31"/>
      <c r="M43" s="31"/>
      <c r="N43" s="31"/>
      <c r="O43" s="11"/>
      <c r="P43" s="34"/>
      <c r="Q43" s="34"/>
      <c r="R43" s="33">
        <f t="shared" si="3"/>
        <v>0</v>
      </c>
      <c r="S43" s="58">
        <f t="shared" si="4"/>
        <v>0</v>
      </c>
      <c r="T43" s="44"/>
      <c r="U43" s="58">
        <f t="shared" si="5"/>
        <v>0</v>
      </c>
      <c r="V43" s="137"/>
    </row>
    <row r="44" spans="1:22" ht="11.25" hidden="1">
      <c r="A44" s="65">
        <v>2.14</v>
      </c>
      <c r="B44" s="81" t="s">
        <v>62</v>
      </c>
      <c r="C44" s="42">
        <v>0</v>
      </c>
      <c r="D44" s="42">
        <v>2279</v>
      </c>
      <c r="E44" s="42">
        <f aca="true" t="shared" si="6" ref="E44:E49">C44</f>
        <v>0</v>
      </c>
      <c r="F44" s="42"/>
      <c r="G44" s="42"/>
      <c r="H44" s="42"/>
      <c r="I44" s="42"/>
      <c r="J44" s="11"/>
      <c r="K44" s="31"/>
      <c r="L44" s="31"/>
      <c r="M44" s="31"/>
      <c r="N44" s="31"/>
      <c r="O44" s="11"/>
      <c r="P44" s="34"/>
      <c r="Q44" s="34"/>
      <c r="R44" s="33">
        <f t="shared" si="3"/>
        <v>0</v>
      </c>
      <c r="S44" s="35">
        <f t="shared" si="4"/>
        <v>0</v>
      </c>
      <c r="T44" s="42"/>
      <c r="U44" s="35">
        <f t="shared" si="5"/>
        <v>0</v>
      </c>
      <c r="V44" s="139"/>
    </row>
    <row r="45" spans="1:22" ht="11.25">
      <c r="A45" s="34">
        <v>2.15</v>
      </c>
      <c r="B45" s="37" t="s">
        <v>63</v>
      </c>
      <c r="C45" s="33">
        <v>4000</v>
      </c>
      <c r="D45" s="33">
        <v>2279</v>
      </c>
      <c r="E45" s="33">
        <f t="shared" si="6"/>
        <v>4000</v>
      </c>
      <c r="F45" s="33"/>
      <c r="G45" s="33"/>
      <c r="H45" s="33"/>
      <c r="I45" s="33"/>
      <c r="J45" s="11"/>
      <c r="K45" s="31"/>
      <c r="L45" s="31"/>
      <c r="M45" s="31"/>
      <c r="N45" s="31"/>
      <c r="O45" s="11"/>
      <c r="P45" s="34"/>
      <c r="Q45" s="34"/>
      <c r="R45" s="33">
        <f t="shared" si="3"/>
        <v>0</v>
      </c>
      <c r="S45" s="35">
        <f t="shared" si="4"/>
        <v>4000</v>
      </c>
      <c r="T45" s="33"/>
      <c r="U45" s="36">
        <f t="shared" si="5"/>
        <v>4000</v>
      </c>
      <c r="V45" s="136">
        <v>-4000</v>
      </c>
    </row>
    <row r="46" spans="1:22" ht="11.25">
      <c r="A46" s="34">
        <v>2.16</v>
      </c>
      <c r="B46" s="37" t="s">
        <v>64</v>
      </c>
      <c r="C46" s="33">
        <f>1000-1000</f>
        <v>0</v>
      </c>
      <c r="D46" s="33">
        <v>2279</v>
      </c>
      <c r="E46" s="33">
        <f t="shared" si="6"/>
        <v>0</v>
      </c>
      <c r="F46" s="33"/>
      <c r="G46" s="33"/>
      <c r="H46" s="33"/>
      <c r="I46" s="33"/>
      <c r="J46" s="11"/>
      <c r="K46" s="31"/>
      <c r="L46" s="31"/>
      <c r="M46" s="31"/>
      <c r="N46" s="31"/>
      <c r="O46" s="11"/>
      <c r="P46" s="34"/>
      <c r="Q46" s="34"/>
      <c r="R46" s="33">
        <f t="shared" si="3"/>
        <v>0</v>
      </c>
      <c r="S46" s="35">
        <f t="shared" si="4"/>
        <v>0</v>
      </c>
      <c r="T46" s="33"/>
      <c r="U46" s="36">
        <f t="shared" si="5"/>
        <v>0</v>
      </c>
      <c r="V46" s="136"/>
    </row>
    <row r="47" spans="1:22" ht="22.5">
      <c r="A47" s="34">
        <v>2.17</v>
      </c>
      <c r="B47" s="37" t="s">
        <v>65</v>
      </c>
      <c r="C47" s="33">
        <f>10000-1000</f>
        <v>9000</v>
      </c>
      <c r="D47" s="43">
        <v>2279</v>
      </c>
      <c r="E47" s="33">
        <f t="shared" si="6"/>
        <v>9000</v>
      </c>
      <c r="F47" s="33"/>
      <c r="G47" s="33"/>
      <c r="H47" s="33"/>
      <c r="I47" s="33">
        <f>1800</f>
        <v>1800</v>
      </c>
      <c r="J47" s="11">
        <f>1800</f>
        <v>1800</v>
      </c>
      <c r="K47" s="31"/>
      <c r="L47" s="31"/>
      <c r="M47" s="31"/>
      <c r="N47" s="31"/>
      <c r="O47" s="11"/>
      <c r="P47" s="34"/>
      <c r="Q47" s="34"/>
      <c r="R47" s="33">
        <f t="shared" si="3"/>
        <v>3600</v>
      </c>
      <c r="S47" s="35">
        <f t="shared" si="4"/>
        <v>5400</v>
      </c>
      <c r="T47" s="33">
        <f>9000-R47</f>
        <v>5400</v>
      </c>
      <c r="U47" s="36">
        <f t="shared" si="5"/>
        <v>0</v>
      </c>
      <c r="V47" s="136"/>
    </row>
    <row r="48" spans="1:23" ht="12.75" customHeight="1">
      <c r="A48" s="165">
        <v>2.18</v>
      </c>
      <c r="B48" s="210" t="s">
        <v>66</v>
      </c>
      <c r="C48" s="33">
        <f>1000</f>
        <v>1000</v>
      </c>
      <c r="D48" s="43">
        <v>2279</v>
      </c>
      <c r="E48" s="33">
        <f t="shared" si="6"/>
        <v>1000</v>
      </c>
      <c r="F48" s="33"/>
      <c r="G48" s="33"/>
      <c r="H48" s="33"/>
      <c r="I48" s="33"/>
      <c r="J48" s="11"/>
      <c r="K48" s="31"/>
      <c r="L48" s="31">
        <v>1000</v>
      </c>
      <c r="M48" s="31"/>
      <c r="N48" s="31"/>
      <c r="O48" s="11"/>
      <c r="P48" s="34"/>
      <c r="Q48" s="34"/>
      <c r="R48" s="33">
        <f>SUM(F48:Q48)</f>
        <v>1000</v>
      </c>
      <c r="S48" s="35">
        <f>C48-SUM(F48:Q48)</f>
        <v>0</v>
      </c>
      <c r="T48" s="48">
        <f>1000-R48</f>
        <v>0</v>
      </c>
      <c r="U48" s="36">
        <f>S48-T48</f>
        <v>0</v>
      </c>
      <c r="V48" s="136"/>
      <c r="W48" s="5" t="s">
        <v>67</v>
      </c>
    </row>
    <row r="49" spans="1:22" ht="11.25" customHeight="1">
      <c r="A49" s="178"/>
      <c r="B49" s="211"/>
      <c r="C49" s="33">
        <f>1000-100-900</f>
        <v>0</v>
      </c>
      <c r="D49" s="43">
        <v>2269</v>
      </c>
      <c r="E49" s="33">
        <f t="shared" si="6"/>
        <v>0</v>
      </c>
      <c r="F49" s="33"/>
      <c r="G49" s="33"/>
      <c r="H49" s="33"/>
      <c r="I49" s="33"/>
      <c r="J49" s="11"/>
      <c r="K49" s="31"/>
      <c r="L49" s="31"/>
      <c r="M49" s="31"/>
      <c r="N49" s="31"/>
      <c r="O49" s="11"/>
      <c r="P49" s="34"/>
      <c r="Q49" s="34"/>
      <c r="R49" s="33">
        <f>SUM(F49:Q49)</f>
        <v>0</v>
      </c>
      <c r="S49" s="35">
        <f>C49-SUM(F49:Q49)</f>
        <v>0</v>
      </c>
      <c r="T49" s="33"/>
      <c r="U49" s="36">
        <f t="shared" si="5"/>
        <v>0</v>
      </c>
      <c r="V49" s="136"/>
    </row>
    <row r="50" spans="1:22" ht="12" thickBot="1">
      <c r="A50" s="147">
        <v>3</v>
      </c>
      <c r="B50" s="148" t="s">
        <v>68</v>
      </c>
      <c r="C50" s="118">
        <f>SUM(C51:C71)</f>
        <v>11110</v>
      </c>
      <c r="D50" s="149"/>
      <c r="E50" s="118">
        <f aca="true" t="shared" si="7" ref="E50:V50">SUM(E51:E71)</f>
        <v>11110</v>
      </c>
      <c r="F50" s="118">
        <f t="shared" si="7"/>
        <v>0</v>
      </c>
      <c r="G50" s="118">
        <f t="shared" si="7"/>
        <v>1379.69</v>
      </c>
      <c r="H50" s="118">
        <f t="shared" si="7"/>
        <v>0</v>
      </c>
      <c r="I50" s="118">
        <f t="shared" si="7"/>
        <v>0</v>
      </c>
      <c r="J50" s="118">
        <f t="shared" si="7"/>
        <v>50</v>
      </c>
      <c r="K50" s="118">
        <f t="shared" si="7"/>
        <v>1950</v>
      </c>
      <c r="L50" s="150">
        <f t="shared" si="7"/>
        <v>2102.31</v>
      </c>
      <c r="M50" s="150">
        <f t="shared" si="7"/>
        <v>0</v>
      </c>
      <c r="N50" s="150">
        <f t="shared" si="7"/>
        <v>0</v>
      </c>
      <c r="O50" s="150">
        <f t="shared" si="7"/>
        <v>0</v>
      </c>
      <c r="P50" s="150">
        <f t="shared" si="7"/>
        <v>0</v>
      </c>
      <c r="Q50" s="150">
        <f t="shared" si="7"/>
        <v>0</v>
      </c>
      <c r="R50" s="150">
        <f t="shared" si="7"/>
        <v>5482</v>
      </c>
      <c r="S50" s="151">
        <f t="shared" si="7"/>
        <v>5628.000000000001</v>
      </c>
      <c r="T50" s="150">
        <f t="shared" si="7"/>
        <v>0</v>
      </c>
      <c r="U50" s="151">
        <f t="shared" si="7"/>
        <v>5628.000000000001</v>
      </c>
      <c r="V50" s="152">
        <f t="shared" si="7"/>
        <v>-5627</v>
      </c>
    </row>
    <row r="51" spans="1:22" ht="12.75" customHeight="1" hidden="1">
      <c r="A51" s="206">
        <v>3.1</v>
      </c>
      <c r="B51" s="210" t="s">
        <v>69</v>
      </c>
      <c r="C51" s="31">
        <v>0</v>
      </c>
      <c r="D51" s="87">
        <v>2390</v>
      </c>
      <c r="E51" s="194">
        <f>SUM(C51:C53)</f>
        <v>0</v>
      </c>
      <c r="F51" s="33"/>
      <c r="G51" s="33"/>
      <c r="H51" s="33"/>
      <c r="I51" s="33"/>
      <c r="J51" s="11"/>
      <c r="K51" s="31"/>
      <c r="L51" s="64"/>
      <c r="M51" s="64"/>
      <c r="N51" s="64"/>
      <c r="O51" s="63"/>
      <c r="P51" s="65"/>
      <c r="Q51" s="65"/>
      <c r="R51" s="42">
        <f aca="true" t="shared" si="8" ref="R51:R71">SUM(F51:Q51)</f>
        <v>0</v>
      </c>
      <c r="S51" s="35">
        <f aca="true" t="shared" si="9" ref="S51:S71">C51-SUM(F51:Q51)</f>
        <v>0</v>
      </c>
      <c r="T51" s="42"/>
      <c r="U51" s="35">
        <f aca="true" t="shared" si="10" ref="U51:U71">S51-T51</f>
        <v>0</v>
      </c>
      <c r="V51" s="139"/>
    </row>
    <row r="52" spans="1:22" ht="12.75" customHeight="1" hidden="1">
      <c r="A52" s="206"/>
      <c r="B52" s="179"/>
      <c r="C52" s="31">
        <v>0</v>
      </c>
      <c r="D52" s="88">
        <v>2279</v>
      </c>
      <c r="E52" s="182"/>
      <c r="F52" s="33"/>
      <c r="G52" s="33"/>
      <c r="H52" s="33"/>
      <c r="I52" s="33"/>
      <c r="J52" s="11"/>
      <c r="K52" s="31"/>
      <c r="L52" s="31"/>
      <c r="M52" s="31"/>
      <c r="N52" s="31"/>
      <c r="O52" s="11"/>
      <c r="P52" s="34"/>
      <c r="Q52" s="34"/>
      <c r="R52" s="33">
        <f t="shared" si="8"/>
        <v>0</v>
      </c>
      <c r="S52" s="35">
        <f t="shared" si="9"/>
        <v>0</v>
      </c>
      <c r="T52" s="33"/>
      <c r="U52" s="36">
        <f t="shared" si="10"/>
        <v>0</v>
      </c>
      <c r="V52" s="136"/>
    </row>
    <row r="53" spans="1:22" ht="13.5" customHeight="1" hidden="1" thickBot="1">
      <c r="A53" s="207"/>
      <c r="B53" s="181"/>
      <c r="C53" s="71">
        <v>0</v>
      </c>
      <c r="D53" s="89">
        <v>2231</v>
      </c>
      <c r="E53" s="183"/>
      <c r="F53" s="44"/>
      <c r="G53" s="44"/>
      <c r="H53" s="44"/>
      <c r="I53" s="44"/>
      <c r="J53" s="70"/>
      <c r="K53" s="46"/>
      <c r="L53" s="46"/>
      <c r="M53" s="46"/>
      <c r="N53" s="46"/>
      <c r="O53" s="70"/>
      <c r="P53" s="49"/>
      <c r="Q53" s="49"/>
      <c r="R53" s="44">
        <f t="shared" si="8"/>
        <v>0</v>
      </c>
      <c r="S53" s="57">
        <f t="shared" si="9"/>
        <v>0</v>
      </c>
      <c r="T53" s="44"/>
      <c r="U53" s="58">
        <f t="shared" si="10"/>
        <v>0</v>
      </c>
      <c r="V53" s="137"/>
    </row>
    <row r="54" spans="1:22" ht="11.25">
      <c r="A54" s="203">
        <v>3.2</v>
      </c>
      <c r="B54" s="180" t="s">
        <v>70</v>
      </c>
      <c r="C54" s="76">
        <f>2200-200</f>
        <v>2000</v>
      </c>
      <c r="D54" s="90">
        <v>2264</v>
      </c>
      <c r="E54" s="170">
        <f>SUM(C54:C58)</f>
        <v>5580</v>
      </c>
      <c r="F54" s="61"/>
      <c r="G54" s="61"/>
      <c r="H54" s="61"/>
      <c r="I54" s="61"/>
      <c r="J54" s="82"/>
      <c r="K54" s="76"/>
      <c r="L54" s="76">
        <f>484+919.6+140+100</f>
        <v>1643.6</v>
      </c>
      <c r="M54" s="64"/>
      <c r="N54" s="64"/>
      <c r="O54" s="63"/>
      <c r="P54" s="65"/>
      <c r="Q54" s="65"/>
      <c r="R54" s="61">
        <f t="shared" si="8"/>
        <v>1643.6</v>
      </c>
      <c r="S54" s="66">
        <f t="shared" si="9"/>
        <v>356.4000000000001</v>
      </c>
      <c r="T54" s="42"/>
      <c r="U54" s="35">
        <f t="shared" si="10"/>
        <v>356.4000000000001</v>
      </c>
      <c r="V54" s="139">
        <v>-356</v>
      </c>
    </row>
    <row r="55" spans="1:22" ht="11.25">
      <c r="A55" s="204"/>
      <c r="B55" s="179"/>
      <c r="C55" s="31">
        <v>500</v>
      </c>
      <c r="D55" s="32">
        <v>2390</v>
      </c>
      <c r="E55" s="182"/>
      <c r="F55" s="33"/>
      <c r="G55" s="33"/>
      <c r="H55" s="33"/>
      <c r="I55" s="33"/>
      <c r="J55" s="11"/>
      <c r="K55" s="31">
        <f>200</f>
        <v>200</v>
      </c>
      <c r="L55" s="31">
        <f>48.71</f>
        <v>48.71</v>
      </c>
      <c r="M55" s="31"/>
      <c r="N55" s="31"/>
      <c r="O55" s="11"/>
      <c r="P55" s="34"/>
      <c r="Q55" s="34"/>
      <c r="R55" s="42">
        <f t="shared" si="8"/>
        <v>248.71</v>
      </c>
      <c r="S55" s="35">
        <f t="shared" si="9"/>
        <v>251.29</v>
      </c>
      <c r="T55" s="33"/>
      <c r="U55" s="36">
        <f t="shared" si="10"/>
        <v>251.29</v>
      </c>
      <c r="V55" s="136">
        <v>-251</v>
      </c>
    </row>
    <row r="56" spans="1:22" ht="11.25">
      <c r="A56" s="204"/>
      <c r="B56" s="179"/>
      <c r="C56" s="31">
        <f>520-220</f>
        <v>300</v>
      </c>
      <c r="D56" s="32">
        <v>2279</v>
      </c>
      <c r="E56" s="182"/>
      <c r="F56" s="33"/>
      <c r="G56" s="33"/>
      <c r="H56" s="33"/>
      <c r="I56" s="33"/>
      <c r="J56" s="11"/>
      <c r="K56" s="31"/>
      <c r="L56" s="31">
        <f>210+200</f>
        <v>410</v>
      </c>
      <c r="M56" s="91"/>
      <c r="N56" s="91"/>
      <c r="O56" s="11"/>
      <c r="P56" s="34"/>
      <c r="Q56" s="34"/>
      <c r="R56" s="33">
        <f t="shared" si="8"/>
        <v>410</v>
      </c>
      <c r="S56" s="35">
        <f t="shared" si="9"/>
        <v>-110</v>
      </c>
      <c r="T56" s="33"/>
      <c r="U56" s="36">
        <f t="shared" si="10"/>
        <v>-110</v>
      </c>
      <c r="V56" s="136">
        <v>110</v>
      </c>
    </row>
    <row r="57" spans="1:22" ht="11.25">
      <c r="A57" s="204"/>
      <c r="B57" s="179"/>
      <c r="C57" s="31">
        <f>800+300+880</f>
        <v>1980</v>
      </c>
      <c r="D57" s="32">
        <v>2231</v>
      </c>
      <c r="E57" s="182"/>
      <c r="F57" s="33"/>
      <c r="G57" s="33"/>
      <c r="H57" s="33"/>
      <c r="I57" s="33"/>
      <c r="J57" s="11"/>
      <c r="K57" s="31">
        <f>900+350</f>
        <v>1250</v>
      </c>
      <c r="L57" s="31"/>
      <c r="M57" s="91"/>
      <c r="N57" s="91"/>
      <c r="O57" s="11"/>
      <c r="P57" s="34"/>
      <c r="Q57" s="34"/>
      <c r="R57" s="33">
        <f t="shared" si="8"/>
        <v>1250</v>
      </c>
      <c r="S57" s="35">
        <f t="shared" si="9"/>
        <v>730</v>
      </c>
      <c r="T57" s="33"/>
      <c r="U57" s="36">
        <f t="shared" si="10"/>
        <v>730</v>
      </c>
      <c r="V57" s="136">
        <v>-730</v>
      </c>
    </row>
    <row r="58" spans="1:22" ht="12" thickBot="1">
      <c r="A58" s="205"/>
      <c r="B58" s="181"/>
      <c r="C58" s="71">
        <v>800</v>
      </c>
      <c r="D58" s="92">
        <v>2232</v>
      </c>
      <c r="E58" s="183"/>
      <c r="F58" s="44"/>
      <c r="G58" s="44"/>
      <c r="H58" s="44"/>
      <c r="I58" s="44"/>
      <c r="J58" s="70"/>
      <c r="K58" s="46"/>
      <c r="L58" s="46"/>
      <c r="M58" s="46"/>
      <c r="N58" s="46"/>
      <c r="O58" s="70"/>
      <c r="P58" s="49"/>
      <c r="Q58" s="49"/>
      <c r="R58" s="40">
        <f t="shared" si="8"/>
        <v>0</v>
      </c>
      <c r="S58" s="57">
        <f t="shared" si="9"/>
        <v>800</v>
      </c>
      <c r="T58" s="44"/>
      <c r="U58" s="58">
        <f t="shared" si="10"/>
        <v>800</v>
      </c>
      <c r="V58" s="137">
        <v>-800</v>
      </c>
    </row>
    <row r="59" spans="1:22" ht="12" thickBot="1">
      <c r="A59" s="93">
        <v>3.3</v>
      </c>
      <c r="B59" s="94" t="s">
        <v>71</v>
      </c>
      <c r="C59" s="95">
        <f>1500-1500</f>
        <v>0</v>
      </c>
      <c r="D59" s="96">
        <v>2279</v>
      </c>
      <c r="E59" s="97">
        <f>C59</f>
        <v>0</v>
      </c>
      <c r="F59" s="52"/>
      <c r="G59" s="52"/>
      <c r="H59" s="52"/>
      <c r="I59" s="52"/>
      <c r="J59" s="53"/>
      <c r="K59" s="54"/>
      <c r="L59" s="54"/>
      <c r="M59" s="54"/>
      <c r="N59" s="54"/>
      <c r="O59" s="53"/>
      <c r="P59" s="55"/>
      <c r="Q59" s="55"/>
      <c r="R59" s="97">
        <f t="shared" si="8"/>
        <v>0</v>
      </c>
      <c r="S59" s="98">
        <f t="shared" si="9"/>
        <v>0</v>
      </c>
      <c r="T59" s="52"/>
      <c r="U59" s="99">
        <f t="shared" si="10"/>
        <v>0</v>
      </c>
      <c r="V59" s="141"/>
    </row>
    <row r="60" spans="1:22" ht="11.25">
      <c r="A60" s="235">
        <v>3.4</v>
      </c>
      <c r="B60" s="179" t="s">
        <v>72</v>
      </c>
      <c r="C60" s="64">
        <v>600</v>
      </c>
      <c r="D60" s="77">
        <v>2239</v>
      </c>
      <c r="E60" s="194">
        <f>SUM(C60:C64)</f>
        <v>3600</v>
      </c>
      <c r="F60" s="42"/>
      <c r="G60" s="42"/>
      <c r="H60" s="42"/>
      <c r="I60" s="42"/>
      <c r="J60" s="63"/>
      <c r="K60" s="64"/>
      <c r="L60" s="64"/>
      <c r="M60" s="64"/>
      <c r="N60" s="64"/>
      <c r="O60" s="63"/>
      <c r="P60" s="65"/>
      <c r="Q60" s="65"/>
      <c r="R60" s="42">
        <f t="shared" si="8"/>
        <v>0</v>
      </c>
      <c r="S60" s="66">
        <f t="shared" si="9"/>
        <v>600</v>
      </c>
      <c r="T60" s="42"/>
      <c r="U60" s="35">
        <f t="shared" si="10"/>
        <v>600</v>
      </c>
      <c r="V60" s="139">
        <v>-600</v>
      </c>
    </row>
    <row r="61" spans="1:22" ht="11.25">
      <c r="A61" s="216"/>
      <c r="B61" s="179"/>
      <c r="C61" s="31">
        <f>1200-200</f>
        <v>1000</v>
      </c>
      <c r="D61" s="32">
        <v>2264</v>
      </c>
      <c r="E61" s="182"/>
      <c r="F61" s="33"/>
      <c r="G61" s="33"/>
      <c r="H61" s="33"/>
      <c r="I61" s="33"/>
      <c r="J61" s="11"/>
      <c r="K61" s="31"/>
      <c r="L61" s="31"/>
      <c r="M61" s="31"/>
      <c r="N61" s="31"/>
      <c r="O61" s="11"/>
      <c r="P61" s="34"/>
      <c r="Q61" s="34"/>
      <c r="R61" s="33">
        <f t="shared" si="8"/>
        <v>0</v>
      </c>
      <c r="S61" s="35">
        <f t="shared" si="9"/>
        <v>1000</v>
      </c>
      <c r="T61" s="33"/>
      <c r="U61" s="36">
        <f t="shared" si="10"/>
        <v>1000</v>
      </c>
      <c r="V61" s="136">
        <v>-1000</v>
      </c>
    </row>
    <row r="62" spans="1:22" ht="12.75" customHeight="1" hidden="1">
      <c r="A62" s="216"/>
      <c r="B62" s="179"/>
      <c r="C62" s="31">
        <v>0</v>
      </c>
      <c r="D62" s="32">
        <v>2279</v>
      </c>
      <c r="E62" s="182"/>
      <c r="F62" s="33"/>
      <c r="G62" s="33"/>
      <c r="H62" s="33"/>
      <c r="I62" s="33"/>
      <c r="J62" s="11"/>
      <c r="K62" s="31"/>
      <c r="L62" s="31"/>
      <c r="M62" s="31"/>
      <c r="N62" s="31"/>
      <c r="O62" s="11"/>
      <c r="P62" s="34"/>
      <c r="Q62" s="34"/>
      <c r="R62" s="33">
        <f t="shared" si="8"/>
        <v>0</v>
      </c>
      <c r="S62" s="35">
        <f t="shared" si="9"/>
        <v>0</v>
      </c>
      <c r="T62" s="33"/>
      <c r="U62" s="36">
        <f t="shared" si="10"/>
        <v>0</v>
      </c>
      <c r="V62" s="136"/>
    </row>
    <row r="63" spans="1:22" ht="11.25" customHeight="1" hidden="1">
      <c r="A63" s="216"/>
      <c r="B63" s="179"/>
      <c r="C63" s="31">
        <f>1200-1200</f>
        <v>0</v>
      </c>
      <c r="D63" s="32">
        <v>2232</v>
      </c>
      <c r="E63" s="182"/>
      <c r="F63" s="33"/>
      <c r="G63" s="33"/>
      <c r="H63" s="33"/>
      <c r="I63" s="33"/>
      <c r="J63" s="11"/>
      <c r="K63" s="31"/>
      <c r="L63" s="31"/>
      <c r="M63" s="31"/>
      <c r="N63" s="31"/>
      <c r="O63" s="11"/>
      <c r="P63" s="34"/>
      <c r="Q63" s="34"/>
      <c r="R63" s="42">
        <f t="shared" si="8"/>
        <v>0</v>
      </c>
      <c r="S63" s="35">
        <f t="shared" si="9"/>
        <v>0</v>
      </c>
      <c r="T63" s="33"/>
      <c r="U63" s="36">
        <f t="shared" si="10"/>
        <v>0</v>
      </c>
      <c r="V63" s="136"/>
    </row>
    <row r="64" spans="1:22" ht="12" thickBot="1">
      <c r="A64" s="217"/>
      <c r="B64" s="179"/>
      <c r="C64" s="46">
        <f>2500-500</f>
        <v>2000</v>
      </c>
      <c r="D64" s="47">
        <v>2231</v>
      </c>
      <c r="E64" s="183"/>
      <c r="F64" s="44"/>
      <c r="G64" s="44"/>
      <c r="H64" s="44"/>
      <c r="I64" s="44"/>
      <c r="J64" s="70"/>
      <c r="K64" s="46"/>
      <c r="L64" s="46"/>
      <c r="M64" s="46"/>
      <c r="N64" s="46"/>
      <c r="O64" s="70"/>
      <c r="P64" s="49"/>
      <c r="Q64" s="49"/>
      <c r="R64" s="44">
        <f t="shared" si="8"/>
        <v>0</v>
      </c>
      <c r="S64" s="58">
        <f t="shared" si="9"/>
        <v>2000</v>
      </c>
      <c r="T64" s="44"/>
      <c r="U64" s="58">
        <f t="shared" si="10"/>
        <v>2000</v>
      </c>
      <c r="V64" s="137">
        <v>-2000</v>
      </c>
    </row>
    <row r="65" spans="1:22" ht="23.25" hidden="1" thickBot="1">
      <c r="A65" s="100">
        <v>3.5</v>
      </c>
      <c r="B65" s="68" t="s">
        <v>73</v>
      </c>
      <c r="C65" s="64">
        <v>0</v>
      </c>
      <c r="D65" s="77"/>
      <c r="E65" s="42">
        <v>0</v>
      </c>
      <c r="F65" s="42"/>
      <c r="G65" s="42"/>
      <c r="H65" s="42"/>
      <c r="I65" s="42"/>
      <c r="J65" s="63"/>
      <c r="K65" s="64"/>
      <c r="L65" s="64"/>
      <c r="M65" s="64"/>
      <c r="N65" s="64"/>
      <c r="O65" s="63"/>
      <c r="P65" s="65"/>
      <c r="Q65" s="65"/>
      <c r="R65" s="61">
        <f t="shared" si="8"/>
        <v>0</v>
      </c>
      <c r="S65" s="98">
        <f t="shared" si="9"/>
        <v>0</v>
      </c>
      <c r="T65" s="42"/>
      <c r="U65" s="35">
        <f t="shared" si="10"/>
        <v>0</v>
      </c>
      <c r="V65" s="139"/>
    </row>
    <row r="66" spans="1:22" ht="12.75" customHeight="1" hidden="1" thickBot="1">
      <c r="A66" s="38">
        <v>3.6</v>
      </c>
      <c r="B66" s="94" t="s">
        <v>74</v>
      </c>
      <c r="C66" s="46">
        <f>1500-1500</f>
        <v>0</v>
      </c>
      <c r="D66" s="47">
        <v>2279</v>
      </c>
      <c r="E66" s="44">
        <f>C66</f>
        <v>0</v>
      </c>
      <c r="F66" s="44"/>
      <c r="G66" s="44"/>
      <c r="H66" s="44"/>
      <c r="I66" s="44"/>
      <c r="J66" s="70"/>
      <c r="K66" s="46"/>
      <c r="L66" s="46"/>
      <c r="M66" s="46"/>
      <c r="N66" s="46"/>
      <c r="O66" s="70"/>
      <c r="P66" s="49"/>
      <c r="Q66" s="49"/>
      <c r="R66" s="40">
        <f t="shared" si="8"/>
        <v>0</v>
      </c>
      <c r="S66" s="58">
        <f t="shared" si="9"/>
        <v>0</v>
      </c>
      <c r="T66" s="40"/>
      <c r="U66" s="58">
        <f t="shared" si="10"/>
        <v>0</v>
      </c>
      <c r="V66" s="140"/>
    </row>
    <row r="67" spans="1:22" ht="12.75" customHeight="1">
      <c r="A67" s="218">
        <v>3.6</v>
      </c>
      <c r="B67" s="180" t="s">
        <v>75</v>
      </c>
      <c r="C67" s="64">
        <f>420-335+50</f>
        <v>135</v>
      </c>
      <c r="D67" s="77">
        <v>2264</v>
      </c>
      <c r="E67" s="194">
        <f>SUM(C67:C70)</f>
        <v>1430</v>
      </c>
      <c r="F67" s="42"/>
      <c r="G67" s="42">
        <v>84.7</v>
      </c>
      <c r="H67" s="42"/>
      <c r="I67" s="42"/>
      <c r="J67" s="63">
        <f>50</f>
        <v>50</v>
      </c>
      <c r="K67" s="64"/>
      <c r="L67" s="64"/>
      <c r="M67" s="64"/>
      <c r="N67" s="64"/>
      <c r="O67" s="63"/>
      <c r="P67" s="65"/>
      <c r="Q67" s="65"/>
      <c r="R67" s="61">
        <f t="shared" si="8"/>
        <v>134.7</v>
      </c>
      <c r="S67" s="66">
        <f t="shared" si="9"/>
        <v>0.30000000000001137</v>
      </c>
      <c r="T67" s="61"/>
      <c r="U67" s="35">
        <f t="shared" si="10"/>
        <v>0.30000000000001137</v>
      </c>
      <c r="V67" s="138"/>
    </row>
    <row r="68" spans="1:22" ht="12.75" customHeight="1">
      <c r="A68" s="236"/>
      <c r="B68" s="179"/>
      <c r="C68" s="31">
        <f>960-65</f>
        <v>895</v>
      </c>
      <c r="D68" s="32">
        <v>2231</v>
      </c>
      <c r="E68" s="182"/>
      <c r="F68" s="33"/>
      <c r="G68" s="33">
        <f>500+395</f>
        <v>895</v>
      </c>
      <c r="H68" s="33"/>
      <c r="I68" s="33"/>
      <c r="J68" s="11"/>
      <c r="K68" s="31"/>
      <c r="L68" s="31"/>
      <c r="M68" s="31"/>
      <c r="N68" s="31"/>
      <c r="O68" s="11"/>
      <c r="P68" s="34"/>
      <c r="Q68" s="34"/>
      <c r="R68" s="33">
        <f t="shared" si="8"/>
        <v>895</v>
      </c>
      <c r="S68" s="35">
        <f t="shared" si="9"/>
        <v>0</v>
      </c>
      <c r="T68" s="33"/>
      <c r="U68" s="36">
        <f t="shared" si="10"/>
        <v>0</v>
      </c>
      <c r="V68" s="136"/>
    </row>
    <row r="69" spans="1:22" ht="12.75" customHeight="1">
      <c r="A69" s="236"/>
      <c r="B69" s="179"/>
      <c r="C69" s="31">
        <v>400</v>
      </c>
      <c r="D69" s="32">
        <v>2390</v>
      </c>
      <c r="E69" s="182"/>
      <c r="F69" s="33"/>
      <c r="G69" s="33">
        <f>349.99+50</f>
        <v>399.99</v>
      </c>
      <c r="H69" s="33"/>
      <c r="I69" s="33"/>
      <c r="J69" s="11"/>
      <c r="K69" s="31"/>
      <c r="L69" s="31"/>
      <c r="M69" s="31"/>
      <c r="N69" s="31"/>
      <c r="O69" s="11"/>
      <c r="P69" s="34"/>
      <c r="Q69" s="34"/>
      <c r="R69" s="33">
        <f t="shared" si="8"/>
        <v>399.99</v>
      </c>
      <c r="S69" s="35">
        <f t="shared" si="9"/>
        <v>0.009999999999990905</v>
      </c>
      <c r="T69" s="33"/>
      <c r="U69" s="36">
        <f t="shared" si="10"/>
        <v>0.009999999999990905</v>
      </c>
      <c r="V69" s="136"/>
    </row>
    <row r="70" spans="1:22" ht="13.5" customHeight="1" thickBot="1">
      <c r="A70" s="219"/>
      <c r="B70" s="181"/>
      <c r="C70" s="46">
        <f>220-220</f>
        <v>0</v>
      </c>
      <c r="D70" s="47">
        <v>2279</v>
      </c>
      <c r="E70" s="183"/>
      <c r="F70" s="44"/>
      <c r="G70" s="44"/>
      <c r="H70" s="44"/>
      <c r="I70" s="44"/>
      <c r="J70" s="70"/>
      <c r="K70" s="46"/>
      <c r="L70" s="46"/>
      <c r="M70" s="46"/>
      <c r="N70" s="46"/>
      <c r="O70" s="70"/>
      <c r="P70" s="49"/>
      <c r="Q70" s="49"/>
      <c r="R70" s="40">
        <f t="shared" si="8"/>
        <v>0</v>
      </c>
      <c r="S70" s="58">
        <f t="shared" si="9"/>
        <v>0</v>
      </c>
      <c r="T70" s="44"/>
      <c r="U70" s="58">
        <f t="shared" si="10"/>
        <v>0</v>
      </c>
      <c r="V70" s="137"/>
    </row>
    <row r="71" spans="1:22" ht="11.25">
      <c r="A71" s="41">
        <v>3.7</v>
      </c>
      <c r="B71" s="81" t="s">
        <v>76</v>
      </c>
      <c r="C71" s="64">
        <f>800-300</f>
        <v>500</v>
      </c>
      <c r="D71" s="77">
        <v>2231</v>
      </c>
      <c r="E71" s="42">
        <f>C71</f>
        <v>500</v>
      </c>
      <c r="F71" s="42"/>
      <c r="G71" s="42"/>
      <c r="H71" s="42"/>
      <c r="I71" s="42"/>
      <c r="J71" s="63"/>
      <c r="K71" s="64">
        <v>500</v>
      </c>
      <c r="L71" s="64"/>
      <c r="M71" s="64"/>
      <c r="N71" s="64"/>
      <c r="O71" s="63"/>
      <c r="P71" s="65"/>
      <c r="Q71" s="65"/>
      <c r="R71" s="61">
        <f t="shared" si="8"/>
        <v>500</v>
      </c>
      <c r="S71" s="35">
        <f t="shared" si="9"/>
        <v>0</v>
      </c>
      <c r="T71" s="42"/>
      <c r="U71" s="35">
        <f t="shared" si="10"/>
        <v>0</v>
      </c>
      <c r="V71" s="139"/>
    </row>
    <row r="72" spans="1:22" ht="31.5">
      <c r="A72" s="153">
        <v>4</v>
      </c>
      <c r="B72" s="148" t="s">
        <v>77</v>
      </c>
      <c r="C72" s="118">
        <f>SUM(C73:C84)</f>
        <v>6159</v>
      </c>
      <c r="D72" s="31"/>
      <c r="E72" s="118">
        <f>SUM(E73:E84)</f>
        <v>6159</v>
      </c>
      <c r="F72" s="118">
        <f aca="true" t="shared" si="11" ref="F72:V72">SUM(F73:F84)</f>
        <v>0</v>
      </c>
      <c r="G72" s="118">
        <f t="shared" si="11"/>
        <v>0</v>
      </c>
      <c r="H72" s="118">
        <f t="shared" si="11"/>
        <v>0</v>
      </c>
      <c r="I72" s="118">
        <f t="shared" si="11"/>
        <v>1324.3600000000001</v>
      </c>
      <c r="J72" s="118">
        <f t="shared" si="11"/>
        <v>0</v>
      </c>
      <c r="K72" s="118">
        <f t="shared" si="11"/>
        <v>0</v>
      </c>
      <c r="L72" s="118">
        <f t="shared" si="11"/>
        <v>0</v>
      </c>
      <c r="M72" s="118">
        <f t="shared" si="11"/>
        <v>0</v>
      </c>
      <c r="N72" s="118">
        <f t="shared" si="11"/>
        <v>0</v>
      </c>
      <c r="O72" s="118">
        <f t="shared" si="11"/>
        <v>0</v>
      </c>
      <c r="P72" s="118">
        <f t="shared" si="11"/>
        <v>0</v>
      </c>
      <c r="Q72" s="118">
        <f t="shared" si="11"/>
        <v>0</v>
      </c>
      <c r="R72" s="118">
        <f t="shared" si="11"/>
        <v>1324.3600000000001</v>
      </c>
      <c r="S72" s="118">
        <f t="shared" si="11"/>
        <v>4834.639999999999</v>
      </c>
      <c r="T72" s="118">
        <f t="shared" si="11"/>
        <v>0</v>
      </c>
      <c r="U72" s="118">
        <f t="shared" si="11"/>
        <v>4834.639999999999</v>
      </c>
      <c r="V72" s="146">
        <f t="shared" si="11"/>
        <v>-2737</v>
      </c>
    </row>
    <row r="73" spans="1:22" ht="11.25">
      <c r="A73" s="216">
        <v>4.1</v>
      </c>
      <c r="B73" s="233" t="s">
        <v>78</v>
      </c>
      <c r="C73" s="33">
        <f>60</f>
        <v>60</v>
      </c>
      <c r="D73" s="43">
        <v>2390</v>
      </c>
      <c r="E73" s="182">
        <f>C73+C74</f>
        <v>85</v>
      </c>
      <c r="F73" s="33"/>
      <c r="G73" s="33"/>
      <c r="H73" s="33"/>
      <c r="I73" s="33">
        <f>60</f>
        <v>60</v>
      </c>
      <c r="J73" s="11"/>
      <c r="K73" s="31"/>
      <c r="L73" s="31"/>
      <c r="M73" s="31"/>
      <c r="N73" s="31"/>
      <c r="O73" s="11"/>
      <c r="P73" s="34"/>
      <c r="Q73" s="34"/>
      <c r="R73" s="42">
        <f aca="true" t="shared" si="12" ref="R73:R84">SUM(F73:Q73)</f>
        <v>60</v>
      </c>
      <c r="S73" s="36">
        <f aca="true" t="shared" si="13" ref="S73:S84">C73-SUM(F73:Q73)</f>
        <v>0</v>
      </c>
      <c r="T73" s="33"/>
      <c r="U73" s="36">
        <f aca="true" t="shared" si="14" ref="U73:U84">S73-T73</f>
        <v>0</v>
      </c>
      <c r="V73" s="136"/>
    </row>
    <row r="74" spans="1:22" ht="12" thickBot="1">
      <c r="A74" s="217"/>
      <c r="B74" s="234"/>
      <c r="C74" s="44">
        <f>25</f>
        <v>25</v>
      </c>
      <c r="D74" s="69">
        <v>2231</v>
      </c>
      <c r="E74" s="183"/>
      <c r="F74" s="44"/>
      <c r="G74" s="44"/>
      <c r="H74" s="44"/>
      <c r="I74" s="44">
        <f>24.93</f>
        <v>24.93</v>
      </c>
      <c r="J74" s="70"/>
      <c r="K74" s="46"/>
      <c r="L74" s="46"/>
      <c r="M74" s="46"/>
      <c r="N74" s="46"/>
      <c r="O74" s="70"/>
      <c r="P74" s="49"/>
      <c r="Q74" s="49"/>
      <c r="R74" s="44">
        <f t="shared" si="12"/>
        <v>24.93</v>
      </c>
      <c r="S74" s="58">
        <f t="shared" si="13"/>
        <v>0.07000000000000028</v>
      </c>
      <c r="T74" s="44"/>
      <c r="U74" s="58">
        <f t="shared" si="14"/>
        <v>0.07000000000000028</v>
      </c>
      <c r="V74" s="137"/>
    </row>
    <row r="75" spans="1:22" ht="11.25">
      <c r="A75" s="218">
        <v>4.2</v>
      </c>
      <c r="B75" s="180" t="s">
        <v>79</v>
      </c>
      <c r="C75" s="61">
        <f>150-150</f>
        <v>0</v>
      </c>
      <c r="D75" s="62">
        <v>2390</v>
      </c>
      <c r="E75" s="170">
        <f>SUM(C75:C76)</f>
        <v>0</v>
      </c>
      <c r="F75" s="61"/>
      <c r="G75" s="61"/>
      <c r="H75" s="61"/>
      <c r="I75" s="61"/>
      <c r="J75" s="82"/>
      <c r="K75" s="76"/>
      <c r="L75" s="76"/>
      <c r="M75" s="76"/>
      <c r="N75" s="76"/>
      <c r="O75" s="82"/>
      <c r="P75" s="59"/>
      <c r="Q75" s="59"/>
      <c r="R75" s="42">
        <f t="shared" si="12"/>
        <v>0</v>
      </c>
      <c r="S75" s="35">
        <f t="shared" si="13"/>
        <v>0</v>
      </c>
      <c r="T75" s="61"/>
      <c r="U75" s="66">
        <f t="shared" si="14"/>
        <v>0</v>
      </c>
      <c r="V75" s="138"/>
    </row>
    <row r="76" spans="1:22" ht="12" customHeight="1" thickBot="1">
      <c r="A76" s="219"/>
      <c r="B76" s="181"/>
      <c r="C76" s="44">
        <f>50-50</f>
        <v>0</v>
      </c>
      <c r="D76" s="69">
        <v>2231</v>
      </c>
      <c r="E76" s="183"/>
      <c r="F76" s="44"/>
      <c r="G76" s="44"/>
      <c r="H76" s="44"/>
      <c r="I76" s="44"/>
      <c r="J76" s="70"/>
      <c r="K76" s="46"/>
      <c r="L76" s="46"/>
      <c r="M76" s="46"/>
      <c r="N76" s="46"/>
      <c r="O76" s="70"/>
      <c r="P76" s="49"/>
      <c r="Q76" s="49"/>
      <c r="R76" s="44">
        <f t="shared" si="12"/>
        <v>0</v>
      </c>
      <c r="S76" s="58">
        <f t="shared" si="13"/>
        <v>0</v>
      </c>
      <c r="T76" s="44"/>
      <c r="U76" s="58">
        <f t="shared" si="14"/>
        <v>0</v>
      </c>
      <c r="V76" s="137"/>
    </row>
    <row r="77" spans="1:22" ht="33.75">
      <c r="A77" s="103" t="s">
        <v>80</v>
      </c>
      <c r="B77" s="60" t="s">
        <v>81</v>
      </c>
      <c r="C77" s="61">
        <f>300-260+220</f>
        <v>260</v>
      </c>
      <c r="D77" s="62">
        <v>2262</v>
      </c>
      <c r="E77" s="56">
        <f>C77</f>
        <v>260</v>
      </c>
      <c r="F77" s="61"/>
      <c r="G77" s="61"/>
      <c r="H77" s="61"/>
      <c r="I77" s="61">
        <v>260</v>
      </c>
      <c r="J77" s="82"/>
      <c r="K77" s="76"/>
      <c r="L77" s="76"/>
      <c r="M77" s="76"/>
      <c r="N77" s="76"/>
      <c r="O77" s="82"/>
      <c r="P77" s="59"/>
      <c r="Q77" s="59"/>
      <c r="R77" s="61">
        <f t="shared" si="12"/>
        <v>260</v>
      </c>
      <c r="S77" s="66">
        <f t="shared" si="13"/>
        <v>0</v>
      </c>
      <c r="T77" s="61"/>
      <c r="U77" s="66">
        <f t="shared" si="14"/>
        <v>0</v>
      </c>
      <c r="V77" s="138"/>
    </row>
    <row r="78" spans="1:22" ht="12.75" customHeight="1">
      <c r="A78" s="178">
        <v>4.3</v>
      </c>
      <c r="B78" s="179" t="s">
        <v>82</v>
      </c>
      <c r="C78" s="42">
        <v>2500</v>
      </c>
      <c r="D78" s="74">
        <v>2231</v>
      </c>
      <c r="E78" s="182">
        <f>SUM(C78:C79)</f>
        <v>4500</v>
      </c>
      <c r="F78" s="42"/>
      <c r="G78" s="42"/>
      <c r="H78" s="42"/>
      <c r="I78" s="42"/>
      <c r="J78" s="63"/>
      <c r="K78" s="64"/>
      <c r="L78" s="64"/>
      <c r="M78" s="64"/>
      <c r="N78" s="64"/>
      <c r="O78" s="63"/>
      <c r="P78" s="65"/>
      <c r="Q78" s="65"/>
      <c r="R78" s="42">
        <f t="shared" si="12"/>
        <v>0</v>
      </c>
      <c r="S78" s="35">
        <f t="shared" si="13"/>
        <v>2500</v>
      </c>
      <c r="T78" s="42"/>
      <c r="U78" s="35">
        <f t="shared" si="14"/>
        <v>2500</v>
      </c>
      <c r="V78" s="139">
        <f>-2000+597</f>
        <v>-1403</v>
      </c>
    </row>
    <row r="79" spans="1:22" ht="12" thickBot="1">
      <c r="A79" s="217"/>
      <c r="B79" s="181"/>
      <c r="C79" s="44">
        <v>2000</v>
      </c>
      <c r="D79" s="69">
        <v>2390</v>
      </c>
      <c r="E79" s="183"/>
      <c r="F79" s="44"/>
      <c r="G79" s="44"/>
      <c r="H79" s="44"/>
      <c r="I79" s="44"/>
      <c r="J79" s="70"/>
      <c r="K79" s="46"/>
      <c r="L79" s="46"/>
      <c r="M79" s="46"/>
      <c r="N79" s="46"/>
      <c r="O79" s="70"/>
      <c r="P79" s="49"/>
      <c r="Q79" s="49"/>
      <c r="R79" s="40">
        <f t="shared" si="12"/>
        <v>0</v>
      </c>
      <c r="S79" s="58">
        <f t="shared" si="13"/>
        <v>2000</v>
      </c>
      <c r="T79" s="44"/>
      <c r="U79" s="58">
        <f t="shared" si="14"/>
        <v>2000</v>
      </c>
      <c r="V79" s="137">
        <v>-1000</v>
      </c>
    </row>
    <row r="80" spans="1:22" ht="12.75" customHeight="1" hidden="1">
      <c r="A80" s="41">
        <v>4.4</v>
      </c>
      <c r="B80" s="73" t="s">
        <v>83</v>
      </c>
      <c r="C80" s="42">
        <v>0</v>
      </c>
      <c r="D80" s="74"/>
      <c r="E80" s="42">
        <v>0</v>
      </c>
      <c r="F80" s="42"/>
      <c r="G80" s="42"/>
      <c r="H80" s="42"/>
      <c r="I80" s="42"/>
      <c r="J80" s="63"/>
      <c r="K80" s="64"/>
      <c r="L80" s="64"/>
      <c r="M80" s="64"/>
      <c r="N80" s="64"/>
      <c r="O80" s="63"/>
      <c r="P80" s="65"/>
      <c r="Q80" s="65"/>
      <c r="R80" s="61">
        <f t="shared" si="12"/>
        <v>0</v>
      </c>
      <c r="S80" s="66">
        <f t="shared" si="13"/>
        <v>0</v>
      </c>
      <c r="T80" s="42"/>
      <c r="U80" s="35">
        <f t="shared" si="14"/>
        <v>0</v>
      </c>
      <c r="V80" s="139"/>
    </row>
    <row r="81" spans="1:22" ht="12.75" customHeight="1" hidden="1">
      <c r="A81" s="29">
        <v>4.5</v>
      </c>
      <c r="B81" s="30" t="s">
        <v>84</v>
      </c>
      <c r="C81" s="33">
        <v>0</v>
      </c>
      <c r="D81" s="43"/>
      <c r="E81" s="33">
        <v>0</v>
      </c>
      <c r="F81" s="33"/>
      <c r="G81" s="33"/>
      <c r="H81" s="33"/>
      <c r="I81" s="33"/>
      <c r="J81" s="11"/>
      <c r="K81" s="31"/>
      <c r="L81" s="31"/>
      <c r="M81" s="31"/>
      <c r="N81" s="31"/>
      <c r="O81" s="11"/>
      <c r="P81" s="34"/>
      <c r="Q81" s="34"/>
      <c r="R81" s="33">
        <f t="shared" si="12"/>
        <v>0</v>
      </c>
      <c r="S81" s="35">
        <f t="shared" si="13"/>
        <v>0</v>
      </c>
      <c r="T81" s="33"/>
      <c r="U81" s="36">
        <f t="shared" si="14"/>
        <v>0</v>
      </c>
      <c r="V81" s="136"/>
    </row>
    <row r="82" spans="1:22" ht="13.5" customHeight="1" hidden="1" thickBot="1">
      <c r="A82" s="101">
        <v>4.6</v>
      </c>
      <c r="B82" s="50" t="s">
        <v>85</v>
      </c>
      <c r="C82" s="44">
        <v>0</v>
      </c>
      <c r="D82" s="69"/>
      <c r="E82" s="44">
        <v>0</v>
      </c>
      <c r="F82" s="44"/>
      <c r="G82" s="44"/>
      <c r="H82" s="44"/>
      <c r="I82" s="44"/>
      <c r="J82" s="70"/>
      <c r="K82" s="46"/>
      <c r="L82" s="46"/>
      <c r="M82" s="46"/>
      <c r="N82" s="46"/>
      <c r="O82" s="70"/>
      <c r="P82" s="49"/>
      <c r="Q82" s="49"/>
      <c r="R82" s="44">
        <f t="shared" si="12"/>
        <v>0</v>
      </c>
      <c r="S82" s="58">
        <f t="shared" si="13"/>
        <v>0</v>
      </c>
      <c r="T82" s="44"/>
      <c r="U82" s="58">
        <f t="shared" si="14"/>
        <v>0</v>
      </c>
      <c r="V82" s="137"/>
    </row>
    <row r="83" spans="1:22" ht="11.25" customHeight="1">
      <c r="A83" s="177">
        <v>4.7</v>
      </c>
      <c r="B83" s="180" t="s">
        <v>86</v>
      </c>
      <c r="C83" s="64">
        <f>2000-800-300-393</f>
        <v>507</v>
      </c>
      <c r="D83" s="74">
        <v>2121</v>
      </c>
      <c r="E83" s="158">
        <f>SUM(C83:C84)</f>
        <v>1314</v>
      </c>
      <c r="F83" s="42"/>
      <c r="G83" s="42"/>
      <c r="H83" s="42"/>
      <c r="I83" s="42">
        <f>160+160</f>
        <v>320</v>
      </c>
      <c r="J83" s="63"/>
      <c r="K83" s="64"/>
      <c r="L83" s="64"/>
      <c r="M83" s="64"/>
      <c r="N83" s="64"/>
      <c r="O83" s="63"/>
      <c r="P83" s="65"/>
      <c r="Q83" s="65"/>
      <c r="R83" s="61">
        <f t="shared" si="12"/>
        <v>320</v>
      </c>
      <c r="S83" s="66">
        <f t="shared" si="13"/>
        <v>187</v>
      </c>
      <c r="T83" s="42"/>
      <c r="U83" s="104">
        <f>S83-T83</f>
        <v>187</v>
      </c>
      <c r="V83" s="139">
        <v>-187</v>
      </c>
    </row>
    <row r="84" spans="1:22" ht="11.25">
      <c r="A84" s="178"/>
      <c r="B84" s="189"/>
      <c r="C84" s="31">
        <f>8000-1193-6000</f>
        <v>807</v>
      </c>
      <c r="D84" s="43">
        <v>2122</v>
      </c>
      <c r="E84" s="194"/>
      <c r="F84" s="42"/>
      <c r="G84" s="42"/>
      <c r="H84" s="42"/>
      <c r="I84" s="42">
        <f>659.43</f>
        <v>659.43</v>
      </c>
      <c r="J84" s="63"/>
      <c r="K84" s="31"/>
      <c r="L84" s="31"/>
      <c r="M84" s="31"/>
      <c r="N84" s="31"/>
      <c r="O84" s="11"/>
      <c r="P84" s="34"/>
      <c r="Q84" s="34"/>
      <c r="R84" s="33">
        <f t="shared" si="12"/>
        <v>659.43</v>
      </c>
      <c r="S84" s="35">
        <f t="shared" si="13"/>
        <v>147.57000000000005</v>
      </c>
      <c r="T84" s="33"/>
      <c r="U84" s="105">
        <f t="shared" si="14"/>
        <v>147.57000000000005</v>
      </c>
      <c r="V84" s="136">
        <v>-147</v>
      </c>
    </row>
    <row r="85" spans="1:22" ht="21" customHeight="1">
      <c r="A85" s="147">
        <v>5</v>
      </c>
      <c r="B85" s="148" t="s">
        <v>87</v>
      </c>
      <c r="C85" s="118">
        <f>SUM(C86:C106)</f>
        <v>122809</v>
      </c>
      <c r="D85" s="153"/>
      <c r="E85" s="118">
        <f aca="true" t="shared" si="15" ref="E85:U85">SUM(E86:E106)</f>
        <v>122809</v>
      </c>
      <c r="F85" s="118">
        <f t="shared" si="15"/>
        <v>0</v>
      </c>
      <c r="G85" s="118">
        <f t="shared" si="15"/>
        <v>0</v>
      </c>
      <c r="H85" s="118">
        <f t="shared" si="15"/>
        <v>0</v>
      </c>
      <c r="I85" s="118">
        <f t="shared" si="15"/>
        <v>5280</v>
      </c>
      <c r="J85" s="118">
        <f t="shared" si="15"/>
        <v>1890</v>
      </c>
      <c r="K85" s="118">
        <f t="shared" si="15"/>
        <v>0</v>
      </c>
      <c r="L85" s="118">
        <f t="shared" si="15"/>
        <v>42691.98</v>
      </c>
      <c r="M85" s="118">
        <f t="shared" si="15"/>
        <v>0</v>
      </c>
      <c r="N85" s="118">
        <f t="shared" si="15"/>
        <v>0</v>
      </c>
      <c r="O85" s="118">
        <f t="shared" si="15"/>
        <v>0</v>
      </c>
      <c r="P85" s="118">
        <f t="shared" si="15"/>
        <v>0</v>
      </c>
      <c r="Q85" s="118">
        <f t="shared" si="15"/>
        <v>0</v>
      </c>
      <c r="R85" s="154">
        <f t="shared" si="15"/>
        <v>49469.590000000004</v>
      </c>
      <c r="S85" s="145">
        <f t="shared" si="15"/>
        <v>72947.01999999999</v>
      </c>
      <c r="T85" s="118">
        <f>SUM(T86:T106)</f>
        <v>57444.829999999994</v>
      </c>
      <c r="U85" s="145">
        <f t="shared" si="15"/>
        <v>15502.190000000006</v>
      </c>
      <c r="V85" s="146">
        <f>SUM(V86:V105)</f>
        <v>-5980</v>
      </c>
    </row>
    <row r="86" spans="1:23" ht="12.75" customHeight="1">
      <c r="A86" s="29">
        <v>5.1</v>
      </c>
      <c r="B86" s="37" t="s">
        <v>88</v>
      </c>
      <c r="C86" s="33">
        <f>57243+5112-62355+58547</f>
        <v>58547</v>
      </c>
      <c r="D86" s="43">
        <v>2279</v>
      </c>
      <c r="E86" s="33">
        <f aca="true" t="shared" si="16" ref="E86:E91">C86</f>
        <v>58547</v>
      </c>
      <c r="F86" s="33"/>
      <c r="G86" s="33"/>
      <c r="H86" s="33"/>
      <c r="I86" s="33"/>
      <c r="J86" s="2"/>
      <c r="K86" s="31"/>
      <c r="L86" s="31">
        <f>18778.8-L87+20446.08</f>
        <v>30669.120000000003</v>
      </c>
      <c r="M86" s="31"/>
      <c r="N86" s="31"/>
      <c r="O86" s="106"/>
      <c r="P86" s="32"/>
      <c r="Q86" s="32"/>
      <c r="R86" s="42">
        <f aca="true" t="shared" si="17" ref="R86:R102">SUM(F86:Q86)</f>
        <v>30669.120000000003</v>
      </c>
      <c r="S86" s="35">
        <f aca="true" t="shared" si="18" ref="S86:S106">C86-SUM(F86:Q86)</f>
        <v>27877.879999999997</v>
      </c>
      <c r="T86" s="33">
        <f>92355-SUM(T87:T90)-SUM(R86:R90)</f>
        <v>27877.59999999999</v>
      </c>
      <c r="U86" s="105">
        <f aca="true" t="shared" si="19" ref="U86:U106">S86-T86</f>
        <v>0.2800000000061118</v>
      </c>
      <c r="V86" s="244">
        <v>-2890</v>
      </c>
      <c r="W86" s="5" t="s">
        <v>89</v>
      </c>
    </row>
    <row r="87" spans="1:23" ht="22.5">
      <c r="A87" s="29">
        <v>5.2</v>
      </c>
      <c r="B87" s="30" t="s">
        <v>90</v>
      </c>
      <c r="C87" s="33">
        <f>6000+2556</f>
        <v>8556</v>
      </c>
      <c r="D87" s="43">
        <v>2279</v>
      </c>
      <c r="E87" s="33">
        <f t="shared" si="16"/>
        <v>8556</v>
      </c>
      <c r="F87" s="33"/>
      <c r="G87" s="33"/>
      <c r="H87" s="33"/>
      <c r="I87" s="33"/>
      <c r="J87" s="106"/>
      <c r="K87" s="31"/>
      <c r="L87" s="31">
        <v>8555.76</v>
      </c>
      <c r="M87" s="31"/>
      <c r="N87" s="31"/>
      <c r="O87" s="106"/>
      <c r="P87" s="32"/>
      <c r="Q87" s="32"/>
      <c r="R87" s="33">
        <f t="shared" si="17"/>
        <v>8555.76</v>
      </c>
      <c r="S87" s="35">
        <f t="shared" si="18"/>
        <v>0.23999999999978172</v>
      </c>
      <c r="T87" s="48">
        <f>8555.76-R87</f>
        <v>0</v>
      </c>
      <c r="U87" s="105">
        <f t="shared" si="19"/>
        <v>0.23999999999978172</v>
      </c>
      <c r="V87" s="246"/>
      <c r="W87" s="5" t="s">
        <v>91</v>
      </c>
    </row>
    <row r="88" spans="1:22" ht="22.5">
      <c r="A88" s="43">
        <v>5.3</v>
      </c>
      <c r="B88" s="30" t="s">
        <v>92</v>
      </c>
      <c r="C88" s="33">
        <f>6000-2000+697</f>
        <v>4697</v>
      </c>
      <c r="D88" s="43">
        <v>2279</v>
      </c>
      <c r="E88" s="33">
        <f t="shared" si="16"/>
        <v>4697</v>
      </c>
      <c r="F88" s="33"/>
      <c r="G88" s="33"/>
      <c r="H88" s="33"/>
      <c r="I88" s="33"/>
      <c r="J88" s="106"/>
      <c r="K88" s="31"/>
      <c r="L88" s="31"/>
      <c r="M88" s="31"/>
      <c r="N88" s="31"/>
      <c r="O88" s="106"/>
      <c r="P88" s="32"/>
      <c r="Q88" s="32"/>
      <c r="R88" s="33">
        <f t="shared" si="17"/>
        <v>0</v>
      </c>
      <c r="S88" s="35">
        <f t="shared" si="18"/>
        <v>4697</v>
      </c>
      <c r="T88" s="33">
        <f>4696.76-R88</f>
        <v>4696.76</v>
      </c>
      <c r="U88" s="105">
        <f t="shared" si="19"/>
        <v>0.23999999999978172</v>
      </c>
      <c r="V88" s="246"/>
    </row>
    <row r="89" spans="1:22" ht="11.25">
      <c r="A89" s="41">
        <v>5.13</v>
      </c>
      <c r="B89" s="73" t="s">
        <v>93</v>
      </c>
      <c r="C89" s="42">
        <f>5000+2556</f>
        <v>7556</v>
      </c>
      <c r="D89" s="74">
        <v>2279</v>
      </c>
      <c r="E89" s="42">
        <f t="shared" si="16"/>
        <v>7556</v>
      </c>
      <c r="F89" s="42"/>
      <c r="G89" s="42"/>
      <c r="H89" s="42"/>
      <c r="I89" s="42"/>
      <c r="J89" s="75"/>
      <c r="K89" s="64"/>
      <c r="L89" s="64"/>
      <c r="M89" s="64"/>
      <c r="N89" s="64"/>
      <c r="O89" s="75"/>
      <c r="P89" s="77"/>
      <c r="Q89" s="77"/>
      <c r="R89" s="42">
        <f>SUM(F89:Q89)</f>
        <v>0</v>
      </c>
      <c r="S89" s="35">
        <f>C89-SUM(F89:Q89)</f>
        <v>7556</v>
      </c>
      <c r="T89" s="42">
        <f>7555.76-R89</f>
        <v>7555.76</v>
      </c>
      <c r="U89" s="104">
        <f>S89-T89</f>
        <v>0.23999999999978172</v>
      </c>
      <c r="V89" s="246"/>
    </row>
    <row r="90" spans="1:22" ht="22.5">
      <c r="A90" s="41">
        <v>5.15</v>
      </c>
      <c r="B90" s="73" t="s">
        <v>94</v>
      </c>
      <c r="C90" s="42">
        <f>13000+12000</f>
        <v>25000</v>
      </c>
      <c r="D90" s="74">
        <v>2279</v>
      </c>
      <c r="E90" s="42">
        <f t="shared" si="16"/>
        <v>25000</v>
      </c>
      <c r="F90" s="42"/>
      <c r="G90" s="42"/>
      <c r="H90" s="42"/>
      <c r="I90" s="42"/>
      <c r="J90" s="75"/>
      <c r="K90" s="64"/>
      <c r="L90" s="64"/>
      <c r="M90" s="64"/>
      <c r="N90" s="64"/>
      <c r="O90" s="75"/>
      <c r="P90" s="77"/>
      <c r="Q90" s="77"/>
      <c r="R90" s="42">
        <f>SUM(F90:Q90)</f>
        <v>0</v>
      </c>
      <c r="S90" s="35">
        <f>C90-SUM(F90:Q90)</f>
        <v>25000</v>
      </c>
      <c r="T90" s="42">
        <f>13000-R90</f>
        <v>13000</v>
      </c>
      <c r="U90" s="35">
        <f>S90-T90</f>
        <v>12000</v>
      </c>
      <c r="V90" s="246"/>
    </row>
    <row r="91" spans="1:23" ht="12" thickBot="1">
      <c r="A91" s="29">
        <v>5.4</v>
      </c>
      <c r="B91" s="107" t="s">
        <v>95</v>
      </c>
      <c r="C91" s="33">
        <v>3000</v>
      </c>
      <c r="D91" s="43">
        <v>2279</v>
      </c>
      <c r="E91" s="33">
        <f t="shared" si="16"/>
        <v>3000</v>
      </c>
      <c r="F91" s="33"/>
      <c r="G91" s="33"/>
      <c r="H91" s="33"/>
      <c r="I91" s="33">
        <f>1500</f>
        <v>1500</v>
      </c>
      <c r="J91" s="11"/>
      <c r="K91" s="31"/>
      <c r="L91" s="31">
        <v>1500</v>
      </c>
      <c r="M91" s="31"/>
      <c r="N91" s="31"/>
      <c r="O91" s="11"/>
      <c r="P91" s="34"/>
      <c r="Q91" s="34"/>
      <c r="R91" s="33">
        <f t="shared" si="17"/>
        <v>3000</v>
      </c>
      <c r="S91" s="35">
        <f t="shared" si="18"/>
        <v>0</v>
      </c>
      <c r="T91" s="33">
        <f>3000-R91</f>
        <v>0</v>
      </c>
      <c r="U91" s="36">
        <f t="shared" si="19"/>
        <v>0</v>
      </c>
      <c r="V91" s="245"/>
      <c r="W91" s="5" t="s">
        <v>96</v>
      </c>
    </row>
    <row r="92" spans="1:22" ht="12.75" customHeight="1" hidden="1">
      <c r="A92" s="29">
        <v>5.5</v>
      </c>
      <c r="B92" s="107" t="s">
        <v>97</v>
      </c>
      <c r="C92" s="33">
        <v>0</v>
      </c>
      <c r="D92" s="43"/>
      <c r="E92" s="33">
        <v>0</v>
      </c>
      <c r="F92" s="33"/>
      <c r="G92" s="33"/>
      <c r="H92" s="33"/>
      <c r="I92" s="33"/>
      <c r="J92" s="11"/>
      <c r="K92" s="31"/>
      <c r="L92" s="31"/>
      <c r="M92" s="31"/>
      <c r="N92" s="31"/>
      <c r="O92" s="11"/>
      <c r="P92" s="34"/>
      <c r="Q92" s="34"/>
      <c r="R92" s="42">
        <f t="shared" si="17"/>
        <v>0</v>
      </c>
      <c r="S92" s="35">
        <f t="shared" si="18"/>
        <v>0</v>
      </c>
      <c r="T92" s="33"/>
      <c r="U92" s="36">
        <f t="shared" si="19"/>
        <v>0</v>
      </c>
      <c r="V92" s="136"/>
    </row>
    <row r="93" spans="1:22" ht="13.5" customHeight="1" hidden="1">
      <c r="A93" s="29">
        <v>5.6</v>
      </c>
      <c r="B93" s="107" t="s">
        <v>98</v>
      </c>
      <c r="C93" s="33">
        <v>0</v>
      </c>
      <c r="D93" s="43"/>
      <c r="E93" s="33">
        <v>0</v>
      </c>
      <c r="F93" s="33"/>
      <c r="G93" s="33"/>
      <c r="H93" s="33"/>
      <c r="I93" s="33"/>
      <c r="J93" s="11"/>
      <c r="K93" s="31"/>
      <c r="L93" s="31"/>
      <c r="M93" s="31"/>
      <c r="N93" s="31"/>
      <c r="O93" s="11"/>
      <c r="P93" s="34"/>
      <c r="Q93" s="34"/>
      <c r="R93" s="33">
        <f t="shared" si="17"/>
        <v>0</v>
      </c>
      <c r="S93" s="35">
        <f t="shared" si="18"/>
        <v>0</v>
      </c>
      <c r="T93" s="33"/>
      <c r="U93" s="36">
        <f t="shared" si="19"/>
        <v>0</v>
      </c>
      <c r="V93" s="136"/>
    </row>
    <row r="94" spans="1:22" ht="13.5" customHeight="1" hidden="1">
      <c r="A94" s="29">
        <v>5.7</v>
      </c>
      <c r="B94" s="108" t="s">
        <v>99</v>
      </c>
      <c r="C94" s="33">
        <v>0</v>
      </c>
      <c r="D94" s="43"/>
      <c r="E94" s="33">
        <v>0</v>
      </c>
      <c r="F94" s="33"/>
      <c r="G94" s="33"/>
      <c r="H94" s="33"/>
      <c r="I94" s="33"/>
      <c r="J94" s="11"/>
      <c r="K94" s="31"/>
      <c r="L94" s="31"/>
      <c r="M94" s="31"/>
      <c r="N94" s="31"/>
      <c r="O94" s="11"/>
      <c r="P94" s="34"/>
      <c r="Q94" s="34"/>
      <c r="R94" s="33">
        <f t="shared" si="17"/>
        <v>0</v>
      </c>
      <c r="S94" s="35">
        <f t="shared" si="18"/>
        <v>0</v>
      </c>
      <c r="T94" s="33"/>
      <c r="U94" s="36">
        <f t="shared" si="19"/>
        <v>0</v>
      </c>
      <c r="V94" s="136"/>
    </row>
    <row r="95" spans="1:22" ht="13.5" customHeight="1" hidden="1">
      <c r="A95" s="29">
        <v>5.8</v>
      </c>
      <c r="B95" s="108" t="s">
        <v>100</v>
      </c>
      <c r="C95" s="33">
        <v>0</v>
      </c>
      <c r="D95" s="43"/>
      <c r="E95" s="33">
        <v>0</v>
      </c>
      <c r="F95" s="33"/>
      <c r="G95" s="33"/>
      <c r="H95" s="33"/>
      <c r="I95" s="33"/>
      <c r="J95" s="11"/>
      <c r="K95" s="31"/>
      <c r="L95" s="31"/>
      <c r="M95" s="31"/>
      <c r="N95" s="31"/>
      <c r="O95" s="11"/>
      <c r="P95" s="34"/>
      <c r="Q95" s="34"/>
      <c r="R95" s="33">
        <f t="shared" si="17"/>
        <v>0</v>
      </c>
      <c r="S95" s="35">
        <f t="shared" si="18"/>
        <v>0</v>
      </c>
      <c r="T95" s="33"/>
      <c r="U95" s="36">
        <f t="shared" si="19"/>
        <v>0</v>
      </c>
      <c r="V95" s="136"/>
    </row>
    <row r="96" spans="1:22" ht="13.5" customHeight="1" hidden="1" thickBot="1">
      <c r="A96" s="38">
        <v>5.9</v>
      </c>
      <c r="B96" s="108" t="s">
        <v>101</v>
      </c>
      <c r="C96" s="40">
        <v>0</v>
      </c>
      <c r="D96" s="51"/>
      <c r="E96" s="40">
        <v>0</v>
      </c>
      <c r="F96" s="40"/>
      <c r="G96" s="40"/>
      <c r="H96" s="40"/>
      <c r="I96" s="40"/>
      <c r="J96" s="109"/>
      <c r="K96" s="71"/>
      <c r="L96" s="71"/>
      <c r="M96" s="71"/>
      <c r="N96" s="71"/>
      <c r="O96" s="109"/>
      <c r="P96" s="80"/>
      <c r="Q96" s="80"/>
      <c r="R96" s="56">
        <f t="shared" si="17"/>
        <v>0</v>
      </c>
      <c r="S96" s="57">
        <f t="shared" si="18"/>
        <v>0</v>
      </c>
      <c r="T96" s="40"/>
      <c r="U96" s="79">
        <f t="shared" si="19"/>
        <v>0</v>
      </c>
      <c r="V96" s="140"/>
    </row>
    <row r="97" spans="1:22" ht="11.25">
      <c r="A97" s="213">
        <v>5.1</v>
      </c>
      <c r="B97" s="237" t="s">
        <v>102</v>
      </c>
      <c r="C97" s="61">
        <v>2000</v>
      </c>
      <c r="D97" s="62">
        <v>2264</v>
      </c>
      <c r="E97" s="174">
        <f>SUM(C97:C99)</f>
        <v>3500</v>
      </c>
      <c r="F97" s="61"/>
      <c r="G97" s="61"/>
      <c r="H97" s="61"/>
      <c r="I97" s="61"/>
      <c r="J97" s="82"/>
      <c r="K97" s="76"/>
      <c r="L97" s="76"/>
      <c r="M97" s="76"/>
      <c r="N97" s="76"/>
      <c r="O97" s="82"/>
      <c r="P97" s="59"/>
      <c r="Q97" s="59"/>
      <c r="R97" s="61">
        <f t="shared" si="17"/>
        <v>0</v>
      </c>
      <c r="S97" s="66">
        <f t="shared" si="18"/>
        <v>2000</v>
      </c>
      <c r="T97" s="61"/>
      <c r="U97" s="66">
        <f t="shared" si="19"/>
        <v>2000</v>
      </c>
      <c r="V97" s="138">
        <v>-500</v>
      </c>
    </row>
    <row r="98" spans="1:22" ht="11.25">
      <c r="A98" s="214"/>
      <c r="B98" s="238"/>
      <c r="C98" s="33">
        <v>1000</v>
      </c>
      <c r="D98" s="43">
        <v>2231</v>
      </c>
      <c r="E98" s="158"/>
      <c r="F98" s="33"/>
      <c r="G98" s="33"/>
      <c r="H98" s="33"/>
      <c r="I98" s="33"/>
      <c r="J98" s="11"/>
      <c r="K98" s="31"/>
      <c r="L98" s="31"/>
      <c r="M98" s="31"/>
      <c r="N98" s="31"/>
      <c r="O98" s="11"/>
      <c r="P98" s="34"/>
      <c r="Q98" s="34"/>
      <c r="R98" s="33">
        <f t="shared" si="17"/>
        <v>0</v>
      </c>
      <c r="S98" s="35">
        <f t="shared" si="18"/>
        <v>1000</v>
      </c>
      <c r="T98" s="33"/>
      <c r="U98" s="36">
        <f t="shared" si="19"/>
        <v>1000</v>
      </c>
      <c r="V98" s="136"/>
    </row>
    <row r="99" spans="1:22" ht="12" thickBot="1">
      <c r="A99" s="215"/>
      <c r="B99" s="239"/>
      <c r="C99" s="44">
        <v>500</v>
      </c>
      <c r="D99" s="69">
        <v>2279</v>
      </c>
      <c r="E99" s="202"/>
      <c r="F99" s="52"/>
      <c r="G99" s="52"/>
      <c r="H99" s="52"/>
      <c r="I99" s="52"/>
      <c r="J99" s="53"/>
      <c r="K99" s="54"/>
      <c r="L99" s="46"/>
      <c r="M99" s="46"/>
      <c r="N99" s="46"/>
      <c r="O99" s="70"/>
      <c r="P99" s="49"/>
      <c r="Q99" s="49"/>
      <c r="R99" s="44">
        <f t="shared" si="17"/>
        <v>0</v>
      </c>
      <c r="S99" s="57">
        <f t="shared" si="18"/>
        <v>500</v>
      </c>
      <c r="T99" s="44"/>
      <c r="U99" s="58">
        <f t="shared" si="19"/>
        <v>500</v>
      </c>
      <c r="V99" s="137">
        <v>-500</v>
      </c>
    </row>
    <row r="100" spans="1:22" ht="11.25">
      <c r="A100" s="110">
        <v>5.11</v>
      </c>
      <c r="B100" s="111" t="s">
        <v>103</v>
      </c>
      <c r="C100" s="42">
        <f>1150-1150</f>
        <v>0</v>
      </c>
      <c r="D100" s="74">
        <v>2279</v>
      </c>
      <c r="E100" s="42">
        <f aca="true" t="shared" si="20" ref="E100:E106">C100</f>
        <v>0</v>
      </c>
      <c r="F100" s="42"/>
      <c r="G100" s="42"/>
      <c r="H100" s="42"/>
      <c r="I100" s="42"/>
      <c r="J100" s="63"/>
      <c r="K100" s="64"/>
      <c r="L100" s="64"/>
      <c r="M100" s="64"/>
      <c r="N100" s="64"/>
      <c r="O100" s="63"/>
      <c r="P100" s="65"/>
      <c r="Q100" s="65"/>
      <c r="R100" s="42">
        <f t="shared" si="17"/>
        <v>0</v>
      </c>
      <c r="S100" s="66">
        <f t="shared" si="18"/>
        <v>0</v>
      </c>
      <c r="T100" s="42"/>
      <c r="U100" s="35">
        <f t="shared" si="19"/>
        <v>0</v>
      </c>
      <c r="V100" s="139"/>
    </row>
    <row r="101" spans="1:23" ht="22.5">
      <c r="A101" s="67">
        <v>5.12</v>
      </c>
      <c r="B101" s="112" t="s">
        <v>104</v>
      </c>
      <c r="C101" s="33">
        <v>7560</v>
      </c>
      <c r="D101" s="43">
        <v>2279</v>
      </c>
      <c r="E101" s="33">
        <f t="shared" si="20"/>
        <v>7560</v>
      </c>
      <c r="F101" s="33"/>
      <c r="G101" s="33"/>
      <c r="H101" s="33"/>
      <c r="I101" s="33">
        <f>3780</f>
        <v>3780</v>
      </c>
      <c r="J101" s="106">
        <v>1890</v>
      </c>
      <c r="K101" s="31"/>
      <c r="L101" s="31"/>
      <c r="M101" s="31"/>
      <c r="N101" s="31"/>
      <c r="O101" s="106"/>
      <c r="P101" s="32"/>
      <c r="Q101" s="32"/>
      <c r="R101" s="33">
        <f t="shared" si="17"/>
        <v>5670</v>
      </c>
      <c r="S101" s="36">
        <f t="shared" si="18"/>
        <v>1890</v>
      </c>
      <c r="T101" s="33">
        <f>7560-R101</f>
        <v>1890</v>
      </c>
      <c r="U101" s="36">
        <f t="shared" si="19"/>
        <v>0</v>
      </c>
      <c r="V101" s="136">
        <v>-1890</v>
      </c>
      <c r="W101" s="5" t="s">
        <v>105</v>
      </c>
    </row>
    <row r="102" spans="1:23" ht="22.5">
      <c r="A102" s="41">
        <v>5.14</v>
      </c>
      <c r="B102" s="73" t="s">
        <v>106</v>
      </c>
      <c r="C102" s="42">
        <v>1150</v>
      </c>
      <c r="D102" s="74">
        <v>2279</v>
      </c>
      <c r="E102" s="42">
        <f t="shared" si="20"/>
        <v>1150</v>
      </c>
      <c r="F102" s="42"/>
      <c r="G102" s="42"/>
      <c r="H102" s="42"/>
      <c r="I102" s="42"/>
      <c r="J102" s="75"/>
      <c r="K102" s="64"/>
      <c r="L102" s="64">
        <v>1150</v>
      </c>
      <c r="M102" s="64"/>
      <c r="N102" s="64"/>
      <c r="O102" s="75"/>
      <c r="P102" s="77"/>
      <c r="Q102" s="77"/>
      <c r="R102" s="42">
        <f t="shared" si="17"/>
        <v>1150</v>
      </c>
      <c r="S102" s="35">
        <f t="shared" si="18"/>
        <v>0</v>
      </c>
      <c r="T102" s="42"/>
      <c r="U102" s="35">
        <f t="shared" si="19"/>
        <v>0</v>
      </c>
      <c r="V102" s="139"/>
      <c r="W102" s="5" t="s">
        <v>107</v>
      </c>
    </row>
    <row r="103" spans="1:23" ht="22.5">
      <c r="A103" s="41">
        <v>5.16</v>
      </c>
      <c r="B103" s="73" t="s">
        <v>108</v>
      </c>
      <c r="C103" s="42">
        <v>850</v>
      </c>
      <c r="D103" s="74">
        <v>2279</v>
      </c>
      <c r="E103" s="42">
        <f t="shared" si="20"/>
        <v>850</v>
      </c>
      <c r="F103" s="42"/>
      <c r="G103" s="42"/>
      <c r="H103" s="42"/>
      <c r="I103" s="42"/>
      <c r="J103" s="75"/>
      <c r="K103" s="64"/>
      <c r="L103" s="64">
        <v>424.71</v>
      </c>
      <c r="M103" s="64"/>
      <c r="N103" s="64"/>
      <c r="O103" s="75"/>
      <c r="P103" s="77"/>
      <c r="Q103" s="77"/>
      <c r="R103" s="42">
        <f>SUM(F103:Q103)</f>
        <v>424.71</v>
      </c>
      <c r="S103" s="35">
        <f>C103-SUM(F103:Q103)</f>
        <v>425.29</v>
      </c>
      <c r="T103" s="42">
        <f>849.42-R103</f>
        <v>424.71</v>
      </c>
      <c r="U103" s="104">
        <f>S103-T103</f>
        <v>0.5800000000000409</v>
      </c>
      <c r="V103" s="139"/>
      <c r="W103" s="5" t="s">
        <v>109</v>
      </c>
    </row>
    <row r="104" spans="1:22" ht="11.25">
      <c r="A104" s="41">
        <v>5.17</v>
      </c>
      <c r="B104" s="73" t="s">
        <v>110</v>
      </c>
      <c r="C104" s="42">
        <v>2000</v>
      </c>
      <c r="D104" s="74">
        <v>2279</v>
      </c>
      <c r="E104" s="42">
        <f t="shared" si="20"/>
        <v>2000</v>
      </c>
      <c r="F104" s="42"/>
      <c r="G104" s="42"/>
      <c r="H104" s="42"/>
      <c r="I104" s="42"/>
      <c r="J104" s="75"/>
      <c r="K104" s="64"/>
      <c r="L104" s="64"/>
      <c r="M104" s="64"/>
      <c r="N104" s="64"/>
      <c r="O104" s="75"/>
      <c r="P104" s="77"/>
      <c r="Q104" s="77"/>
      <c r="R104" s="42">
        <f>SUM(F104:Q104)</f>
        <v>0</v>
      </c>
      <c r="S104" s="35">
        <f>C104-SUM(F104:Q104)</f>
        <v>2000</v>
      </c>
      <c r="T104" s="42">
        <v>2000</v>
      </c>
      <c r="U104" s="35">
        <f>S104-T104</f>
        <v>0</v>
      </c>
      <c r="V104" s="139">
        <v>-200</v>
      </c>
    </row>
    <row r="105" spans="1:22" ht="33.75">
      <c r="A105" s="41">
        <v>5.18</v>
      </c>
      <c r="B105" s="73" t="s">
        <v>111</v>
      </c>
      <c r="C105" s="42">
        <v>393</v>
      </c>
      <c r="D105" s="74">
        <v>1150</v>
      </c>
      <c r="E105" s="42">
        <f t="shared" si="20"/>
        <v>393</v>
      </c>
      <c r="F105" s="42"/>
      <c r="G105" s="42"/>
      <c r="H105" s="42"/>
      <c r="I105" s="42"/>
      <c r="J105" s="75"/>
      <c r="K105" s="64"/>
      <c r="L105" s="64">
        <f>90.25+302.14</f>
        <v>392.39</v>
      </c>
      <c r="M105" s="64"/>
      <c r="N105" s="64"/>
      <c r="O105" s="75"/>
      <c r="P105" s="77"/>
      <c r="Q105" s="77"/>
      <c r="R105" s="42"/>
      <c r="S105" s="35">
        <f>C105-SUM(F105:Q105)</f>
        <v>0.6100000000000136</v>
      </c>
      <c r="T105" s="42"/>
      <c r="U105" s="35">
        <f>S105-T105</f>
        <v>0.6100000000000136</v>
      </c>
      <c r="V105" s="139"/>
    </row>
    <row r="106" spans="1:22" ht="11.25" hidden="1">
      <c r="A106" s="41">
        <v>5.19</v>
      </c>
      <c r="B106" s="73"/>
      <c r="C106" s="42"/>
      <c r="D106" s="74">
        <v>2279</v>
      </c>
      <c r="E106" s="42">
        <f t="shared" si="20"/>
        <v>0</v>
      </c>
      <c r="F106" s="42"/>
      <c r="G106" s="42"/>
      <c r="H106" s="42"/>
      <c r="I106" s="42"/>
      <c r="J106" s="63"/>
      <c r="K106" s="64"/>
      <c r="L106" s="64"/>
      <c r="M106" s="64"/>
      <c r="N106" s="64"/>
      <c r="O106" s="63"/>
      <c r="P106" s="65"/>
      <c r="Q106" s="65"/>
      <c r="R106" s="42">
        <f>SUM(F106:Q106)</f>
        <v>0</v>
      </c>
      <c r="S106" s="35">
        <f t="shared" si="18"/>
        <v>0</v>
      </c>
      <c r="T106" s="42"/>
      <c r="U106" s="35">
        <f t="shared" si="19"/>
        <v>0</v>
      </c>
      <c r="V106" s="139"/>
    </row>
    <row r="107" spans="1:22" ht="12.75" customHeight="1">
      <c r="A107" s="147">
        <v>6</v>
      </c>
      <c r="B107" s="148" t="s">
        <v>112</v>
      </c>
      <c r="C107" s="91">
        <f>SUM(C108:C121)</f>
        <v>5884</v>
      </c>
      <c r="D107" s="153"/>
      <c r="E107" s="91">
        <f aca="true" t="shared" si="21" ref="E107:V107">SUM(E108:E121)</f>
        <v>5884</v>
      </c>
      <c r="F107" s="91">
        <f t="shared" si="21"/>
        <v>80</v>
      </c>
      <c r="G107" s="91">
        <f t="shared" si="21"/>
        <v>50</v>
      </c>
      <c r="H107" s="91">
        <f t="shared" si="21"/>
        <v>285.1</v>
      </c>
      <c r="I107" s="91">
        <f t="shared" si="21"/>
        <v>1080</v>
      </c>
      <c r="J107" s="91">
        <f t="shared" si="21"/>
        <v>983.99</v>
      </c>
      <c r="K107" s="91">
        <f t="shared" si="21"/>
        <v>0</v>
      </c>
      <c r="L107" s="91">
        <f t="shared" si="21"/>
        <v>1366.24</v>
      </c>
      <c r="M107" s="91">
        <f t="shared" si="21"/>
        <v>0</v>
      </c>
      <c r="N107" s="91">
        <f t="shared" si="21"/>
        <v>0</v>
      </c>
      <c r="O107" s="91">
        <f t="shared" si="21"/>
        <v>0</v>
      </c>
      <c r="P107" s="91">
        <f t="shared" si="21"/>
        <v>0</v>
      </c>
      <c r="Q107" s="91">
        <f t="shared" si="21"/>
        <v>0</v>
      </c>
      <c r="R107" s="91">
        <f t="shared" si="21"/>
        <v>3845.33</v>
      </c>
      <c r="S107" s="155">
        <f t="shared" si="21"/>
        <v>2038.67</v>
      </c>
      <c r="T107" s="91">
        <f t="shared" si="21"/>
        <v>60</v>
      </c>
      <c r="U107" s="155">
        <f t="shared" si="21"/>
        <v>1978.67</v>
      </c>
      <c r="V107" s="156">
        <f t="shared" si="21"/>
        <v>-832</v>
      </c>
    </row>
    <row r="108" spans="1:22" ht="12.75" customHeight="1">
      <c r="A108" s="29">
        <v>6.1</v>
      </c>
      <c r="B108" s="107" t="s">
        <v>113</v>
      </c>
      <c r="C108" s="33">
        <f>500-200-300</f>
        <v>0</v>
      </c>
      <c r="D108" s="43">
        <v>2279</v>
      </c>
      <c r="E108" s="33">
        <f aca="true" t="shared" si="22" ref="E108:E113">C108</f>
        <v>0</v>
      </c>
      <c r="F108" s="33">
        <v>80</v>
      </c>
      <c r="G108" s="33"/>
      <c r="H108" s="33"/>
      <c r="I108" s="33"/>
      <c r="J108" s="11"/>
      <c r="K108" s="31"/>
      <c r="L108" s="31"/>
      <c r="M108" s="31"/>
      <c r="N108" s="31"/>
      <c r="O108" s="11"/>
      <c r="P108" s="34"/>
      <c r="Q108" s="34"/>
      <c r="R108" s="42">
        <f aca="true" t="shared" si="23" ref="R108:R121">SUM(F108:Q108)</f>
        <v>80</v>
      </c>
      <c r="S108" s="35">
        <f aca="true" t="shared" si="24" ref="S108:S115">C108-SUM(F108:Q108)</f>
        <v>-80</v>
      </c>
      <c r="T108" s="33"/>
      <c r="U108" s="36">
        <f aca="true" t="shared" si="25" ref="U108:U121">S108-T108</f>
        <v>-80</v>
      </c>
      <c r="V108" s="136">
        <v>380</v>
      </c>
    </row>
    <row r="109" spans="1:22" ht="22.5">
      <c r="A109" s="29">
        <v>6.2</v>
      </c>
      <c r="B109" s="86" t="s">
        <v>114</v>
      </c>
      <c r="C109" s="33">
        <f>2000-300</f>
        <v>1700</v>
      </c>
      <c r="D109" s="43">
        <v>2239</v>
      </c>
      <c r="E109" s="33">
        <f t="shared" si="22"/>
        <v>1700</v>
      </c>
      <c r="F109" s="33"/>
      <c r="G109" s="33"/>
      <c r="H109" s="33">
        <f>285.1</f>
        <v>285.1</v>
      </c>
      <c r="I109" s="33"/>
      <c r="J109" s="11"/>
      <c r="K109" s="31"/>
      <c r="L109" s="31">
        <f>299.98</f>
        <v>299.98</v>
      </c>
      <c r="M109" s="31"/>
      <c r="N109" s="31"/>
      <c r="O109" s="11"/>
      <c r="P109" s="34"/>
      <c r="Q109" s="34"/>
      <c r="R109" s="33">
        <f t="shared" si="23"/>
        <v>585.08</v>
      </c>
      <c r="S109" s="35">
        <f t="shared" si="24"/>
        <v>1114.92</v>
      </c>
      <c r="T109" s="33"/>
      <c r="U109" s="36">
        <f t="shared" si="25"/>
        <v>1114.92</v>
      </c>
      <c r="V109" s="136">
        <v>-1114</v>
      </c>
    </row>
    <row r="110" spans="1:22" ht="11.25">
      <c r="A110" s="165">
        <v>6.3</v>
      </c>
      <c r="B110" s="163" t="s">
        <v>115</v>
      </c>
      <c r="C110" s="33">
        <f>1000-500</f>
        <v>500</v>
      </c>
      <c r="D110" s="43">
        <v>2264</v>
      </c>
      <c r="E110" s="33">
        <f t="shared" si="22"/>
        <v>500</v>
      </c>
      <c r="F110" s="33"/>
      <c r="G110" s="33"/>
      <c r="H110" s="33"/>
      <c r="I110" s="33"/>
      <c r="J110" s="11"/>
      <c r="K110" s="31"/>
      <c r="L110" s="31">
        <v>480</v>
      </c>
      <c r="M110" s="31"/>
      <c r="N110" s="31"/>
      <c r="O110" s="11"/>
      <c r="P110" s="34"/>
      <c r="Q110" s="34"/>
      <c r="R110" s="33">
        <f t="shared" si="23"/>
        <v>480</v>
      </c>
      <c r="S110" s="35">
        <f t="shared" si="24"/>
        <v>20</v>
      </c>
      <c r="T110" s="33">
        <f>60</f>
        <v>60</v>
      </c>
      <c r="U110" s="36">
        <f t="shared" si="25"/>
        <v>-40</v>
      </c>
      <c r="V110" s="136">
        <v>190</v>
      </c>
    </row>
    <row r="111" spans="1:22" ht="11.25">
      <c r="A111" s="178"/>
      <c r="B111" s="164"/>
      <c r="C111" s="114">
        <f>-196</f>
        <v>-196</v>
      </c>
      <c r="D111" s="43">
        <v>2239</v>
      </c>
      <c r="E111" s="33">
        <f t="shared" si="22"/>
        <v>-196</v>
      </c>
      <c r="F111" s="33"/>
      <c r="G111" s="33"/>
      <c r="H111" s="33"/>
      <c r="I111" s="33"/>
      <c r="J111" s="11"/>
      <c r="K111" s="31"/>
      <c r="L111" s="31"/>
      <c r="M111" s="31"/>
      <c r="N111" s="31"/>
      <c r="O111" s="11"/>
      <c r="P111" s="34"/>
      <c r="Q111" s="34"/>
      <c r="R111" s="33">
        <f>SUM(F111:Q111)</f>
        <v>0</v>
      </c>
      <c r="S111" s="35">
        <f>C111-SUM(F111:Q111)</f>
        <v>-196</v>
      </c>
      <c r="T111" s="33"/>
      <c r="U111" s="36">
        <f>S111-T111</f>
        <v>-196</v>
      </c>
      <c r="V111" s="136">
        <v>196</v>
      </c>
    </row>
    <row r="112" spans="1:22" ht="11.25">
      <c r="A112" s="165">
        <v>6.4</v>
      </c>
      <c r="B112" s="163" t="s">
        <v>116</v>
      </c>
      <c r="C112" s="33">
        <f>1500-500-1000</f>
        <v>0</v>
      </c>
      <c r="D112" s="43">
        <v>2239</v>
      </c>
      <c r="E112" s="33">
        <f t="shared" si="22"/>
        <v>0</v>
      </c>
      <c r="F112" s="33"/>
      <c r="G112" s="33"/>
      <c r="H112" s="33"/>
      <c r="I112" s="33"/>
      <c r="J112" s="11"/>
      <c r="K112" s="31"/>
      <c r="L112" s="31"/>
      <c r="M112" s="31"/>
      <c r="N112" s="31"/>
      <c r="O112" s="11"/>
      <c r="P112" s="34"/>
      <c r="Q112" s="34"/>
      <c r="R112" s="33">
        <f t="shared" si="23"/>
        <v>0</v>
      </c>
      <c r="S112" s="35">
        <f t="shared" si="24"/>
        <v>0</v>
      </c>
      <c r="T112" s="33"/>
      <c r="U112" s="36">
        <f t="shared" si="25"/>
        <v>0</v>
      </c>
      <c r="V112" s="136"/>
    </row>
    <row r="113" spans="1:22" ht="11.25">
      <c r="A113" s="178"/>
      <c r="B113" s="164"/>
      <c r="C113" s="33">
        <f>1000</f>
        <v>1000</v>
      </c>
      <c r="D113" s="43">
        <v>2390</v>
      </c>
      <c r="E113" s="40">
        <f t="shared" si="22"/>
        <v>1000</v>
      </c>
      <c r="F113" s="33"/>
      <c r="G113" s="33"/>
      <c r="H113" s="33"/>
      <c r="I113" s="33"/>
      <c r="J113" s="11"/>
      <c r="K113" s="31"/>
      <c r="L113" s="31">
        <v>194.81</v>
      </c>
      <c r="M113" s="31"/>
      <c r="N113" s="31"/>
      <c r="O113" s="11"/>
      <c r="P113" s="34"/>
      <c r="Q113" s="34"/>
      <c r="R113" s="33">
        <f>SUM(F113:Q113)</f>
        <v>194.81</v>
      </c>
      <c r="S113" s="35">
        <f>C113-SUM(F113:Q113)</f>
        <v>805.19</v>
      </c>
      <c r="T113" s="33"/>
      <c r="U113" s="36">
        <f>S113-T113</f>
        <v>805.19</v>
      </c>
      <c r="V113" s="136">
        <v>-805</v>
      </c>
    </row>
    <row r="114" spans="1:22" ht="11.25">
      <c r="A114" s="216">
        <v>6.5</v>
      </c>
      <c r="B114" s="212" t="s">
        <v>117</v>
      </c>
      <c r="C114" s="33">
        <v>300</v>
      </c>
      <c r="D114" s="43">
        <v>2231</v>
      </c>
      <c r="E114" s="193">
        <f>SUM(C114:C115)</f>
        <v>1600</v>
      </c>
      <c r="F114" s="33"/>
      <c r="G114" s="33"/>
      <c r="H114" s="33"/>
      <c r="I114" s="33"/>
      <c r="J114" s="11"/>
      <c r="K114" s="31"/>
      <c r="L114" s="31"/>
      <c r="M114" s="31"/>
      <c r="N114" s="31"/>
      <c r="O114" s="11"/>
      <c r="P114" s="34"/>
      <c r="Q114" s="34"/>
      <c r="R114" s="42">
        <f t="shared" si="23"/>
        <v>0</v>
      </c>
      <c r="S114" s="35">
        <f t="shared" si="24"/>
        <v>300</v>
      </c>
      <c r="T114" s="33"/>
      <c r="U114" s="36">
        <f t="shared" si="25"/>
        <v>300</v>
      </c>
      <c r="V114" s="136">
        <v>-300</v>
      </c>
    </row>
    <row r="115" spans="1:22" ht="11.25">
      <c r="A115" s="216"/>
      <c r="B115" s="212"/>
      <c r="C115" s="33">
        <f>1000+300</f>
        <v>1300</v>
      </c>
      <c r="D115" s="43">
        <v>2390</v>
      </c>
      <c r="E115" s="194"/>
      <c r="F115" s="42"/>
      <c r="G115" s="42">
        <f>50</f>
        <v>50</v>
      </c>
      <c r="H115" s="42"/>
      <c r="I115" s="42">
        <v>100</v>
      </c>
      <c r="J115" s="75">
        <f>100+100+300+84+99.99</f>
        <v>683.99</v>
      </c>
      <c r="K115" s="64"/>
      <c r="L115" s="64">
        <f>47.03+98.7+99.99+47.03+98.7</f>
        <v>391.45</v>
      </c>
      <c r="M115" s="31"/>
      <c r="N115" s="31"/>
      <c r="O115" s="11"/>
      <c r="P115" s="34"/>
      <c r="Q115" s="34"/>
      <c r="R115" s="33">
        <f t="shared" si="23"/>
        <v>1225.44</v>
      </c>
      <c r="S115" s="35">
        <f t="shared" si="24"/>
        <v>74.55999999999995</v>
      </c>
      <c r="T115" s="33"/>
      <c r="U115" s="36">
        <f t="shared" si="25"/>
        <v>74.55999999999995</v>
      </c>
      <c r="V115" s="136">
        <f>426-55</f>
        <v>371</v>
      </c>
    </row>
    <row r="116" spans="1:22" ht="12.75" customHeight="1">
      <c r="A116" s="29">
        <v>6.6</v>
      </c>
      <c r="B116" s="86" t="s">
        <v>118</v>
      </c>
      <c r="C116" s="33">
        <v>0</v>
      </c>
      <c r="D116" s="43">
        <v>2223</v>
      </c>
      <c r="E116" s="33">
        <v>0</v>
      </c>
      <c r="F116" s="33"/>
      <c r="G116" s="33"/>
      <c r="H116" s="33"/>
      <c r="I116" s="33"/>
      <c r="J116" s="11"/>
      <c r="K116" s="31"/>
      <c r="L116" s="31"/>
      <c r="M116" s="31"/>
      <c r="N116" s="31"/>
      <c r="O116" s="11"/>
      <c r="P116" s="34"/>
      <c r="Q116" s="34"/>
      <c r="R116" s="33">
        <f t="shared" si="23"/>
        <v>0</v>
      </c>
      <c r="S116" s="36">
        <f aca="true" t="shared" si="26" ref="S116:S121">E116-SUM(F116:Q116)</f>
        <v>0</v>
      </c>
      <c r="T116" s="33"/>
      <c r="U116" s="36">
        <f t="shared" si="25"/>
        <v>0</v>
      </c>
      <c r="V116" s="136">
        <v>250</v>
      </c>
    </row>
    <row r="117" spans="1:22" ht="12.75" customHeight="1" hidden="1">
      <c r="A117" s="29">
        <v>6.7</v>
      </c>
      <c r="B117" s="86" t="s">
        <v>119</v>
      </c>
      <c r="C117" s="33">
        <v>0</v>
      </c>
      <c r="D117" s="43"/>
      <c r="E117" s="33">
        <v>0</v>
      </c>
      <c r="F117" s="33"/>
      <c r="G117" s="33"/>
      <c r="H117" s="33"/>
      <c r="I117" s="33"/>
      <c r="J117" s="11"/>
      <c r="K117" s="31"/>
      <c r="L117" s="31"/>
      <c r="M117" s="31"/>
      <c r="N117" s="31"/>
      <c r="O117" s="11"/>
      <c r="P117" s="34"/>
      <c r="Q117" s="34"/>
      <c r="R117" s="33">
        <f t="shared" si="23"/>
        <v>0</v>
      </c>
      <c r="S117" s="36">
        <f t="shared" si="26"/>
        <v>0</v>
      </c>
      <c r="T117" s="33"/>
      <c r="U117" s="36">
        <f t="shared" si="25"/>
        <v>0</v>
      </c>
      <c r="V117" s="136"/>
    </row>
    <row r="118" spans="1:22" ht="22.5" customHeight="1" hidden="1">
      <c r="A118" s="29">
        <v>6.8</v>
      </c>
      <c r="B118" s="86" t="s">
        <v>120</v>
      </c>
      <c r="C118" s="33">
        <v>0</v>
      </c>
      <c r="D118" s="43"/>
      <c r="E118" s="33">
        <v>0</v>
      </c>
      <c r="F118" s="33"/>
      <c r="G118" s="33"/>
      <c r="H118" s="33"/>
      <c r="I118" s="33"/>
      <c r="J118" s="11"/>
      <c r="K118" s="31"/>
      <c r="L118" s="31"/>
      <c r="M118" s="31"/>
      <c r="N118" s="31"/>
      <c r="O118" s="11"/>
      <c r="P118" s="34"/>
      <c r="Q118" s="34"/>
      <c r="R118" s="33">
        <f t="shared" si="23"/>
        <v>0</v>
      </c>
      <c r="S118" s="36">
        <f t="shared" si="26"/>
        <v>0</v>
      </c>
      <c r="T118" s="33"/>
      <c r="U118" s="36">
        <f t="shared" si="25"/>
        <v>0</v>
      </c>
      <c r="V118" s="136"/>
    </row>
    <row r="119" spans="1:22" ht="22.5" customHeight="1" hidden="1">
      <c r="A119" s="29">
        <v>6.9</v>
      </c>
      <c r="B119" s="86" t="s">
        <v>121</v>
      </c>
      <c r="C119" s="33">
        <v>0</v>
      </c>
      <c r="D119" s="43"/>
      <c r="E119" s="33">
        <v>0</v>
      </c>
      <c r="F119" s="33"/>
      <c r="G119" s="33"/>
      <c r="H119" s="33"/>
      <c r="I119" s="33"/>
      <c r="J119" s="11"/>
      <c r="K119" s="31"/>
      <c r="L119" s="31"/>
      <c r="M119" s="31"/>
      <c r="N119" s="31"/>
      <c r="O119" s="11"/>
      <c r="P119" s="34"/>
      <c r="Q119" s="34"/>
      <c r="R119" s="33">
        <f t="shared" si="23"/>
        <v>0</v>
      </c>
      <c r="S119" s="36">
        <f t="shared" si="26"/>
        <v>0</v>
      </c>
      <c r="T119" s="33"/>
      <c r="U119" s="36">
        <f t="shared" si="25"/>
        <v>0</v>
      </c>
      <c r="V119" s="136"/>
    </row>
    <row r="120" spans="1:22" ht="12.75" customHeight="1">
      <c r="A120" s="165">
        <v>6.11</v>
      </c>
      <c r="B120" s="210" t="s">
        <v>122</v>
      </c>
      <c r="C120" s="33">
        <f>200</f>
        <v>200</v>
      </c>
      <c r="D120" s="43">
        <v>2231</v>
      </c>
      <c r="E120" s="33">
        <f>C120</f>
        <v>200</v>
      </c>
      <c r="F120" s="33"/>
      <c r="G120" s="33"/>
      <c r="H120" s="33"/>
      <c r="I120" s="33"/>
      <c r="J120" s="11">
        <v>200</v>
      </c>
      <c r="K120" s="31"/>
      <c r="L120" s="31"/>
      <c r="M120" s="31"/>
      <c r="N120" s="31"/>
      <c r="O120" s="11"/>
      <c r="P120" s="34"/>
      <c r="Q120" s="34"/>
      <c r="R120" s="33">
        <f t="shared" si="23"/>
        <v>200</v>
      </c>
      <c r="S120" s="36">
        <f t="shared" si="26"/>
        <v>0</v>
      </c>
      <c r="T120" s="33"/>
      <c r="U120" s="36">
        <f t="shared" si="25"/>
        <v>0</v>
      </c>
      <c r="V120" s="136"/>
    </row>
    <row r="121" spans="1:22" ht="11.25">
      <c r="A121" s="178"/>
      <c r="B121" s="189"/>
      <c r="C121" s="33">
        <f>1640-100-460</f>
        <v>1080</v>
      </c>
      <c r="D121" s="43">
        <v>2390</v>
      </c>
      <c r="E121" s="33">
        <f>C121</f>
        <v>1080</v>
      </c>
      <c r="F121" s="33"/>
      <c r="G121" s="33"/>
      <c r="H121" s="33"/>
      <c r="I121" s="33">
        <f>900+80</f>
        <v>980</v>
      </c>
      <c r="J121" s="11">
        <f>100</f>
        <v>100</v>
      </c>
      <c r="K121" s="31"/>
      <c r="L121" s="31"/>
      <c r="M121" s="31"/>
      <c r="N121" s="31"/>
      <c r="O121" s="11"/>
      <c r="P121" s="34"/>
      <c r="Q121" s="34"/>
      <c r="R121" s="33">
        <f t="shared" si="23"/>
        <v>1080</v>
      </c>
      <c r="S121" s="36">
        <f t="shared" si="26"/>
        <v>0</v>
      </c>
      <c r="T121" s="33"/>
      <c r="U121" s="36">
        <f t="shared" si="25"/>
        <v>0</v>
      </c>
      <c r="V121" s="136"/>
    </row>
    <row r="122" spans="1:22" ht="15" customHeight="1">
      <c r="A122" s="222">
        <v>7</v>
      </c>
      <c r="B122" s="225" t="s">
        <v>123</v>
      </c>
      <c r="C122" s="40">
        <f>20000-11893-8107</f>
        <v>0</v>
      </c>
      <c r="D122" s="51">
        <v>2275</v>
      </c>
      <c r="E122" s="40">
        <f>C122</f>
        <v>0</v>
      </c>
      <c r="F122" s="33"/>
      <c r="G122" s="33"/>
      <c r="H122" s="33"/>
      <c r="I122" s="33"/>
      <c r="J122" s="106"/>
      <c r="K122" s="31"/>
      <c r="L122" s="31"/>
      <c r="M122" s="31"/>
      <c r="N122" s="31"/>
      <c r="O122" s="106"/>
      <c r="P122" s="32"/>
      <c r="Q122" s="32"/>
      <c r="R122" s="33">
        <f>SUM(F122:Q122)</f>
        <v>0</v>
      </c>
      <c r="S122" s="36">
        <f>E122-SUM(F122:Q122)</f>
        <v>0</v>
      </c>
      <c r="T122" s="33"/>
      <c r="U122" s="36">
        <f>S122-T122</f>
        <v>0</v>
      </c>
      <c r="V122" s="136"/>
    </row>
    <row r="123" spans="1:23" ht="11.25">
      <c r="A123" s="223"/>
      <c r="B123" s="226"/>
      <c r="C123" s="193">
        <f>7300</f>
        <v>7300</v>
      </c>
      <c r="D123" s="171">
        <v>2279</v>
      </c>
      <c r="E123" s="193">
        <f>C123</f>
        <v>7300</v>
      </c>
      <c r="F123" s="33"/>
      <c r="G123" s="33"/>
      <c r="H123" s="33"/>
      <c r="I123" s="33"/>
      <c r="J123" s="33">
        <f>500</f>
        <v>500</v>
      </c>
      <c r="K123" s="118"/>
      <c r="L123" s="118"/>
      <c r="M123" s="118"/>
      <c r="N123" s="118"/>
      <c r="O123" s="118"/>
      <c r="P123" s="118"/>
      <c r="Q123" s="118"/>
      <c r="R123" s="33">
        <f>SUM(F123:Q123)</f>
        <v>500</v>
      </c>
      <c r="S123" s="199">
        <f>C123-SUM(F123:Q126)</f>
        <v>4799</v>
      </c>
      <c r="T123" s="33">
        <f>500-J123</f>
        <v>0</v>
      </c>
      <c r="U123" s="247">
        <f>S123-SUM(T123:T126)</f>
        <v>4799</v>
      </c>
      <c r="V123" s="241">
        <v>-1350</v>
      </c>
      <c r="W123" s="5" t="s">
        <v>124</v>
      </c>
    </row>
    <row r="124" spans="1:23" ht="11.25">
      <c r="A124" s="223"/>
      <c r="B124" s="226"/>
      <c r="C124" s="158"/>
      <c r="D124" s="221"/>
      <c r="E124" s="158"/>
      <c r="F124" s="33"/>
      <c r="G124" s="33"/>
      <c r="H124" s="33"/>
      <c r="I124" s="33"/>
      <c r="J124" s="33"/>
      <c r="K124" s="33"/>
      <c r="L124" s="33">
        <v>701</v>
      </c>
      <c r="M124" s="118"/>
      <c r="N124" s="118"/>
      <c r="O124" s="118"/>
      <c r="P124" s="118"/>
      <c r="Q124" s="118"/>
      <c r="R124" s="33">
        <f>SUM(F124:Q124)</f>
        <v>701</v>
      </c>
      <c r="S124" s="220"/>
      <c r="T124" s="33">
        <v>0</v>
      </c>
      <c r="U124" s="248"/>
      <c r="V124" s="242"/>
      <c r="W124" s="5" t="s">
        <v>125</v>
      </c>
    </row>
    <row r="125" spans="1:23" ht="11.25">
      <c r="A125" s="223"/>
      <c r="B125" s="226"/>
      <c r="C125" s="158"/>
      <c r="D125" s="221"/>
      <c r="E125" s="158"/>
      <c r="F125" s="33"/>
      <c r="G125" s="33"/>
      <c r="H125" s="33"/>
      <c r="I125" s="33"/>
      <c r="J125" s="33"/>
      <c r="K125" s="33"/>
      <c r="L125" s="33">
        <f>1300</f>
        <v>1300</v>
      </c>
      <c r="M125" s="118"/>
      <c r="N125" s="118"/>
      <c r="O125" s="118"/>
      <c r="P125" s="118"/>
      <c r="Q125" s="118"/>
      <c r="R125" s="33">
        <f>SUM(F125:Q125)</f>
        <v>1300</v>
      </c>
      <c r="S125" s="220"/>
      <c r="T125" s="33">
        <f>1300-R125</f>
        <v>0</v>
      </c>
      <c r="U125" s="248"/>
      <c r="V125" s="242"/>
      <c r="W125" s="5" t="s">
        <v>126</v>
      </c>
    </row>
    <row r="126" spans="1:22" ht="11.25">
      <c r="A126" s="224"/>
      <c r="B126" s="227"/>
      <c r="C126" s="194"/>
      <c r="D126" s="172"/>
      <c r="E126" s="194"/>
      <c r="F126" s="33"/>
      <c r="G126" s="33"/>
      <c r="H126" s="33"/>
      <c r="I126" s="33"/>
      <c r="J126" s="33"/>
      <c r="K126" s="118"/>
      <c r="L126" s="118"/>
      <c r="M126" s="118"/>
      <c r="N126" s="118"/>
      <c r="O126" s="118"/>
      <c r="P126" s="118"/>
      <c r="Q126" s="118"/>
      <c r="R126" s="33">
        <f>SUM(F126:Q126)</f>
        <v>0</v>
      </c>
      <c r="S126" s="200"/>
      <c r="T126" s="33"/>
      <c r="U126" s="249"/>
      <c r="V126" s="243"/>
    </row>
    <row r="127" spans="1:22" ht="12.75" customHeight="1" hidden="1">
      <c r="A127" s="115"/>
      <c r="B127" s="116" t="s">
        <v>127</v>
      </c>
      <c r="C127" s="117">
        <f>SUM(C128:C131)</f>
        <v>19760</v>
      </c>
      <c r="D127" s="117"/>
      <c r="E127" s="117">
        <f>SUM(E128,E131)</f>
        <v>19760</v>
      </c>
      <c r="F127" s="117">
        <f>SUM(F128,F131)</f>
        <v>0</v>
      </c>
      <c r="G127" s="117">
        <f aca="true" t="shared" si="27" ref="G127:U127">SUM(G128,G131)</f>
        <v>0</v>
      </c>
      <c r="H127" s="117">
        <f t="shared" si="27"/>
        <v>0</v>
      </c>
      <c r="I127" s="117">
        <f t="shared" si="27"/>
        <v>0</v>
      </c>
      <c r="J127" s="117">
        <f t="shared" si="27"/>
        <v>0</v>
      </c>
      <c r="K127" s="117">
        <f t="shared" si="27"/>
        <v>0</v>
      </c>
      <c r="L127" s="117">
        <f t="shared" si="27"/>
        <v>0</v>
      </c>
      <c r="M127" s="117">
        <f t="shared" si="27"/>
        <v>0</v>
      </c>
      <c r="N127" s="117">
        <f t="shared" si="27"/>
        <v>0</v>
      </c>
      <c r="O127" s="117">
        <f t="shared" si="27"/>
        <v>0</v>
      </c>
      <c r="P127" s="117">
        <f t="shared" si="27"/>
        <v>0</v>
      </c>
      <c r="Q127" s="117">
        <f t="shared" si="27"/>
        <v>0</v>
      </c>
      <c r="R127" s="117">
        <f>SUM(R128,R131)</f>
        <v>0</v>
      </c>
      <c r="S127" s="117">
        <f t="shared" si="27"/>
        <v>19760</v>
      </c>
      <c r="T127" s="117">
        <f t="shared" si="27"/>
        <v>500</v>
      </c>
      <c r="U127" s="117">
        <f t="shared" si="27"/>
        <v>19260</v>
      </c>
      <c r="V127" s="117"/>
    </row>
    <row r="128" spans="1:22" ht="22.5" customHeight="1" hidden="1">
      <c r="A128" s="228">
        <v>8</v>
      </c>
      <c r="B128" s="25" t="s">
        <v>128</v>
      </c>
      <c r="C128" s="27">
        <f>10500-1129-1000</f>
        <v>8371</v>
      </c>
      <c r="D128" s="102">
        <v>2279</v>
      </c>
      <c r="E128" s="26">
        <f>C128</f>
        <v>8371</v>
      </c>
      <c r="F128" s="26">
        <f aca="true" t="shared" si="28" ref="F128:K128">SUM(F129:F130)</f>
        <v>0</v>
      </c>
      <c r="G128" s="26">
        <f t="shared" si="28"/>
        <v>0</v>
      </c>
      <c r="H128" s="26">
        <f t="shared" si="28"/>
        <v>0</v>
      </c>
      <c r="I128" s="26">
        <f t="shared" si="28"/>
        <v>0</v>
      </c>
      <c r="J128" s="26">
        <f t="shared" si="28"/>
        <v>0</v>
      </c>
      <c r="K128" s="26">
        <f t="shared" si="28"/>
        <v>0</v>
      </c>
      <c r="L128" s="26">
        <f aca="true" t="shared" si="29" ref="L128:Q128">SUM(L129:L130)</f>
        <v>0</v>
      </c>
      <c r="M128" s="26">
        <f t="shared" si="29"/>
        <v>0</v>
      </c>
      <c r="N128" s="26">
        <f t="shared" si="29"/>
        <v>0</v>
      </c>
      <c r="O128" s="26">
        <f t="shared" si="29"/>
        <v>0</v>
      </c>
      <c r="P128" s="26">
        <f t="shared" si="29"/>
        <v>0</v>
      </c>
      <c r="Q128" s="26">
        <f t="shared" si="29"/>
        <v>0</v>
      </c>
      <c r="R128" s="26">
        <f>SUM(F128:Q128)</f>
        <v>0</v>
      </c>
      <c r="S128" s="28">
        <f>E128-R128</f>
        <v>8371</v>
      </c>
      <c r="T128" s="26">
        <f>SUM(T129:T130)</f>
        <v>500</v>
      </c>
      <c r="U128" s="28">
        <f>S128-T128</f>
        <v>7871</v>
      </c>
      <c r="V128" s="26"/>
    </row>
    <row r="129" spans="1:23" ht="11.25" hidden="1">
      <c r="A129" s="229"/>
      <c r="B129" s="30" t="s">
        <v>129</v>
      </c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18">
        <f>SUM(F129:Q129)</f>
        <v>0</v>
      </c>
      <c r="S129" s="36"/>
      <c r="T129" s="33">
        <f>500-R129</f>
        <v>500</v>
      </c>
      <c r="U129" s="36"/>
      <c r="V129" s="33"/>
      <c r="W129" s="5" t="s">
        <v>130</v>
      </c>
    </row>
    <row r="130" spans="1:22" ht="11.25" hidden="1">
      <c r="A130" s="230"/>
      <c r="B130" s="30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118">
        <f>SUM(F130:Q130)</f>
        <v>0</v>
      </c>
      <c r="S130" s="36"/>
      <c r="T130" s="33"/>
      <c r="U130" s="36"/>
      <c r="V130" s="33"/>
    </row>
    <row r="131" spans="1:22" ht="22.5" customHeight="1" hidden="1">
      <c r="A131" s="24">
        <v>9</v>
      </c>
      <c r="B131" s="25" t="s">
        <v>131</v>
      </c>
      <c r="C131" s="27">
        <f>SUM(C132:C140)</f>
        <v>11389</v>
      </c>
      <c r="D131" s="119">
        <v>2239</v>
      </c>
      <c r="E131" s="27">
        <f aca="true" t="shared" si="30" ref="E131:U131">SUM(E132:E140)</f>
        <v>11389</v>
      </c>
      <c r="F131" s="27">
        <f t="shared" si="30"/>
        <v>0</v>
      </c>
      <c r="G131" s="27">
        <f t="shared" si="30"/>
        <v>0</v>
      </c>
      <c r="H131" s="27">
        <f t="shared" si="30"/>
        <v>0</v>
      </c>
      <c r="I131" s="27">
        <f t="shared" si="30"/>
        <v>0</v>
      </c>
      <c r="J131" s="27">
        <f t="shared" si="30"/>
        <v>0</v>
      </c>
      <c r="K131" s="27">
        <f t="shared" si="30"/>
        <v>0</v>
      </c>
      <c r="L131" s="27">
        <f t="shared" si="30"/>
        <v>0</v>
      </c>
      <c r="M131" s="27">
        <f t="shared" si="30"/>
        <v>0</v>
      </c>
      <c r="N131" s="27">
        <f t="shared" si="30"/>
        <v>0</v>
      </c>
      <c r="O131" s="27">
        <f t="shared" si="30"/>
        <v>0</v>
      </c>
      <c r="P131" s="27">
        <f t="shared" si="30"/>
        <v>0</v>
      </c>
      <c r="Q131" s="27">
        <f t="shared" si="30"/>
        <v>0</v>
      </c>
      <c r="R131" s="27">
        <f t="shared" si="30"/>
        <v>0</v>
      </c>
      <c r="S131" s="113">
        <f t="shared" si="30"/>
        <v>11389</v>
      </c>
      <c r="T131" s="27">
        <f t="shared" si="30"/>
        <v>0</v>
      </c>
      <c r="U131" s="113">
        <f t="shared" si="30"/>
        <v>11389</v>
      </c>
      <c r="V131" s="27"/>
    </row>
    <row r="132" spans="1:22" ht="11.25" hidden="1">
      <c r="A132" s="29">
        <v>9.1</v>
      </c>
      <c r="B132" s="107" t="s">
        <v>132</v>
      </c>
      <c r="C132" s="33">
        <f>2300</f>
        <v>2300</v>
      </c>
      <c r="D132" s="43">
        <v>2239</v>
      </c>
      <c r="E132" s="33">
        <f aca="true" t="shared" si="31" ref="E132:E140">C132</f>
        <v>2300</v>
      </c>
      <c r="F132" s="34"/>
      <c r="G132" s="32"/>
      <c r="H132" s="32"/>
      <c r="I132" s="32"/>
      <c r="J132" s="11"/>
      <c r="K132" s="34"/>
      <c r="L132" s="34"/>
      <c r="M132" s="34"/>
      <c r="N132" s="34"/>
      <c r="O132" s="11"/>
      <c r="P132" s="34"/>
      <c r="Q132" s="34"/>
      <c r="R132" s="33">
        <f aca="true" t="shared" si="32" ref="R132:R140">SUM(F132:Q132)</f>
        <v>0</v>
      </c>
      <c r="S132" s="36">
        <f aca="true" t="shared" si="33" ref="S132:S140">C132-SUM(F132:Q132)</f>
        <v>2300</v>
      </c>
      <c r="T132" s="34"/>
      <c r="U132" s="36">
        <f aca="true" t="shared" si="34" ref="U132:U140">S132-T132</f>
        <v>2300</v>
      </c>
      <c r="V132" s="34"/>
    </row>
    <row r="133" spans="1:22" ht="11.25" hidden="1">
      <c r="A133" s="29">
        <v>9.2</v>
      </c>
      <c r="B133" s="107" t="s">
        <v>133</v>
      </c>
      <c r="C133" s="33">
        <f>800</f>
        <v>800</v>
      </c>
      <c r="D133" s="43">
        <v>2239</v>
      </c>
      <c r="E133" s="33">
        <f t="shared" si="31"/>
        <v>800</v>
      </c>
      <c r="F133" s="34"/>
      <c r="G133" s="32"/>
      <c r="H133" s="32"/>
      <c r="I133" s="32"/>
      <c r="J133" s="11"/>
      <c r="K133" s="34"/>
      <c r="L133" s="34"/>
      <c r="M133" s="34"/>
      <c r="N133" s="34"/>
      <c r="O133" s="11"/>
      <c r="P133" s="34"/>
      <c r="Q133" s="34"/>
      <c r="R133" s="33">
        <f t="shared" si="32"/>
        <v>0</v>
      </c>
      <c r="S133" s="36">
        <f t="shared" si="33"/>
        <v>800</v>
      </c>
      <c r="T133" s="34"/>
      <c r="U133" s="36">
        <f t="shared" si="34"/>
        <v>800</v>
      </c>
      <c r="V133" s="34"/>
    </row>
    <row r="134" spans="1:22" ht="11.25" hidden="1">
      <c r="A134" s="29">
        <v>9.3</v>
      </c>
      <c r="B134" s="107" t="s">
        <v>134</v>
      </c>
      <c r="C134" s="33">
        <f>3600</f>
        <v>3600</v>
      </c>
      <c r="D134" s="43">
        <v>2239</v>
      </c>
      <c r="E134" s="33">
        <f t="shared" si="31"/>
        <v>3600</v>
      </c>
      <c r="F134" s="34"/>
      <c r="G134" s="32"/>
      <c r="H134" s="32"/>
      <c r="I134" s="32"/>
      <c r="J134" s="11"/>
      <c r="K134" s="34"/>
      <c r="L134" s="34"/>
      <c r="M134" s="34"/>
      <c r="N134" s="34"/>
      <c r="O134" s="11"/>
      <c r="P134" s="34"/>
      <c r="Q134" s="34"/>
      <c r="R134" s="33">
        <f t="shared" si="32"/>
        <v>0</v>
      </c>
      <c r="S134" s="36">
        <f t="shared" si="33"/>
        <v>3600</v>
      </c>
      <c r="T134" s="34"/>
      <c r="U134" s="36">
        <f t="shared" si="34"/>
        <v>3600</v>
      </c>
      <c r="V134" s="34"/>
    </row>
    <row r="135" spans="1:22" ht="11.25" hidden="1">
      <c r="A135" s="29">
        <v>9.4</v>
      </c>
      <c r="B135" s="107" t="s">
        <v>135</v>
      </c>
      <c r="C135" s="33">
        <f>500</f>
        <v>500</v>
      </c>
      <c r="D135" s="43">
        <v>2239</v>
      </c>
      <c r="E135" s="33">
        <f t="shared" si="31"/>
        <v>500</v>
      </c>
      <c r="F135" s="34"/>
      <c r="G135" s="32"/>
      <c r="H135" s="32"/>
      <c r="I135" s="32"/>
      <c r="J135" s="11"/>
      <c r="K135" s="34"/>
      <c r="L135" s="34"/>
      <c r="M135" s="34"/>
      <c r="N135" s="34"/>
      <c r="O135" s="11"/>
      <c r="P135" s="34"/>
      <c r="Q135" s="34"/>
      <c r="R135" s="33">
        <f t="shared" si="32"/>
        <v>0</v>
      </c>
      <c r="S135" s="36">
        <f t="shared" si="33"/>
        <v>500</v>
      </c>
      <c r="T135" s="34"/>
      <c r="U135" s="36">
        <f t="shared" si="34"/>
        <v>500</v>
      </c>
      <c r="V135" s="34"/>
    </row>
    <row r="136" spans="1:22" ht="11.25" hidden="1">
      <c r="A136" s="29">
        <v>9.5</v>
      </c>
      <c r="B136" s="107" t="s">
        <v>136</v>
      </c>
      <c r="C136" s="33">
        <f>909</f>
        <v>909</v>
      </c>
      <c r="D136" s="43">
        <v>2239</v>
      </c>
      <c r="E136" s="33">
        <f t="shared" si="31"/>
        <v>909</v>
      </c>
      <c r="F136" s="34"/>
      <c r="G136" s="32"/>
      <c r="H136" s="32"/>
      <c r="I136" s="32"/>
      <c r="J136" s="11"/>
      <c r="K136" s="34"/>
      <c r="L136" s="34"/>
      <c r="M136" s="34"/>
      <c r="N136" s="34"/>
      <c r="O136" s="11"/>
      <c r="P136" s="34"/>
      <c r="Q136" s="34"/>
      <c r="R136" s="33">
        <f t="shared" si="32"/>
        <v>0</v>
      </c>
      <c r="S136" s="36">
        <f t="shared" si="33"/>
        <v>909</v>
      </c>
      <c r="T136" s="34"/>
      <c r="U136" s="36">
        <f t="shared" si="34"/>
        <v>909</v>
      </c>
      <c r="V136" s="34"/>
    </row>
    <row r="137" spans="1:22" ht="11.25" hidden="1">
      <c r="A137" s="29">
        <v>9.6</v>
      </c>
      <c r="B137" s="107" t="s">
        <v>137</v>
      </c>
      <c r="C137" s="33">
        <v>900</v>
      </c>
      <c r="D137" s="43">
        <v>2239</v>
      </c>
      <c r="E137" s="33">
        <f t="shared" si="31"/>
        <v>900</v>
      </c>
      <c r="F137" s="34"/>
      <c r="G137" s="32"/>
      <c r="H137" s="32"/>
      <c r="I137" s="32"/>
      <c r="J137" s="11"/>
      <c r="K137" s="34"/>
      <c r="L137" s="34"/>
      <c r="M137" s="34"/>
      <c r="N137" s="34"/>
      <c r="O137" s="11"/>
      <c r="P137" s="34"/>
      <c r="Q137" s="34"/>
      <c r="R137" s="33">
        <f t="shared" si="32"/>
        <v>0</v>
      </c>
      <c r="S137" s="36">
        <f t="shared" si="33"/>
        <v>900</v>
      </c>
      <c r="T137" s="34"/>
      <c r="U137" s="36">
        <f t="shared" si="34"/>
        <v>900</v>
      </c>
      <c r="V137" s="34"/>
    </row>
    <row r="138" spans="1:22" ht="22.5" hidden="1">
      <c r="A138" s="29">
        <v>9.7</v>
      </c>
      <c r="B138" s="107" t="s">
        <v>138</v>
      </c>
      <c r="C138" s="33">
        <f>880</f>
        <v>880</v>
      </c>
      <c r="D138" s="43">
        <v>2239</v>
      </c>
      <c r="E138" s="33">
        <f t="shared" si="31"/>
        <v>880</v>
      </c>
      <c r="F138" s="34"/>
      <c r="G138" s="32"/>
      <c r="H138" s="32"/>
      <c r="I138" s="32"/>
      <c r="J138" s="11"/>
      <c r="K138" s="34"/>
      <c r="L138" s="34"/>
      <c r="M138" s="34"/>
      <c r="N138" s="34"/>
      <c r="O138" s="11"/>
      <c r="P138" s="34"/>
      <c r="Q138" s="34"/>
      <c r="R138" s="33">
        <f t="shared" si="32"/>
        <v>0</v>
      </c>
      <c r="S138" s="36">
        <f t="shared" si="33"/>
        <v>880</v>
      </c>
      <c r="T138" s="34"/>
      <c r="U138" s="36">
        <f t="shared" si="34"/>
        <v>880</v>
      </c>
      <c r="V138" s="34"/>
    </row>
    <row r="139" spans="1:22" ht="11.25" hidden="1">
      <c r="A139" s="29">
        <v>9.8</v>
      </c>
      <c r="B139" s="107" t="s">
        <v>139</v>
      </c>
      <c r="C139" s="33">
        <f>850</f>
        <v>850</v>
      </c>
      <c r="D139" s="43">
        <v>2239</v>
      </c>
      <c r="E139" s="33">
        <f t="shared" si="31"/>
        <v>850</v>
      </c>
      <c r="F139" s="34"/>
      <c r="G139" s="32"/>
      <c r="H139" s="32"/>
      <c r="I139" s="32"/>
      <c r="J139" s="11"/>
      <c r="K139" s="34"/>
      <c r="L139" s="34"/>
      <c r="M139" s="34"/>
      <c r="N139" s="34"/>
      <c r="O139" s="11"/>
      <c r="P139" s="34"/>
      <c r="Q139" s="34"/>
      <c r="R139" s="33">
        <f t="shared" si="32"/>
        <v>0</v>
      </c>
      <c r="S139" s="36">
        <f t="shared" si="33"/>
        <v>850</v>
      </c>
      <c r="T139" s="34"/>
      <c r="U139" s="36">
        <f t="shared" si="34"/>
        <v>850</v>
      </c>
      <c r="V139" s="34"/>
    </row>
    <row r="140" spans="1:22" ht="22.5" hidden="1">
      <c r="A140" s="29">
        <v>9.9</v>
      </c>
      <c r="B140" s="107" t="s">
        <v>140</v>
      </c>
      <c r="C140" s="33">
        <f>650</f>
        <v>650</v>
      </c>
      <c r="D140" s="43">
        <v>2239</v>
      </c>
      <c r="E140" s="33">
        <f t="shared" si="31"/>
        <v>650</v>
      </c>
      <c r="F140" s="34"/>
      <c r="G140" s="32"/>
      <c r="H140" s="32"/>
      <c r="I140" s="32"/>
      <c r="J140" s="11"/>
      <c r="K140" s="34"/>
      <c r="L140" s="34"/>
      <c r="M140" s="34"/>
      <c r="N140" s="34"/>
      <c r="O140" s="11"/>
      <c r="P140" s="34"/>
      <c r="Q140" s="34"/>
      <c r="R140" s="33">
        <f t="shared" si="32"/>
        <v>0</v>
      </c>
      <c r="S140" s="36">
        <f t="shared" si="33"/>
        <v>650</v>
      </c>
      <c r="T140" s="34"/>
      <c r="U140" s="36">
        <f t="shared" si="34"/>
        <v>650</v>
      </c>
      <c r="V140" s="34"/>
    </row>
    <row r="141" spans="1:22" ht="11.25">
      <c r="A141" s="120"/>
      <c r="B141" s="121"/>
      <c r="C141" s="122"/>
      <c r="D141" s="123"/>
      <c r="E141" s="122"/>
      <c r="F141" s="124"/>
      <c r="G141" s="125"/>
      <c r="H141" s="125"/>
      <c r="I141" s="125"/>
      <c r="J141" s="18"/>
      <c r="K141" s="124"/>
      <c r="L141" s="124"/>
      <c r="M141" s="124"/>
      <c r="N141" s="124"/>
      <c r="O141" s="18"/>
      <c r="P141" s="124"/>
      <c r="Q141" s="124"/>
      <c r="R141" s="122"/>
      <c r="S141" s="126"/>
      <c r="T141" s="124"/>
      <c r="U141" s="126"/>
      <c r="V141" s="124"/>
    </row>
    <row r="142" spans="2:9" ht="11.25">
      <c r="B142" s="124"/>
      <c r="C142" s="124"/>
      <c r="D142" s="124"/>
      <c r="E142" s="124"/>
      <c r="F142" s="124"/>
      <c r="G142" s="125"/>
      <c r="H142" s="125"/>
      <c r="I142" s="125"/>
    </row>
    <row r="143" spans="2:9" ht="11.25">
      <c r="B143" s="124" t="s">
        <v>141</v>
      </c>
      <c r="C143" s="124"/>
      <c r="D143" s="124"/>
      <c r="E143" s="124"/>
      <c r="F143" s="124"/>
      <c r="G143" s="125"/>
      <c r="H143" s="125"/>
      <c r="I143" s="125"/>
    </row>
    <row r="144" spans="2:9" ht="11.25" hidden="1">
      <c r="B144" s="124"/>
      <c r="C144" s="124"/>
      <c r="D144" s="124"/>
      <c r="E144" s="124"/>
      <c r="F144" s="124"/>
      <c r="G144" s="125"/>
      <c r="H144" s="125"/>
      <c r="I144" s="125"/>
    </row>
    <row r="145" spans="2:11" ht="11.25" hidden="1">
      <c r="B145" s="124"/>
      <c r="C145" s="124"/>
      <c r="D145" s="124"/>
      <c r="E145" s="124"/>
      <c r="F145" s="124"/>
      <c r="G145" s="125"/>
      <c r="H145" s="125"/>
      <c r="I145" s="125"/>
      <c r="K145" s="129"/>
    </row>
    <row r="146" spans="2:19" ht="11.25" hidden="1">
      <c r="B146" s="124"/>
      <c r="C146" s="124"/>
      <c r="D146" s="124"/>
      <c r="E146" s="124"/>
      <c r="F146" s="124"/>
      <c r="G146" s="125"/>
      <c r="H146" s="125"/>
      <c r="I146" s="125"/>
      <c r="K146" s="129"/>
      <c r="L146" s="129"/>
      <c r="M146" s="129"/>
      <c r="N146" s="129"/>
      <c r="P146" s="129"/>
      <c r="Q146" s="129"/>
      <c r="S146" s="130"/>
    </row>
    <row r="147" spans="2:19" ht="11.25" hidden="1">
      <c r="B147" s="124"/>
      <c r="C147" s="124"/>
      <c r="D147" s="124"/>
      <c r="E147" s="124"/>
      <c r="F147" s="124"/>
      <c r="G147" s="125"/>
      <c r="H147" s="125"/>
      <c r="I147" s="125"/>
      <c r="K147" s="129"/>
      <c r="L147" s="129"/>
      <c r="M147" s="129"/>
      <c r="N147" s="129"/>
      <c r="P147" s="129"/>
      <c r="Q147" s="129"/>
      <c r="S147" s="130"/>
    </row>
    <row r="148" spans="2:19" ht="11.25" hidden="1">
      <c r="B148" s="124"/>
      <c r="C148" s="124"/>
      <c r="D148" s="124"/>
      <c r="E148" s="124"/>
      <c r="F148" s="124"/>
      <c r="G148" s="125"/>
      <c r="H148" s="125"/>
      <c r="I148" s="125"/>
      <c r="K148" s="129"/>
      <c r="L148" s="129"/>
      <c r="M148" s="129"/>
      <c r="N148" s="129"/>
      <c r="P148" s="129"/>
      <c r="Q148" s="129"/>
      <c r="S148" s="130"/>
    </row>
    <row r="149" spans="2:19" ht="11.25" hidden="1">
      <c r="B149" s="124"/>
      <c r="C149" s="124"/>
      <c r="D149" s="124"/>
      <c r="E149" s="124"/>
      <c r="F149" s="124"/>
      <c r="G149" s="125"/>
      <c r="H149" s="125"/>
      <c r="I149" s="125"/>
      <c r="K149" s="129"/>
      <c r="L149" s="129"/>
      <c r="M149" s="129"/>
      <c r="N149" s="129"/>
      <c r="P149" s="129"/>
      <c r="Q149" s="129"/>
      <c r="S149" s="130"/>
    </row>
    <row r="150" spans="2:19" ht="11.25" hidden="1">
      <c r="B150" s="124"/>
      <c r="C150" s="124"/>
      <c r="D150" s="124"/>
      <c r="E150" s="124"/>
      <c r="F150" s="124"/>
      <c r="G150" s="125"/>
      <c r="H150" s="125"/>
      <c r="I150" s="125"/>
      <c r="K150" s="129"/>
      <c r="L150" s="129"/>
      <c r="M150" s="129"/>
      <c r="N150" s="129"/>
      <c r="P150" s="129"/>
      <c r="Q150" s="129"/>
      <c r="S150" s="130"/>
    </row>
    <row r="151" spans="2:19" ht="11.25" hidden="1">
      <c r="B151" s="124"/>
      <c r="C151" s="124"/>
      <c r="D151" s="124"/>
      <c r="E151" s="124"/>
      <c r="F151" s="124"/>
      <c r="G151" s="125"/>
      <c r="H151" s="125"/>
      <c r="I151" s="125"/>
      <c r="K151" s="129"/>
      <c r="L151" s="129"/>
      <c r="M151" s="129"/>
      <c r="N151" s="129"/>
      <c r="P151" s="129"/>
      <c r="Q151" s="129"/>
      <c r="S151" s="130"/>
    </row>
    <row r="152" spans="2:19" ht="11.25" hidden="1">
      <c r="B152" s="124"/>
      <c r="C152" s="124"/>
      <c r="D152" s="124"/>
      <c r="E152" s="124"/>
      <c r="F152" s="124"/>
      <c r="G152" s="125"/>
      <c r="H152" s="125"/>
      <c r="I152" s="125"/>
      <c r="K152" s="129"/>
      <c r="L152" s="129"/>
      <c r="M152" s="129"/>
      <c r="N152" s="129"/>
      <c r="P152" s="129"/>
      <c r="Q152" s="129"/>
      <c r="S152" s="130"/>
    </row>
    <row r="153" spans="2:19" ht="11.25" hidden="1">
      <c r="B153" s="124"/>
      <c r="C153" s="124"/>
      <c r="D153" s="124"/>
      <c r="E153" s="124"/>
      <c r="F153" s="124"/>
      <c r="G153" s="125"/>
      <c r="H153" s="125"/>
      <c r="I153" s="125"/>
      <c r="K153" s="129"/>
      <c r="L153" s="129"/>
      <c r="M153" s="129"/>
      <c r="N153" s="129"/>
      <c r="P153" s="129"/>
      <c r="Q153" s="129"/>
      <c r="S153" s="130"/>
    </row>
    <row r="154" spans="2:13" ht="11.25" hidden="1">
      <c r="B154" s="124"/>
      <c r="C154" s="124"/>
      <c r="D154" s="124"/>
      <c r="E154" s="124"/>
      <c r="F154" s="124"/>
      <c r="G154" s="125"/>
      <c r="H154" s="125"/>
      <c r="I154" s="125"/>
      <c r="K154" s="129"/>
      <c r="L154" s="124"/>
      <c r="M154" s="124"/>
    </row>
    <row r="155" spans="2:13" ht="11.25" hidden="1">
      <c r="B155" s="124"/>
      <c r="C155" s="124"/>
      <c r="D155" s="124"/>
      <c r="E155" s="124"/>
      <c r="F155" s="124"/>
      <c r="G155" s="125"/>
      <c r="H155" s="125"/>
      <c r="I155" s="125"/>
      <c r="K155" s="129"/>
      <c r="L155" s="124"/>
      <c r="M155" s="124"/>
    </row>
    <row r="156" spans="2:13" ht="11.25" hidden="1">
      <c r="B156" s="124"/>
      <c r="C156" s="124"/>
      <c r="D156" s="124"/>
      <c r="E156" s="124"/>
      <c r="F156" s="124"/>
      <c r="G156" s="125"/>
      <c r="H156" s="125"/>
      <c r="I156" s="125"/>
      <c r="K156" s="129"/>
      <c r="L156" s="124"/>
      <c r="M156" s="124"/>
    </row>
    <row r="157" spans="2:13" ht="11.25" hidden="1">
      <c r="B157" s="124"/>
      <c r="C157" s="124"/>
      <c r="D157" s="124"/>
      <c r="E157" s="124"/>
      <c r="F157" s="124"/>
      <c r="G157" s="125"/>
      <c r="H157" s="125"/>
      <c r="I157" s="125"/>
      <c r="K157" s="129"/>
      <c r="L157" s="124"/>
      <c r="M157" s="124"/>
    </row>
    <row r="158" spans="2:13" ht="11.25" hidden="1">
      <c r="B158" s="124"/>
      <c r="C158" s="124"/>
      <c r="D158" s="124"/>
      <c r="E158" s="124"/>
      <c r="F158" s="124"/>
      <c r="G158" s="125"/>
      <c r="H158" s="125"/>
      <c r="I158" s="125"/>
      <c r="K158" s="129"/>
      <c r="L158" s="124"/>
      <c r="M158" s="124"/>
    </row>
    <row r="159" spans="2:13" ht="11.25" hidden="1">
      <c r="B159" s="124"/>
      <c r="C159" s="124"/>
      <c r="D159" s="124"/>
      <c r="E159" s="124"/>
      <c r="F159" s="124"/>
      <c r="G159" s="125"/>
      <c r="H159" s="125"/>
      <c r="I159" s="125"/>
      <c r="K159" s="129"/>
      <c r="L159" s="124"/>
      <c r="M159" s="124"/>
    </row>
    <row r="160" spans="2:13" ht="11.25" hidden="1">
      <c r="B160" s="124"/>
      <c r="C160" s="124"/>
      <c r="D160" s="124"/>
      <c r="E160" s="124"/>
      <c r="F160" s="124"/>
      <c r="G160" s="125"/>
      <c r="H160" s="125"/>
      <c r="I160" s="125"/>
      <c r="K160" s="129"/>
      <c r="L160" s="124"/>
      <c r="M160" s="124"/>
    </row>
    <row r="161" spans="2:13" ht="11.25" hidden="1">
      <c r="B161" s="124"/>
      <c r="C161" s="124"/>
      <c r="D161" s="124"/>
      <c r="E161" s="124"/>
      <c r="F161" s="124"/>
      <c r="G161" s="125"/>
      <c r="H161" s="125"/>
      <c r="I161" s="125"/>
      <c r="K161" s="129"/>
      <c r="L161" s="125"/>
      <c r="M161" s="124"/>
    </row>
    <row r="162" spans="2:13" ht="11.25" hidden="1">
      <c r="B162" s="124"/>
      <c r="C162" s="124"/>
      <c r="D162" s="124"/>
      <c r="E162" s="124"/>
      <c r="F162" s="124"/>
      <c r="G162" s="125"/>
      <c r="H162" s="125"/>
      <c r="I162" s="125"/>
      <c r="K162" s="129"/>
      <c r="L162" s="125"/>
      <c r="M162" s="124"/>
    </row>
    <row r="163" spans="2:13" ht="11.25" hidden="1">
      <c r="B163" s="124"/>
      <c r="C163" s="124"/>
      <c r="D163" s="124"/>
      <c r="E163" s="124"/>
      <c r="F163" s="124"/>
      <c r="G163" s="125"/>
      <c r="H163" s="125"/>
      <c r="I163" s="125"/>
      <c r="K163" s="129"/>
      <c r="L163" s="125"/>
      <c r="M163" s="124"/>
    </row>
    <row r="164" spans="2:13" ht="11.25" hidden="1">
      <c r="B164" s="124"/>
      <c r="C164" s="124"/>
      <c r="D164" s="124"/>
      <c r="E164" s="124"/>
      <c r="F164" s="124"/>
      <c r="G164" s="125"/>
      <c r="H164" s="125"/>
      <c r="I164" s="125"/>
      <c r="K164" s="129"/>
      <c r="L164" s="124"/>
      <c r="M164" s="124"/>
    </row>
    <row r="165" spans="2:13" ht="12.75" customHeight="1" hidden="1">
      <c r="B165" s="124"/>
      <c r="C165" s="124"/>
      <c r="D165" s="124"/>
      <c r="E165" s="124"/>
      <c r="F165" s="124"/>
      <c r="G165" s="125"/>
      <c r="H165" s="125"/>
      <c r="I165" s="125"/>
      <c r="K165" s="129"/>
      <c r="L165" s="124"/>
      <c r="M165" s="124"/>
    </row>
    <row r="166" spans="2:13" ht="11.25" hidden="1">
      <c r="B166" s="124"/>
      <c r="C166" s="124"/>
      <c r="D166" s="124"/>
      <c r="E166" s="124"/>
      <c r="F166" s="124"/>
      <c r="G166" s="125"/>
      <c r="H166" s="125"/>
      <c r="I166" s="125"/>
      <c r="K166" s="129"/>
      <c r="L166" s="124"/>
      <c r="M166" s="124"/>
    </row>
    <row r="167" spans="2:12" ht="11.25" hidden="1">
      <c r="B167" s="124"/>
      <c r="C167" s="124"/>
      <c r="D167" s="124"/>
      <c r="E167" s="124"/>
      <c r="F167" s="124"/>
      <c r="G167" s="125"/>
      <c r="H167" s="125"/>
      <c r="I167" s="125"/>
      <c r="K167" s="129"/>
      <c r="L167" s="124"/>
    </row>
    <row r="168" spans="2:12" ht="24.75" customHeight="1" hidden="1">
      <c r="B168" s="124"/>
      <c r="C168" s="124"/>
      <c r="D168" s="124"/>
      <c r="E168" s="124"/>
      <c r="F168" s="124"/>
      <c r="G168" s="125"/>
      <c r="H168" s="125"/>
      <c r="I168" s="125"/>
      <c r="K168" s="124"/>
      <c r="L168" s="124"/>
    </row>
    <row r="169" spans="2:12" ht="11.25" hidden="1">
      <c r="B169" s="124"/>
      <c r="C169" s="124"/>
      <c r="D169" s="124"/>
      <c r="E169" s="124"/>
      <c r="F169" s="124"/>
      <c r="G169" s="125"/>
      <c r="H169" s="125"/>
      <c r="I169" s="125"/>
      <c r="K169" s="124"/>
      <c r="L169" s="124"/>
    </row>
    <row r="170" spans="2:13" ht="11.25" hidden="1">
      <c r="B170" s="124"/>
      <c r="C170" s="124"/>
      <c r="D170" s="124"/>
      <c r="E170" s="124"/>
      <c r="F170" s="124"/>
      <c r="G170" s="125"/>
      <c r="H170" s="125"/>
      <c r="I170" s="125"/>
      <c r="K170" s="124"/>
      <c r="L170" s="124"/>
      <c r="M170" s="124"/>
    </row>
    <row r="171" spans="2:13" ht="11.25" hidden="1">
      <c r="B171" s="124"/>
      <c r="C171" s="124"/>
      <c r="D171" s="124"/>
      <c r="E171" s="124"/>
      <c r="F171" s="124"/>
      <c r="G171" s="125"/>
      <c r="H171" s="125"/>
      <c r="I171" s="125"/>
      <c r="K171" s="124"/>
      <c r="L171" s="124"/>
      <c r="M171" s="124"/>
    </row>
    <row r="172" spans="2:14" ht="11.25" hidden="1">
      <c r="B172" s="124"/>
      <c r="C172" s="124"/>
      <c r="D172" s="124"/>
      <c r="E172" s="124"/>
      <c r="F172" s="124"/>
      <c r="G172" s="125"/>
      <c r="H172" s="125"/>
      <c r="I172" s="125"/>
      <c r="K172" s="124"/>
      <c r="L172" s="124"/>
      <c r="M172" s="124"/>
      <c r="N172" s="124"/>
    </row>
    <row r="173" spans="2:14" ht="11.25" hidden="1">
      <c r="B173" s="124"/>
      <c r="C173" s="124"/>
      <c r="D173" s="124"/>
      <c r="E173" s="124"/>
      <c r="F173" s="124"/>
      <c r="G173" s="125"/>
      <c r="H173" s="125"/>
      <c r="I173" s="125"/>
      <c r="K173" s="124"/>
      <c r="L173" s="124"/>
      <c r="M173" s="124"/>
      <c r="N173" s="124"/>
    </row>
    <row r="174" spans="2:22" ht="11.25" hidden="1">
      <c r="B174" s="124"/>
      <c r="C174" s="124"/>
      <c r="D174" s="124"/>
      <c r="E174" s="124"/>
      <c r="F174" s="124"/>
      <c r="G174" s="125"/>
      <c r="H174" s="125"/>
      <c r="I174" s="125"/>
      <c r="K174" s="124"/>
      <c r="L174" s="124"/>
      <c r="M174" s="124"/>
      <c r="N174" s="129"/>
      <c r="P174" s="129"/>
      <c r="Q174" s="129"/>
      <c r="S174" s="130"/>
      <c r="T174" s="129"/>
      <c r="V174" s="129"/>
    </row>
    <row r="175" spans="2:22" ht="11.25" hidden="1">
      <c r="B175" s="124"/>
      <c r="C175" s="124"/>
      <c r="D175" s="124"/>
      <c r="E175" s="124"/>
      <c r="F175" s="124"/>
      <c r="G175" s="125"/>
      <c r="H175" s="125"/>
      <c r="I175" s="125"/>
      <c r="K175" s="124"/>
      <c r="L175" s="124"/>
      <c r="M175" s="124"/>
      <c r="N175" s="129"/>
      <c r="P175" s="129"/>
      <c r="Q175" s="129"/>
      <c r="S175" s="130"/>
      <c r="T175" s="129"/>
      <c r="V175" s="129"/>
    </row>
    <row r="176" spans="2:22" ht="12.75" customHeight="1" hidden="1">
      <c r="B176" s="124"/>
      <c r="C176" s="124"/>
      <c r="D176" s="124"/>
      <c r="E176" s="124"/>
      <c r="F176" s="124"/>
      <c r="G176" s="125"/>
      <c r="H176" s="125"/>
      <c r="I176" s="125"/>
      <c r="K176" s="124"/>
      <c r="L176" s="124"/>
      <c r="M176" s="124"/>
      <c r="N176" s="129"/>
      <c r="P176" s="129"/>
      <c r="Q176" s="129"/>
      <c r="S176" s="130"/>
      <c r="T176" s="129"/>
      <c r="V176" s="129"/>
    </row>
    <row r="177" spans="2:22" ht="11.25" hidden="1">
      <c r="B177" s="124"/>
      <c r="C177" s="124"/>
      <c r="D177" s="124"/>
      <c r="E177" s="124"/>
      <c r="F177" s="124"/>
      <c r="G177" s="125"/>
      <c r="H177" s="125"/>
      <c r="I177" s="125"/>
      <c r="K177" s="124"/>
      <c r="L177" s="124"/>
      <c r="M177" s="124"/>
      <c r="N177" s="131"/>
      <c r="P177" s="131"/>
      <c r="Q177" s="131"/>
      <c r="S177" s="132"/>
      <c r="T177" s="131"/>
      <c r="V177" s="131"/>
    </row>
    <row r="178" spans="2:22" ht="11.25" hidden="1">
      <c r="B178" s="124"/>
      <c r="C178" s="124"/>
      <c r="D178" s="124"/>
      <c r="E178" s="124"/>
      <c r="F178" s="124"/>
      <c r="G178" s="125"/>
      <c r="H178" s="125"/>
      <c r="I178" s="125"/>
      <c r="K178" s="124"/>
      <c r="L178" s="124"/>
      <c r="M178" s="124"/>
      <c r="N178" s="131"/>
      <c r="P178" s="131"/>
      <c r="Q178" s="131"/>
      <c r="S178" s="132"/>
      <c r="T178" s="131"/>
      <c r="V178" s="131"/>
    </row>
    <row r="179" spans="2:22" ht="11.25" hidden="1">
      <c r="B179" s="124"/>
      <c r="C179" s="124"/>
      <c r="D179" s="124"/>
      <c r="E179" s="124"/>
      <c r="F179" s="124"/>
      <c r="G179" s="125"/>
      <c r="H179" s="125"/>
      <c r="I179" s="125"/>
      <c r="K179" s="124"/>
      <c r="L179" s="124"/>
      <c r="M179" s="124"/>
      <c r="N179" s="129"/>
      <c r="P179" s="129"/>
      <c r="Q179" s="129"/>
      <c r="S179" s="130"/>
      <c r="T179" s="129"/>
      <c r="V179" s="129"/>
    </row>
    <row r="180" spans="2:22" ht="11.25" hidden="1">
      <c r="B180" s="124"/>
      <c r="C180" s="124"/>
      <c r="D180" s="124"/>
      <c r="E180" s="124"/>
      <c r="F180" s="124"/>
      <c r="G180" s="125"/>
      <c r="H180" s="125"/>
      <c r="I180" s="125"/>
      <c r="K180" s="124"/>
      <c r="L180" s="124"/>
      <c r="M180" s="124"/>
      <c r="N180" s="129"/>
      <c r="P180" s="129"/>
      <c r="Q180" s="129"/>
      <c r="S180" s="130"/>
      <c r="T180" s="129"/>
      <c r="V180" s="129"/>
    </row>
    <row r="181" spans="2:22" ht="11.25" hidden="1">
      <c r="B181" s="124"/>
      <c r="C181" s="124"/>
      <c r="D181" s="124"/>
      <c r="E181" s="124"/>
      <c r="F181" s="124"/>
      <c r="G181" s="125"/>
      <c r="H181" s="125"/>
      <c r="I181" s="125"/>
      <c r="K181" s="124"/>
      <c r="L181" s="124"/>
      <c r="M181" s="124"/>
      <c r="N181" s="129"/>
      <c r="P181" s="129"/>
      <c r="Q181" s="129"/>
      <c r="S181" s="130"/>
      <c r="T181" s="129"/>
      <c r="V181" s="129"/>
    </row>
    <row r="182" spans="2:22" ht="11.25" hidden="1">
      <c r="B182" s="124"/>
      <c r="C182" s="124"/>
      <c r="D182" s="124"/>
      <c r="E182" s="124"/>
      <c r="F182" s="124"/>
      <c r="G182" s="125"/>
      <c r="H182" s="125"/>
      <c r="I182" s="125"/>
      <c r="K182" s="124"/>
      <c r="L182" s="124"/>
      <c r="M182" s="124"/>
      <c r="N182" s="129"/>
      <c r="P182" s="129"/>
      <c r="Q182" s="129"/>
      <c r="S182" s="130"/>
      <c r="T182" s="129"/>
      <c r="V182" s="129"/>
    </row>
    <row r="183" spans="2:22" ht="11.25" hidden="1">
      <c r="B183" s="124"/>
      <c r="C183" s="124"/>
      <c r="D183" s="124"/>
      <c r="E183" s="124"/>
      <c r="F183" s="124"/>
      <c r="G183" s="125"/>
      <c r="H183" s="125"/>
      <c r="I183" s="125"/>
      <c r="K183" s="124"/>
      <c r="L183" s="124"/>
      <c r="M183" s="124"/>
      <c r="N183" s="131"/>
      <c r="P183" s="131"/>
      <c r="Q183" s="131"/>
      <c r="S183" s="132"/>
      <c r="T183" s="131"/>
      <c r="V183" s="131"/>
    </row>
    <row r="184" spans="2:22" ht="11.25" hidden="1">
      <c r="B184" s="124"/>
      <c r="C184" s="124"/>
      <c r="D184" s="124"/>
      <c r="E184" s="124"/>
      <c r="F184" s="124"/>
      <c r="G184" s="125"/>
      <c r="H184" s="125"/>
      <c r="I184" s="125"/>
      <c r="K184" s="124"/>
      <c r="L184" s="124"/>
      <c r="M184" s="124"/>
      <c r="N184" s="131"/>
      <c r="P184" s="131"/>
      <c r="Q184" s="131"/>
      <c r="S184" s="132"/>
      <c r="T184" s="131"/>
      <c r="V184" s="131"/>
    </row>
    <row r="185" spans="2:22" ht="12.75" customHeight="1" hidden="1">
      <c r="B185" s="124"/>
      <c r="C185" s="124"/>
      <c r="D185" s="124"/>
      <c r="E185" s="124"/>
      <c r="F185" s="124"/>
      <c r="G185" s="125"/>
      <c r="H185" s="125"/>
      <c r="I185" s="125"/>
      <c r="K185" s="124"/>
      <c r="L185" s="124"/>
      <c r="M185" s="124"/>
      <c r="N185" s="131"/>
      <c r="P185" s="131"/>
      <c r="Q185" s="131"/>
      <c r="S185" s="132"/>
      <c r="T185" s="131"/>
      <c r="V185" s="131"/>
    </row>
    <row r="186" spans="2:22" ht="11.25" hidden="1">
      <c r="B186" s="124"/>
      <c r="C186" s="124"/>
      <c r="D186" s="124"/>
      <c r="E186" s="124"/>
      <c r="F186" s="124"/>
      <c r="G186" s="125"/>
      <c r="H186" s="125"/>
      <c r="I186" s="125"/>
      <c r="K186" s="124"/>
      <c r="L186" s="124"/>
      <c r="M186" s="124"/>
      <c r="N186" s="131"/>
      <c r="P186" s="131"/>
      <c r="Q186" s="131"/>
      <c r="S186" s="132"/>
      <c r="T186" s="131"/>
      <c r="V186" s="131"/>
    </row>
    <row r="187" spans="2:22" ht="11.25" hidden="1">
      <c r="B187" s="124"/>
      <c r="C187" s="124"/>
      <c r="D187" s="124"/>
      <c r="E187" s="124"/>
      <c r="F187" s="124"/>
      <c r="G187" s="125"/>
      <c r="H187" s="125"/>
      <c r="I187" s="125"/>
      <c r="K187" s="124"/>
      <c r="L187" s="124"/>
      <c r="M187" s="124"/>
      <c r="N187" s="131"/>
      <c r="P187" s="131"/>
      <c r="Q187" s="131"/>
      <c r="S187" s="132"/>
      <c r="T187" s="131"/>
      <c r="V187" s="131"/>
    </row>
    <row r="188" spans="2:22" ht="11.25" hidden="1">
      <c r="B188" s="124"/>
      <c r="C188" s="124"/>
      <c r="D188" s="124"/>
      <c r="E188" s="124"/>
      <c r="F188" s="124"/>
      <c r="G188" s="125"/>
      <c r="H188" s="125"/>
      <c r="I188" s="125"/>
      <c r="K188" s="124"/>
      <c r="L188" s="124"/>
      <c r="M188" s="124"/>
      <c r="N188" s="125"/>
      <c r="P188" s="125"/>
      <c r="Q188" s="125"/>
      <c r="S188" s="132"/>
      <c r="T188" s="125"/>
      <c r="V188" s="125"/>
    </row>
    <row r="189" spans="2:22" ht="11.25" hidden="1">
      <c r="B189" s="124"/>
      <c r="C189" s="124"/>
      <c r="D189" s="124"/>
      <c r="E189" s="124"/>
      <c r="F189" s="124"/>
      <c r="G189" s="125"/>
      <c r="H189" s="125"/>
      <c r="I189" s="125"/>
      <c r="K189" s="124"/>
      <c r="L189" s="124"/>
      <c r="M189" s="124"/>
      <c r="N189" s="125"/>
      <c r="P189" s="125"/>
      <c r="Q189" s="125"/>
      <c r="S189" s="132"/>
      <c r="T189" s="125"/>
      <c r="V189" s="125"/>
    </row>
    <row r="190" spans="2:22" ht="11.25" hidden="1">
      <c r="B190" s="124"/>
      <c r="C190" s="124"/>
      <c r="D190" s="124"/>
      <c r="E190" s="124"/>
      <c r="F190" s="124"/>
      <c r="G190" s="125"/>
      <c r="H190" s="125"/>
      <c r="I190" s="125"/>
      <c r="K190" s="124"/>
      <c r="L190" s="124"/>
      <c r="M190" s="124"/>
      <c r="N190" s="131"/>
      <c r="P190" s="131"/>
      <c r="Q190" s="131"/>
      <c r="S190" s="132"/>
      <c r="T190" s="131"/>
      <c r="V190" s="131"/>
    </row>
    <row r="191" spans="2:22" ht="11.25" hidden="1">
      <c r="B191" s="124"/>
      <c r="C191" s="124"/>
      <c r="D191" s="124"/>
      <c r="E191" s="124"/>
      <c r="F191" s="124"/>
      <c r="G191" s="125"/>
      <c r="H191" s="125"/>
      <c r="I191" s="125"/>
      <c r="K191" s="124"/>
      <c r="L191" s="124"/>
      <c r="M191" s="124"/>
      <c r="N191" s="131"/>
      <c r="P191" s="131"/>
      <c r="Q191" s="131"/>
      <c r="S191" s="132"/>
      <c r="T191" s="131"/>
      <c r="V191" s="131"/>
    </row>
    <row r="192" spans="2:22" ht="11.25" hidden="1">
      <c r="B192" s="124"/>
      <c r="C192" s="124"/>
      <c r="D192" s="124"/>
      <c r="E192" s="124"/>
      <c r="F192" s="124"/>
      <c r="G192" s="125"/>
      <c r="H192" s="125"/>
      <c r="I192" s="125"/>
      <c r="K192" s="124"/>
      <c r="L192" s="124"/>
      <c r="M192" s="124"/>
      <c r="N192" s="131"/>
      <c r="P192" s="131"/>
      <c r="Q192" s="131"/>
      <c r="S192" s="132"/>
      <c r="T192" s="131"/>
      <c r="V192" s="131"/>
    </row>
    <row r="193" spans="2:22" ht="11.25" hidden="1">
      <c r="B193" s="124"/>
      <c r="C193" s="124"/>
      <c r="D193" s="124"/>
      <c r="E193" s="124"/>
      <c r="F193" s="124"/>
      <c r="G193" s="125"/>
      <c r="H193" s="125"/>
      <c r="I193" s="125"/>
      <c r="K193" s="124"/>
      <c r="L193" s="124"/>
      <c r="M193" s="124"/>
      <c r="N193" s="131"/>
      <c r="P193" s="131"/>
      <c r="Q193" s="131"/>
      <c r="S193" s="132"/>
      <c r="T193" s="131"/>
      <c r="V193" s="131"/>
    </row>
    <row r="194" spans="2:22" ht="11.25" hidden="1">
      <c r="B194" s="124"/>
      <c r="C194" s="124"/>
      <c r="D194" s="124"/>
      <c r="E194" s="124"/>
      <c r="F194" s="124"/>
      <c r="G194" s="125"/>
      <c r="H194" s="125"/>
      <c r="I194" s="125"/>
      <c r="K194" s="124"/>
      <c r="L194" s="124"/>
      <c r="M194" s="124"/>
      <c r="N194" s="125"/>
      <c r="P194" s="125"/>
      <c r="Q194" s="125"/>
      <c r="S194" s="132"/>
      <c r="T194" s="125"/>
      <c r="V194" s="125"/>
    </row>
    <row r="195" spans="2:22" ht="11.25" hidden="1">
      <c r="B195" s="124"/>
      <c r="C195" s="124"/>
      <c r="D195" s="124"/>
      <c r="E195" s="124"/>
      <c r="F195" s="124"/>
      <c r="G195" s="125"/>
      <c r="H195" s="125"/>
      <c r="I195" s="125"/>
      <c r="K195" s="124"/>
      <c r="L195" s="124"/>
      <c r="M195" s="124"/>
      <c r="N195" s="131"/>
      <c r="P195" s="131"/>
      <c r="Q195" s="131"/>
      <c r="S195" s="132"/>
      <c r="T195" s="131"/>
      <c r="V195" s="131"/>
    </row>
    <row r="196" spans="2:22" ht="11.25" hidden="1">
      <c r="B196" s="124"/>
      <c r="C196" s="124"/>
      <c r="D196" s="124"/>
      <c r="E196" s="124"/>
      <c r="F196" s="124"/>
      <c r="G196" s="125"/>
      <c r="H196" s="125"/>
      <c r="I196" s="125"/>
      <c r="K196" s="124"/>
      <c r="L196" s="124"/>
      <c r="M196" s="124"/>
      <c r="N196" s="125"/>
      <c r="P196" s="125"/>
      <c r="Q196" s="125"/>
      <c r="S196" s="132"/>
      <c r="T196" s="125"/>
      <c r="V196" s="125"/>
    </row>
    <row r="197" spans="2:22" ht="11.25" hidden="1">
      <c r="B197" s="124"/>
      <c r="C197" s="124"/>
      <c r="D197" s="124"/>
      <c r="E197" s="124"/>
      <c r="F197" s="124"/>
      <c r="G197" s="125"/>
      <c r="H197" s="125"/>
      <c r="I197" s="125"/>
      <c r="K197" s="124"/>
      <c r="L197" s="124"/>
      <c r="M197" s="124"/>
      <c r="N197" s="22"/>
      <c r="P197" s="22"/>
      <c r="Q197" s="22"/>
      <c r="S197" s="133"/>
      <c r="T197" s="22"/>
      <c r="V197" s="22"/>
    </row>
    <row r="198" spans="2:22" ht="13.5" customHeight="1" hidden="1">
      <c r="B198" s="124"/>
      <c r="C198" s="124"/>
      <c r="D198" s="124"/>
      <c r="E198" s="124"/>
      <c r="F198" s="124"/>
      <c r="G198" s="125"/>
      <c r="H198" s="125"/>
      <c r="I198" s="125"/>
      <c r="K198" s="124"/>
      <c r="L198" s="124"/>
      <c r="M198" s="124"/>
      <c r="N198" s="22"/>
      <c r="P198" s="22"/>
      <c r="Q198" s="22"/>
      <c r="S198" s="133"/>
      <c r="T198" s="22"/>
      <c r="V198" s="22"/>
    </row>
    <row r="199" spans="2:22" ht="11.25" hidden="1">
      <c r="B199" s="124"/>
      <c r="C199" s="124"/>
      <c r="D199" s="124"/>
      <c r="E199" s="124"/>
      <c r="F199" s="124"/>
      <c r="G199" s="125"/>
      <c r="H199" s="125"/>
      <c r="I199" s="125"/>
      <c r="K199" s="124"/>
      <c r="L199" s="124"/>
      <c r="M199" s="124"/>
      <c r="N199" s="22"/>
      <c r="P199" s="22"/>
      <c r="Q199" s="22"/>
      <c r="S199" s="133"/>
      <c r="T199" s="22"/>
      <c r="V199" s="22"/>
    </row>
    <row r="200" spans="2:22" ht="11.25" hidden="1">
      <c r="B200" s="124"/>
      <c r="C200" s="124"/>
      <c r="D200" s="124"/>
      <c r="E200" s="124"/>
      <c r="F200" s="124"/>
      <c r="G200" s="125"/>
      <c r="H200" s="125"/>
      <c r="I200" s="125"/>
      <c r="K200" s="124"/>
      <c r="L200" s="124"/>
      <c r="M200" s="124"/>
      <c r="N200" s="134"/>
      <c r="P200" s="134"/>
      <c r="Q200" s="134"/>
      <c r="S200" s="135"/>
      <c r="T200" s="134"/>
      <c r="V200" s="134"/>
    </row>
    <row r="201" spans="2:22" ht="11.25" hidden="1">
      <c r="B201" s="124"/>
      <c r="C201" s="124"/>
      <c r="D201" s="124"/>
      <c r="E201" s="124"/>
      <c r="F201" s="124"/>
      <c r="G201" s="125"/>
      <c r="H201" s="125"/>
      <c r="I201" s="125"/>
      <c r="K201" s="124"/>
      <c r="L201" s="124"/>
      <c r="M201" s="124"/>
      <c r="N201" s="122"/>
      <c r="P201" s="122"/>
      <c r="Q201" s="122"/>
      <c r="S201" s="126"/>
      <c r="T201" s="122"/>
      <c r="V201" s="122"/>
    </row>
    <row r="202" spans="2:22" ht="11.25" hidden="1">
      <c r="B202" s="124"/>
      <c r="C202" s="124"/>
      <c r="D202" s="124"/>
      <c r="E202" s="124"/>
      <c r="F202" s="124"/>
      <c r="G202" s="125"/>
      <c r="H202" s="125"/>
      <c r="I202" s="125"/>
      <c r="K202" s="124"/>
      <c r="L202" s="124"/>
      <c r="M202" s="124"/>
      <c r="N202" s="125"/>
      <c r="P202" s="125"/>
      <c r="Q202" s="125"/>
      <c r="S202" s="132"/>
      <c r="T202" s="125"/>
      <c r="V202" s="125"/>
    </row>
    <row r="203" spans="2:22" ht="11.25" hidden="1">
      <c r="B203" s="124"/>
      <c r="C203" s="124"/>
      <c r="D203" s="124"/>
      <c r="E203" s="124"/>
      <c r="F203" s="124"/>
      <c r="G203" s="125"/>
      <c r="H203" s="125"/>
      <c r="I203" s="125"/>
      <c r="K203" s="124"/>
      <c r="L203" s="124"/>
      <c r="M203" s="124"/>
      <c r="N203" s="125"/>
      <c r="P203" s="125"/>
      <c r="Q203" s="125"/>
      <c r="S203" s="132"/>
      <c r="T203" s="125"/>
      <c r="V203" s="125"/>
    </row>
    <row r="204" spans="2:22" ht="11.25" hidden="1">
      <c r="B204" s="124"/>
      <c r="C204" s="124"/>
      <c r="D204" s="124"/>
      <c r="E204" s="124"/>
      <c r="F204" s="124"/>
      <c r="G204" s="125"/>
      <c r="H204" s="125"/>
      <c r="I204" s="125"/>
      <c r="K204" s="124"/>
      <c r="L204" s="124"/>
      <c r="M204" s="124"/>
      <c r="N204" s="125"/>
      <c r="P204" s="125"/>
      <c r="Q204" s="125"/>
      <c r="S204" s="132"/>
      <c r="T204" s="125"/>
      <c r="V204" s="125"/>
    </row>
    <row r="205" spans="2:22" ht="11.25" hidden="1">
      <c r="B205" s="124"/>
      <c r="C205" s="124"/>
      <c r="D205" s="124"/>
      <c r="E205" s="124"/>
      <c r="F205" s="124"/>
      <c r="G205" s="125"/>
      <c r="H205" s="125"/>
      <c r="I205" s="125"/>
      <c r="K205" s="124"/>
      <c r="L205" s="124"/>
      <c r="M205" s="124"/>
      <c r="N205" s="125"/>
      <c r="P205" s="125"/>
      <c r="Q205" s="125"/>
      <c r="S205" s="132"/>
      <c r="T205" s="125"/>
      <c r="V205" s="125"/>
    </row>
    <row r="206" spans="2:22" ht="11.25" hidden="1">
      <c r="B206" s="124"/>
      <c r="C206" s="124"/>
      <c r="D206" s="124"/>
      <c r="E206" s="124"/>
      <c r="F206" s="124"/>
      <c r="G206" s="125"/>
      <c r="H206" s="125"/>
      <c r="I206" s="125"/>
      <c r="K206" s="124"/>
      <c r="L206" s="124"/>
      <c r="M206" s="124"/>
      <c r="N206" s="125"/>
      <c r="P206" s="125"/>
      <c r="Q206" s="125"/>
      <c r="S206" s="132"/>
      <c r="T206" s="125"/>
      <c r="V206" s="125"/>
    </row>
    <row r="207" spans="2:14" ht="11.25" hidden="1">
      <c r="B207" s="124"/>
      <c r="C207" s="124"/>
      <c r="D207" s="124"/>
      <c r="E207" s="124"/>
      <c r="F207" s="124"/>
      <c r="G207" s="125"/>
      <c r="H207" s="125"/>
      <c r="I207" s="125"/>
      <c r="K207" s="124"/>
      <c r="L207" s="124"/>
      <c r="M207" s="124"/>
      <c r="N207" s="124"/>
    </row>
    <row r="208" spans="2:14" ht="11.25" hidden="1">
      <c r="B208" s="124"/>
      <c r="C208" s="124"/>
      <c r="D208" s="124"/>
      <c r="E208" s="124"/>
      <c r="F208" s="124"/>
      <c r="G208" s="125"/>
      <c r="H208" s="125"/>
      <c r="I208" s="125"/>
      <c r="K208" s="124"/>
      <c r="L208" s="124"/>
      <c r="M208" s="124"/>
      <c r="N208" s="124"/>
    </row>
    <row r="209" spans="2:14" ht="11.25" hidden="1">
      <c r="B209" s="124"/>
      <c r="C209" s="124"/>
      <c r="D209" s="124"/>
      <c r="E209" s="124"/>
      <c r="F209" s="124"/>
      <c r="G209" s="125"/>
      <c r="H209" s="125"/>
      <c r="I209" s="125"/>
      <c r="K209" s="124"/>
      <c r="L209" s="124"/>
      <c r="M209" s="124"/>
      <c r="N209" s="124"/>
    </row>
    <row r="210" spans="2:14" ht="11.25" hidden="1">
      <c r="B210" s="124"/>
      <c r="C210" s="124"/>
      <c r="D210" s="124"/>
      <c r="E210" s="124"/>
      <c r="F210" s="124"/>
      <c r="G210" s="125"/>
      <c r="H210" s="125"/>
      <c r="I210" s="125"/>
      <c r="K210" s="124"/>
      <c r="L210" s="124"/>
      <c r="M210" s="124"/>
      <c r="N210" s="124"/>
    </row>
    <row r="211" spans="2:14" ht="11.25" hidden="1">
      <c r="B211" s="124"/>
      <c r="C211" s="124"/>
      <c r="D211" s="124"/>
      <c r="E211" s="124"/>
      <c r="F211" s="124"/>
      <c r="G211" s="125"/>
      <c r="H211" s="125"/>
      <c r="I211" s="125"/>
      <c r="K211" s="124"/>
      <c r="L211" s="124"/>
      <c r="M211" s="124"/>
      <c r="N211" s="124"/>
    </row>
    <row r="212" spans="2:14" ht="11.25" hidden="1">
      <c r="B212" s="124"/>
      <c r="C212" s="124"/>
      <c r="D212" s="124"/>
      <c r="E212" s="124"/>
      <c r="F212" s="124"/>
      <c r="G212" s="125"/>
      <c r="H212" s="125"/>
      <c r="I212" s="125"/>
      <c r="K212" s="124"/>
      <c r="L212" s="124"/>
      <c r="M212" s="124"/>
      <c r="N212" s="124"/>
    </row>
    <row r="213" spans="2:14" ht="11.25" hidden="1">
      <c r="B213" s="124"/>
      <c r="C213" s="124"/>
      <c r="D213" s="124"/>
      <c r="E213" s="124"/>
      <c r="F213" s="124"/>
      <c r="G213" s="125"/>
      <c r="H213" s="125"/>
      <c r="I213" s="125"/>
      <c r="K213" s="124"/>
      <c r="L213" s="124"/>
      <c r="M213" s="124"/>
      <c r="N213" s="124"/>
    </row>
    <row r="214" spans="2:14" ht="11.25" hidden="1">
      <c r="B214" s="124"/>
      <c r="C214" s="124"/>
      <c r="D214" s="124"/>
      <c r="E214" s="124"/>
      <c r="F214" s="124"/>
      <c r="G214" s="125"/>
      <c r="H214" s="125"/>
      <c r="I214" s="125"/>
      <c r="K214" s="124"/>
      <c r="L214" s="124"/>
      <c r="M214" s="124"/>
      <c r="N214" s="124"/>
    </row>
    <row r="215" spans="2:14" ht="11.25" hidden="1">
      <c r="B215" s="124"/>
      <c r="C215" s="124"/>
      <c r="D215" s="124"/>
      <c r="E215" s="124"/>
      <c r="F215" s="124"/>
      <c r="G215" s="125"/>
      <c r="H215" s="125"/>
      <c r="I215" s="125"/>
      <c r="K215" s="124"/>
      <c r="L215" s="124"/>
      <c r="M215" s="124"/>
      <c r="N215" s="124"/>
    </row>
    <row r="216" spans="2:14" ht="11.25" hidden="1">
      <c r="B216" s="124"/>
      <c r="C216" s="124"/>
      <c r="D216" s="124"/>
      <c r="E216" s="124"/>
      <c r="F216" s="124"/>
      <c r="G216" s="125"/>
      <c r="H216" s="125"/>
      <c r="I216" s="125"/>
      <c r="K216" s="124"/>
      <c r="L216" s="124"/>
      <c r="M216" s="124"/>
      <c r="N216" s="124"/>
    </row>
    <row r="217" spans="2:14" ht="11.25" hidden="1">
      <c r="B217" s="124"/>
      <c r="C217" s="124"/>
      <c r="D217" s="124"/>
      <c r="E217" s="124"/>
      <c r="F217" s="124"/>
      <c r="G217" s="125"/>
      <c r="H217" s="125"/>
      <c r="I217" s="125"/>
      <c r="K217" s="124"/>
      <c r="L217" s="124"/>
      <c r="M217" s="124"/>
      <c r="N217" s="124"/>
    </row>
    <row r="218" spans="2:14" ht="11.25" hidden="1">
      <c r="B218" s="124"/>
      <c r="C218" s="124"/>
      <c r="D218" s="124"/>
      <c r="E218" s="124"/>
      <c r="F218" s="124"/>
      <c r="G218" s="125"/>
      <c r="H218" s="125"/>
      <c r="I218" s="125"/>
      <c r="K218" s="124"/>
      <c r="L218" s="124"/>
      <c r="M218" s="124"/>
      <c r="N218" s="124"/>
    </row>
    <row r="219" spans="2:14" ht="11.25" hidden="1">
      <c r="B219" s="124"/>
      <c r="C219" s="124"/>
      <c r="D219" s="124"/>
      <c r="E219" s="124"/>
      <c r="F219" s="124"/>
      <c r="G219" s="125"/>
      <c r="H219" s="125"/>
      <c r="I219" s="125"/>
      <c r="K219" s="124"/>
      <c r="L219" s="124"/>
      <c r="M219" s="124"/>
      <c r="N219" s="124"/>
    </row>
    <row r="220" spans="2:14" ht="11.25" hidden="1">
      <c r="B220" s="124"/>
      <c r="C220" s="124"/>
      <c r="D220" s="124"/>
      <c r="E220" s="124"/>
      <c r="F220" s="124"/>
      <c r="G220" s="125"/>
      <c r="H220" s="125"/>
      <c r="I220" s="125"/>
      <c r="K220" s="124"/>
      <c r="L220" s="124"/>
      <c r="M220" s="124"/>
      <c r="N220" s="124"/>
    </row>
    <row r="221" spans="2:14" ht="11.25" hidden="1">
      <c r="B221" s="124"/>
      <c r="C221" s="124"/>
      <c r="D221" s="124"/>
      <c r="E221" s="124"/>
      <c r="F221" s="124"/>
      <c r="G221" s="125"/>
      <c r="H221" s="125"/>
      <c r="I221" s="125"/>
      <c r="K221" s="124"/>
      <c r="L221" s="124"/>
      <c r="M221" s="124"/>
      <c r="N221" s="124"/>
    </row>
    <row r="222" spans="2:14" ht="11.25" hidden="1">
      <c r="B222" s="124"/>
      <c r="C222" s="124"/>
      <c r="D222" s="124"/>
      <c r="E222" s="124"/>
      <c r="F222" s="124"/>
      <c r="G222" s="125"/>
      <c r="H222" s="125"/>
      <c r="I222" s="125"/>
      <c r="K222" s="124"/>
      <c r="L222" s="124"/>
      <c r="M222" s="124"/>
      <c r="N222" s="124"/>
    </row>
    <row r="223" spans="2:14" ht="11.25" hidden="1">
      <c r="B223" s="124"/>
      <c r="C223" s="124"/>
      <c r="D223" s="124"/>
      <c r="E223" s="124"/>
      <c r="F223" s="124"/>
      <c r="G223" s="125"/>
      <c r="H223" s="125"/>
      <c r="I223" s="125"/>
      <c r="K223" s="124"/>
      <c r="L223" s="124"/>
      <c r="M223" s="124"/>
      <c r="N223" s="124"/>
    </row>
    <row r="224" spans="2:14" ht="11.25" hidden="1">
      <c r="B224" s="124"/>
      <c r="C224" s="124"/>
      <c r="D224" s="124"/>
      <c r="E224" s="124"/>
      <c r="F224" s="124"/>
      <c r="G224" s="125"/>
      <c r="H224" s="125"/>
      <c r="I224" s="125"/>
      <c r="K224" s="124"/>
      <c r="L224" s="124"/>
      <c r="M224" s="124"/>
      <c r="N224" s="124"/>
    </row>
    <row r="225" spans="2:14" ht="11.25" hidden="1">
      <c r="B225" s="124"/>
      <c r="C225" s="124"/>
      <c r="D225" s="124"/>
      <c r="E225" s="124"/>
      <c r="F225" s="124"/>
      <c r="G225" s="125"/>
      <c r="H225" s="125"/>
      <c r="I225" s="125"/>
      <c r="K225" s="124"/>
      <c r="L225" s="124"/>
      <c r="M225" s="124"/>
      <c r="N225" s="124"/>
    </row>
    <row r="226" spans="2:14" ht="11.25" hidden="1">
      <c r="B226" s="124"/>
      <c r="C226" s="124"/>
      <c r="D226" s="124"/>
      <c r="E226" s="124"/>
      <c r="F226" s="124"/>
      <c r="G226" s="125"/>
      <c r="H226" s="125"/>
      <c r="I226" s="125"/>
      <c r="K226" s="124"/>
      <c r="L226" s="124"/>
      <c r="M226" s="124"/>
      <c r="N226" s="124"/>
    </row>
    <row r="227" spans="2:14" ht="11.25" hidden="1">
      <c r="B227" s="124"/>
      <c r="C227" s="124"/>
      <c r="D227" s="124"/>
      <c r="E227" s="124"/>
      <c r="F227" s="124"/>
      <c r="G227" s="125"/>
      <c r="H227" s="125"/>
      <c r="I227" s="125"/>
      <c r="K227" s="124"/>
      <c r="L227" s="124"/>
      <c r="M227" s="124"/>
      <c r="N227" s="124"/>
    </row>
    <row r="228" spans="2:14" ht="11.25" hidden="1">
      <c r="B228" s="124"/>
      <c r="C228" s="124"/>
      <c r="D228" s="124"/>
      <c r="E228" s="124"/>
      <c r="F228" s="124"/>
      <c r="G228" s="125"/>
      <c r="H228" s="125"/>
      <c r="I228" s="125"/>
      <c r="K228" s="124"/>
      <c r="L228" s="124"/>
      <c r="M228" s="124"/>
      <c r="N228" s="124"/>
    </row>
    <row r="229" spans="2:14" ht="11.25" hidden="1">
      <c r="B229" s="124"/>
      <c r="C229" s="124"/>
      <c r="D229" s="124"/>
      <c r="E229" s="124"/>
      <c r="F229" s="124"/>
      <c r="G229" s="125"/>
      <c r="H229" s="125"/>
      <c r="I229" s="125"/>
      <c r="K229" s="124"/>
      <c r="L229" s="124"/>
      <c r="M229" s="124"/>
      <c r="N229" s="124"/>
    </row>
    <row r="230" spans="2:14" ht="11.25" hidden="1">
      <c r="B230" s="124"/>
      <c r="C230" s="124"/>
      <c r="D230" s="124"/>
      <c r="E230" s="124"/>
      <c r="F230" s="124"/>
      <c r="G230" s="125"/>
      <c r="H230" s="125"/>
      <c r="I230" s="125"/>
      <c r="K230" s="124"/>
      <c r="L230" s="124"/>
      <c r="M230" s="124"/>
      <c r="N230" s="124"/>
    </row>
    <row r="231" spans="2:14" ht="11.25" hidden="1">
      <c r="B231" s="124"/>
      <c r="C231" s="124"/>
      <c r="D231" s="124"/>
      <c r="E231" s="124"/>
      <c r="F231" s="124"/>
      <c r="G231" s="125"/>
      <c r="H231" s="125"/>
      <c r="I231" s="125"/>
      <c r="K231" s="124"/>
      <c r="L231" s="124"/>
      <c r="M231" s="124"/>
      <c r="N231" s="124"/>
    </row>
    <row r="232" spans="2:14" ht="11.25" hidden="1">
      <c r="B232" s="124"/>
      <c r="C232" s="124"/>
      <c r="D232" s="124"/>
      <c r="E232" s="124"/>
      <c r="F232" s="124"/>
      <c r="G232" s="125"/>
      <c r="H232" s="125"/>
      <c r="I232" s="125"/>
      <c r="K232" s="124"/>
      <c r="L232" s="124"/>
      <c r="M232" s="124"/>
      <c r="N232" s="124"/>
    </row>
    <row r="233" spans="2:14" ht="11.25" hidden="1">
      <c r="B233" s="124"/>
      <c r="C233" s="124"/>
      <c r="D233" s="124"/>
      <c r="E233" s="124"/>
      <c r="F233" s="124"/>
      <c r="G233" s="125"/>
      <c r="H233" s="125"/>
      <c r="I233" s="125"/>
      <c r="K233" s="124"/>
      <c r="L233" s="124"/>
      <c r="M233" s="124"/>
      <c r="N233" s="124"/>
    </row>
    <row r="234" spans="2:14" ht="11.25" hidden="1">
      <c r="B234" s="124"/>
      <c r="C234" s="124"/>
      <c r="D234" s="124"/>
      <c r="E234" s="124"/>
      <c r="F234" s="124"/>
      <c r="G234" s="125"/>
      <c r="H234" s="125"/>
      <c r="I234" s="125"/>
      <c r="K234" s="124"/>
      <c r="L234" s="124"/>
      <c r="M234" s="124"/>
      <c r="N234" s="124"/>
    </row>
    <row r="235" spans="2:14" ht="11.25" hidden="1">
      <c r="B235" s="124"/>
      <c r="C235" s="124"/>
      <c r="D235" s="124"/>
      <c r="E235" s="124"/>
      <c r="F235" s="124"/>
      <c r="G235" s="125"/>
      <c r="H235" s="125"/>
      <c r="I235" s="125"/>
      <c r="K235" s="124"/>
      <c r="L235" s="124"/>
      <c r="M235" s="124"/>
      <c r="N235" s="124"/>
    </row>
    <row r="236" spans="2:14" ht="11.25" hidden="1">
      <c r="B236" s="124"/>
      <c r="C236" s="124"/>
      <c r="D236" s="124"/>
      <c r="E236" s="124"/>
      <c r="F236" s="124"/>
      <c r="G236" s="125"/>
      <c r="H236" s="125"/>
      <c r="I236" s="125"/>
      <c r="K236" s="124"/>
      <c r="L236" s="124"/>
      <c r="M236" s="124"/>
      <c r="N236" s="124"/>
    </row>
    <row r="237" spans="2:14" ht="11.25" hidden="1">
      <c r="B237" s="124"/>
      <c r="C237" s="124"/>
      <c r="D237" s="124"/>
      <c r="E237" s="124"/>
      <c r="F237" s="124"/>
      <c r="G237" s="125"/>
      <c r="H237" s="125"/>
      <c r="I237" s="125"/>
      <c r="K237" s="124"/>
      <c r="L237" s="124"/>
      <c r="M237" s="124"/>
      <c r="N237" s="124"/>
    </row>
    <row r="238" spans="2:14" ht="11.25" hidden="1">
      <c r="B238" s="124"/>
      <c r="C238" s="124"/>
      <c r="D238" s="124"/>
      <c r="E238" s="124"/>
      <c r="F238" s="124"/>
      <c r="G238" s="125"/>
      <c r="H238" s="125"/>
      <c r="I238" s="125"/>
      <c r="K238" s="124"/>
      <c r="L238" s="124"/>
      <c r="M238" s="124"/>
      <c r="N238" s="124"/>
    </row>
    <row r="239" spans="2:14" ht="11.25" hidden="1">
      <c r="B239" s="124"/>
      <c r="C239" s="124"/>
      <c r="D239" s="124"/>
      <c r="E239" s="124"/>
      <c r="F239" s="124"/>
      <c r="G239" s="125"/>
      <c r="H239" s="125"/>
      <c r="I239" s="125"/>
      <c r="K239" s="124"/>
      <c r="L239" s="124"/>
      <c r="M239" s="124"/>
      <c r="N239" s="124"/>
    </row>
    <row r="240" spans="2:14" ht="11.25" hidden="1">
      <c r="B240" s="124"/>
      <c r="C240" s="124"/>
      <c r="D240" s="124"/>
      <c r="E240" s="124"/>
      <c r="F240" s="124"/>
      <c r="G240" s="125"/>
      <c r="H240" s="125"/>
      <c r="I240" s="125"/>
      <c r="K240" s="124"/>
      <c r="L240" s="124"/>
      <c r="M240" s="124"/>
      <c r="N240" s="124"/>
    </row>
    <row r="241" spans="2:14" ht="11.25" hidden="1">
      <c r="B241" s="124"/>
      <c r="C241" s="124"/>
      <c r="D241" s="124"/>
      <c r="E241" s="124"/>
      <c r="F241" s="124"/>
      <c r="G241" s="125"/>
      <c r="H241" s="125"/>
      <c r="I241" s="125"/>
      <c r="K241" s="124"/>
      <c r="L241" s="124"/>
      <c r="M241" s="124"/>
      <c r="N241" s="124"/>
    </row>
    <row r="242" spans="2:14" ht="11.25" hidden="1">
      <c r="B242" s="124"/>
      <c r="C242" s="124"/>
      <c r="D242" s="124"/>
      <c r="E242" s="124"/>
      <c r="F242" s="124"/>
      <c r="G242" s="125"/>
      <c r="H242" s="125"/>
      <c r="I242" s="125"/>
      <c r="K242" s="124"/>
      <c r="L242" s="124"/>
      <c r="M242" s="124"/>
      <c r="N242" s="124"/>
    </row>
    <row r="243" spans="2:14" ht="11.25" hidden="1">
      <c r="B243" s="124"/>
      <c r="C243" s="124"/>
      <c r="D243" s="124"/>
      <c r="E243" s="124"/>
      <c r="F243" s="124"/>
      <c r="G243" s="125"/>
      <c r="H243" s="125"/>
      <c r="I243" s="125"/>
      <c r="K243" s="124"/>
      <c r="L243" s="124"/>
      <c r="M243" s="124"/>
      <c r="N243" s="124"/>
    </row>
    <row r="244" spans="2:14" ht="11.25" hidden="1">
      <c r="B244" s="124"/>
      <c r="C244" s="124"/>
      <c r="D244" s="124"/>
      <c r="E244" s="124"/>
      <c r="F244" s="124"/>
      <c r="G244" s="125"/>
      <c r="H244" s="125"/>
      <c r="I244" s="125"/>
      <c r="K244" s="124"/>
      <c r="L244" s="124"/>
      <c r="M244" s="124"/>
      <c r="N244" s="124"/>
    </row>
    <row r="245" spans="2:14" ht="11.25" hidden="1">
      <c r="B245" s="124"/>
      <c r="C245" s="124"/>
      <c r="D245" s="124"/>
      <c r="E245" s="124"/>
      <c r="F245" s="124"/>
      <c r="G245" s="125"/>
      <c r="H245" s="125"/>
      <c r="I245" s="125"/>
      <c r="K245" s="124"/>
      <c r="L245" s="124"/>
      <c r="M245" s="124"/>
      <c r="N245" s="124"/>
    </row>
    <row r="246" spans="2:14" ht="11.25" hidden="1">
      <c r="B246" s="124"/>
      <c r="C246" s="124"/>
      <c r="D246" s="124"/>
      <c r="E246" s="124"/>
      <c r="F246" s="124"/>
      <c r="G246" s="125"/>
      <c r="H246" s="125"/>
      <c r="I246" s="125"/>
      <c r="K246" s="124"/>
      <c r="L246" s="124"/>
      <c r="M246" s="124"/>
      <c r="N246" s="124"/>
    </row>
    <row r="247" spans="2:14" ht="11.25" hidden="1">
      <c r="B247" s="124"/>
      <c r="C247" s="124"/>
      <c r="D247" s="124"/>
      <c r="E247" s="124"/>
      <c r="F247" s="124"/>
      <c r="G247" s="125"/>
      <c r="H247" s="125"/>
      <c r="I247" s="125"/>
      <c r="K247" s="124"/>
      <c r="L247" s="124"/>
      <c r="M247" s="124"/>
      <c r="N247" s="124"/>
    </row>
    <row r="248" spans="2:14" ht="11.25" hidden="1">
      <c r="B248" s="124"/>
      <c r="C248" s="124"/>
      <c r="D248" s="124"/>
      <c r="E248" s="124"/>
      <c r="F248" s="124"/>
      <c r="G248" s="125"/>
      <c r="H248" s="125"/>
      <c r="I248" s="125"/>
      <c r="K248" s="124"/>
      <c r="L248" s="124"/>
      <c r="M248" s="124"/>
      <c r="N248" s="124"/>
    </row>
    <row r="249" spans="2:14" ht="11.25" hidden="1">
      <c r="B249" s="124"/>
      <c r="C249" s="124"/>
      <c r="D249" s="124"/>
      <c r="E249" s="124"/>
      <c r="F249" s="124"/>
      <c r="G249" s="125"/>
      <c r="H249" s="125"/>
      <c r="I249" s="125"/>
      <c r="K249" s="124"/>
      <c r="L249" s="124"/>
      <c r="M249" s="124"/>
      <c r="N249" s="124"/>
    </row>
    <row r="250" spans="2:14" ht="11.25" hidden="1">
      <c r="B250" s="124"/>
      <c r="C250" s="124"/>
      <c r="D250" s="124"/>
      <c r="E250" s="124"/>
      <c r="F250" s="124"/>
      <c r="G250" s="125"/>
      <c r="H250" s="125"/>
      <c r="I250" s="125"/>
      <c r="K250" s="124"/>
      <c r="L250" s="124"/>
      <c r="M250" s="124"/>
      <c r="N250" s="124"/>
    </row>
    <row r="251" spans="2:14" ht="11.25" hidden="1">
      <c r="B251" s="124"/>
      <c r="C251" s="124"/>
      <c r="D251" s="124"/>
      <c r="E251" s="124"/>
      <c r="F251" s="124"/>
      <c r="G251" s="125"/>
      <c r="H251" s="125"/>
      <c r="I251" s="125"/>
      <c r="K251" s="124"/>
      <c r="L251" s="124"/>
      <c r="M251" s="124"/>
      <c r="N251" s="124"/>
    </row>
    <row r="252" spans="2:14" ht="11.25" hidden="1">
      <c r="B252" s="124"/>
      <c r="C252" s="124"/>
      <c r="D252" s="124"/>
      <c r="E252" s="124"/>
      <c r="F252" s="124"/>
      <c r="G252" s="125"/>
      <c r="H252" s="125"/>
      <c r="I252" s="125"/>
      <c r="K252" s="124"/>
      <c r="L252" s="124"/>
      <c r="M252" s="124"/>
      <c r="N252" s="124"/>
    </row>
    <row r="253" spans="2:14" ht="11.25" hidden="1">
      <c r="B253" s="124"/>
      <c r="C253" s="124"/>
      <c r="D253" s="124"/>
      <c r="E253" s="124"/>
      <c r="F253" s="124"/>
      <c r="G253" s="125"/>
      <c r="H253" s="125"/>
      <c r="I253" s="125"/>
      <c r="K253" s="124"/>
      <c r="L253" s="124"/>
      <c r="M253" s="124"/>
      <c r="N253" s="124"/>
    </row>
    <row r="254" spans="2:14" ht="11.25" hidden="1">
      <c r="B254" s="124"/>
      <c r="C254" s="124"/>
      <c r="D254" s="124"/>
      <c r="E254" s="124"/>
      <c r="F254" s="124"/>
      <c r="G254" s="125"/>
      <c r="H254" s="125"/>
      <c r="I254" s="125"/>
      <c r="K254" s="124"/>
      <c r="L254" s="124"/>
      <c r="M254" s="124"/>
      <c r="N254" s="124"/>
    </row>
    <row r="255" spans="2:14" ht="11.25" hidden="1">
      <c r="B255" s="124"/>
      <c r="C255" s="124"/>
      <c r="D255" s="124"/>
      <c r="E255" s="124"/>
      <c r="F255" s="124"/>
      <c r="G255" s="125"/>
      <c r="H255" s="125"/>
      <c r="I255" s="125"/>
      <c r="K255" s="124"/>
      <c r="L255" s="124"/>
      <c r="M255" s="124"/>
      <c r="N255" s="124"/>
    </row>
    <row r="256" spans="2:14" ht="11.25" hidden="1">
      <c r="B256" s="124"/>
      <c r="C256" s="124"/>
      <c r="D256" s="124"/>
      <c r="E256" s="124"/>
      <c r="F256" s="124"/>
      <c r="G256" s="125"/>
      <c r="H256" s="125"/>
      <c r="I256" s="125"/>
      <c r="K256" s="124"/>
      <c r="L256" s="124"/>
      <c r="M256" s="124"/>
      <c r="N256" s="124"/>
    </row>
    <row r="257" spans="2:14" ht="11.25" hidden="1">
      <c r="B257" s="124"/>
      <c r="C257" s="124"/>
      <c r="D257" s="124"/>
      <c r="E257" s="124"/>
      <c r="F257" s="124"/>
      <c r="G257" s="125"/>
      <c r="H257" s="125"/>
      <c r="I257" s="125"/>
      <c r="K257" s="124"/>
      <c r="L257" s="124"/>
      <c r="M257" s="124"/>
      <c r="N257" s="124"/>
    </row>
    <row r="258" spans="2:14" ht="11.25" hidden="1">
      <c r="B258" s="124"/>
      <c r="C258" s="124"/>
      <c r="D258" s="124"/>
      <c r="E258" s="124"/>
      <c r="F258" s="124"/>
      <c r="G258" s="125"/>
      <c r="H258" s="125"/>
      <c r="I258" s="125"/>
      <c r="K258" s="124"/>
      <c r="L258" s="124"/>
      <c r="M258" s="124"/>
      <c r="N258" s="124"/>
    </row>
    <row r="259" spans="2:14" ht="11.25" hidden="1">
      <c r="B259" s="124"/>
      <c r="C259" s="124"/>
      <c r="D259" s="124"/>
      <c r="E259" s="124"/>
      <c r="F259" s="124"/>
      <c r="G259" s="125"/>
      <c r="H259" s="125"/>
      <c r="I259" s="125"/>
      <c r="K259" s="124"/>
      <c r="L259" s="124"/>
      <c r="M259" s="124"/>
      <c r="N259" s="124"/>
    </row>
    <row r="260" spans="2:14" ht="11.25" hidden="1">
      <c r="B260" s="124"/>
      <c r="C260" s="124"/>
      <c r="D260" s="124"/>
      <c r="E260" s="124"/>
      <c r="F260" s="124"/>
      <c r="G260" s="125"/>
      <c r="H260" s="125"/>
      <c r="I260" s="125"/>
      <c r="K260" s="124"/>
      <c r="L260" s="124"/>
      <c r="M260" s="124"/>
      <c r="N260" s="124"/>
    </row>
    <row r="261" spans="2:14" ht="11.25" hidden="1">
      <c r="B261" s="124"/>
      <c r="C261" s="124"/>
      <c r="D261" s="124"/>
      <c r="E261" s="124"/>
      <c r="F261" s="124"/>
      <c r="G261" s="125"/>
      <c r="H261" s="125"/>
      <c r="I261" s="125"/>
      <c r="K261" s="124"/>
      <c r="L261" s="124"/>
      <c r="M261" s="124"/>
      <c r="N261" s="124"/>
    </row>
    <row r="262" spans="2:14" ht="11.25" hidden="1">
      <c r="B262" s="124"/>
      <c r="C262" s="124"/>
      <c r="D262" s="124"/>
      <c r="E262" s="124"/>
      <c r="F262" s="124"/>
      <c r="G262" s="125"/>
      <c r="H262" s="125"/>
      <c r="I262" s="125"/>
      <c r="K262" s="124"/>
      <c r="L262" s="124"/>
      <c r="M262" s="124"/>
      <c r="N262" s="124"/>
    </row>
    <row r="263" spans="2:14" ht="11.25" hidden="1">
      <c r="B263" s="124"/>
      <c r="C263" s="124"/>
      <c r="D263" s="124"/>
      <c r="E263" s="124"/>
      <c r="F263" s="124"/>
      <c r="G263" s="125"/>
      <c r="H263" s="125"/>
      <c r="I263" s="125"/>
      <c r="K263" s="124"/>
      <c r="L263" s="124"/>
      <c r="M263" s="124"/>
      <c r="N263" s="124"/>
    </row>
    <row r="264" spans="2:14" ht="11.25" hidden="1">
      <c r="B264" s="124"/>
      <c r="C264" s="124"/>
      <c r="D264" s="124"/>
      <c r="E264" s="124"/>
      <c r="F264" s="124"/>
      <c r="G264" s="125"/>
      <c r="H264" s="125"/>
      <c r="I264" s="125"/>
      <c r="K264" s="124"/>
      <c r="L264" s="124"/>
      <c r="M264" s="124"/>
      <c r="N264" s="124"/>
    </row>
    <row r="265" spans="2:14" ht="11.25" hidden="1">
      <c r="B265" s="124"/>
      <c r="C265" s="124"/>
      <c r="D265" s="124"/>
      <c r="E265" s="124"/>
      <c r="F265" s="124"/>
      <c r="G265" s="125"/>
      <c r="H265" s="125"/>
      <c r="I265" s="125"/>
      <c r="K265" s="124"/>
      <c r="L265" s="124"/>
      <c r="M265" s="124"/>
      <c r="N265" s="124"/>
    </row>
    <row r="266" spans="2:14" ht="11.25" hidden="1">
      <c r="B266" s="124"/>
      <c r="C266" s="124"/>
      <c r="D266" s="124"/>
      <c r="E266" s="124"/>
      <c r="F266" s="124"/>
      <c r="G266" s="125"/>
      <c r="H266" s="125"/>
      <c r="I266" s="125"/>
      <c r="K266" s="124"/>
      <c r="L266" s="124"/>
      <c r="M266" s="124"/>
      <c r="N266" s="124"/>
    </row>
    <row r="267" spans="2:14" ht="11.25" hidden="1">
      <c r="B267" s="124"/>
      <c r="C267" s="124"/>
      <c r="D267" s="124"/>
      <c r="E267" s="124"/>
      <c r="F267" s="124"/>
      <c r="G267" s="125"/>
      <c r="H267" s="125"/>
      <c r="I267" s="125"/>
      <c r="K267" s="124"/>
      <c r="L267" s="124"/>
      <c r="M267" s="124"/>
      <c r="N267" s="124"/>
    </row>
    <row r="268" spans="2:14" ht="11.25" hidden="1">
      <c r="B268" s="124"/>
      <c r="C268" s="124"/>
      <c r="D268" s="124"/>
      <c r="E268" s="124"/>
      <c r="F268" s="124"/>
      <c r="G268" s="125"/>
      <c r="H268" s="125"/>
      <c r="I268" s="125"/>
      <c r="K268" s="124"/>
      <c r="L268" s="124"/>
      <c r="M268" s="124"/>
      <c r="N268" s="124"/>
    </row>
    <row r="269" spans="2:14" ht="11.25" hidden="1">
      <c r="B269" s="124"/>
      <c r="C269" s="124"/>
      <c r="D269" s="124"/>
      <c r="E269" s="124"/>
      <c r="F269" s="124"/>
      <c r="G269" s="125"/>
      <c r="H269" s="125"/>
      <c r="I269" s="125"/>
      <c r="K269" s="124"/>
      <c r="L269" s="124"/>
      <c r="M269" s="124"/>
      <c r="N269" s="124"/>
    </row>
    <row r="270" spans="2:14" ht="11.25" hidden="1">
      <c r="B270" s="124"/>
      <c r="C270" s="124"/>
      <c r="D270" s="124"/>
      <c r="E270" s="124"/>
      <c r="F270" s="124"/>
      <c r="G270" s="125"/>
      <c r="H270" s="125"/>
      <c r="I270" s="125"/>
      <c r="K270" s="124"/>
      <c r="L270" s="124"/>
      <c r="M270" s="124"/>
      <c r="N270" s="124"/>
    </row>
    <row r="271" spans="2:14" ht="11.25" hidden="1">
      <c r="B271" s="124"/>
      <c r="C271" s="124"/>
      <c r="D271" s="124"/>
      <c r="E271" s="124"/>
      <c r="F271" s="124"/>
      <c r="G271" s="125"/>
      <c r="H271" s="125"/>
      <c r="I271" s="125"/>
      <c r="K271" s="124"/>
      <c r="L271" s="124"/>
      <c r="M271" s="124"/>
      <c r="N271" s="124"/>
    </row>
    <row r="272" spans="2:14" ht="11.25" hidden="1">
      <c r="B272" s="124"/>
      <c r="C272" s="124"/>
      <c r="D272" s="124"/>
      <c r="E272" s="124"/>
      <c r="F272" s="124"/>
      <c r="G272" s="125"/>
      <c r="H272" s="125"/>
      <c r="I272" s="125"/>
      <c r="K272" s="124"/>
      <c r="L272" s="124"/>
      <c r="M272" s="124"/>
      <c r="N272" s="124"/>
    </row>
    <row r="273" spans="2:14" ht="11.25" hidden="1">
      <c r="B273" s="124"/>
      <c r="C273" s="124"/>
      <c r="D273" s="124"/>
      <c r="E273" s="124"/>
      <c r="F273" s="124"/>
      <c r="G273" s="125"/>
      <c r="H273" s="125"/>
      <c r="I273" s="125"/>
      <c r="K273" s="124"/>
      <c r="L273" s="124"/>
      <c r="M273" s="124"/>
      <c r="N273" s="124"/>
    </row>
    <row r="274" spans="2:14" ht="11.25" hidden="1">
      <c r="B274" s="124"/>
      <c r="C274" s="124"/>
      <c r="D274" s="124"/>
      <c r="E274" s="124"/>
      <c r="F274" s="124"/>
      <c r="G274" s="125"/>
      <c r="H274" s="125"/>
      <c r="I274" s="125"/>
      <c r="K274" s="124"/>
      <c r="L274" s="124"/>
      <c r="M274" s="124"/>
      <c r="N274" s="124"/>
    </row>
    <row r="275" spans="2:14" ht="11.25" hidden="1">
      <c r="B275" s="124"/>
      <c r="C275" s="124"/>
      <c r="D275" s="124"/>
      <c r="E275" s="124"/>
      <c r="F275" s="124"/>
      <c r="G275" s="125"/>
      <c r="H275" s="125"/>
      <c r="I275" s="125"/>
      <c r="K275" s="124"/>
      <c r="L275" s="124"/>
      <c r="M275" s="124"/>
      <c r="N275" s="124"/>
    </row>
    <row r="276" spans="2:14" ht="11.25" hidden="1">
      <c r="B276" s="124"/>
      <c r="C276" s="124"/>
      <c r="D276" s="124"/>
      <c r="E276" s="124"/>
      <c r="F276" s="124"/>
      <c r="G276" s="125"/>
      <c r="H276" s="125"/>
      <c r="I276" s="125"/>
      <c r="K276" s="124"/>
      <c r="L276" s="124"/>
      <c r="M276" s="124"/>
      <c r="N276" s="124"/>
    </row>
    <row r="277" spans="2:14" ht="11.25" hidden="1">
      <c r="B277" s="124"/>
      <c r="C277" s="124"/>
      <c r="D277" s="124"/>
      <c r="K277" s="124"/>
      <c r="L277" s="124"/>
      <c r="M277" s="124"/>
      <c r="N277" s="124"/>
    </row>
    <row r="278" spans="11:14" ht="11.25" hidden="1">
      <c r="K278" s="124"/>
      <c r="L278" s="124"/>
      <c r="M278" s="124"/>
      <c r="N278" s="124"/>
    </row>
    <row r="279" spans="11:14" ht="11.25" hidden="1">
      <c r="K279" s="124"/>
      <c r="L279" s="124"/>
      <c r="M279" s="124"/>
      <c r="N279" s="124"/>
    </row>
    <row r="280" spans="11:14" ht="11.25" hidden="1">
      <c r="K280" s="124"/>
      <c r="L280" s="124"/>
      <c r="M280" s="124"/>
      <c r="N280" s="124"/>
    </row>
    <row r="281" spans="11:14" ht="11.25" hidden="1">
      <c r="K281" s="124"/>
      <c r="L281" s="124"/>
      <c r="M281" s="124"/>
      <c r="N281" s="124"/>
    </row>
    <row r="282" spans="11:14" ht="11.25" hidden="1">
      <c r="K282" s="124"/>
      <c r="L282" s="124"/>
      <c r="M282" s="124"/>
      <c r="N282" s="124"/>
    </row>
    <row r="283" spans="11:14" ht="11.25" hidden="1">
      <c r="K283" s="124"/>
      <c r="L283" s="124"/>
      <c r="M283" s="124"/>
      <c r="N283" s="124"/>
    </row>
    <row r="284" spans="11:14" ht="11.25" hidden="1">
      <c r="K284" s="124"/>
      <c r="L284" s="124"/>
      <c r="M284" s="124"/>
      <c r="N284" s="124"/>
    </row>
    <row r="285" spans="11:14" ht="11.25" hidden="1">
      <c r="K285" s="124"/>
      <c r="L285" s="124"/>
      <c r="M285" s="124"/>
      <c r="N285" s="124"/>
    </row>
    <row r="286" spans="11:14" ht="11.25" hidden="1">
      <c r="K286" s="124"/>
      <c r="L286" s="124"/>
      <c r="M286" s="124"/>
      <c r="N286" s="124"/>
    </row>
    <row r="287" spans="11:14" ht="11.25" hidden="1">
      <c r="K287" s="124"/>
      <c r="L287" s="124"/>
      <c r="M287" s="124"/>
      <c r="N287" s="124"/>
    </row>
    <row r="288" spans="11:14" ht="11.25" hidden="1">
      <c r="K288" s="124"/>
      <c r="L288" s="124"/>
      <c r="M288" s="124"/>
      <c r="N288" s="124"/>
    </row>
    <row r="289" spans="11:14" ht="11.25" hidden="1">
      <c r="K289" s="124"/>
      <c r="L289" s="124"/>
      <c r="M289" s="124"/>
      <c r="N289" s="124"/>
    </row>
    <row r="290" spans="11:14" ht="11.25" hidden="1">
      <c r="K290" s="124"/>
      <c r="L290" s="124"/>
      <c r="M290" s="124"/>
      <c r="N290" s="124"/>
    </row>
    <row r="291" spans="11:14" ht="11.25" hidden="1">
      <c r="K291" s="124"/>
      <c r="L291" s="124"/>
      <c r="M291" s="124"/>
      <c r="N291" s="124"/>
    </row>
    <row r="292" spans="11:14" ht="11.25" hidden="1">
      <c r="K292" s="124"/>
      <c r="L292" s="124"/>
      <c r="M292" s="124"/>
      <c r="N292" s="124"/>
    </row>
    <row r="293" spans="11:14" ht="11.25" hidden="1">
      <c r="K293" s="124"/>
      <c r="L293" s="124"/>
      <c r="M293" s="124"/>
      <c r="N293" s="124"/>
    </row>
    <row r="294" spans="11:14" ht="11.25" hidden="1">
      <c r="K294" s="124"/>
      <c r="L294" s="124"/>
      <c r="M294" s="124"/>
      <c r="N294" s="124"/>
    </row>
    <row r="295" spans="11:14" ht="11.25" hidden="1">
      <c r="K295" s="124"/>
      <c r="L295" s="124"/>
      <c r="M295" s="124"/>
      <c r="N295" s="124"/>
    </row>
    <row r="296" spans="11:14" ht="11.25" hidden="1">
      <c r="K296" s="124"/>
      <c r="L296" s="124"/>
      <c r="M296" s="124"/>
      <c r="N296" s="124"/>
    </row>
    <row r="297" spans="11:14" ht="11.25" hidden="1">
      <c r="K297" s="124"/>
      <c r="L297" s="124"/>
      <c r="M297" s="124"/>
      <c r="N297" s="124"/>
    </row>
    <row r="298" spans="11:14" ht="11.25" hidden="1">
      <c r="K298" s="124"/>
      <c r="L298" s="124"/>
      <c r="M298" s="124"/>
      <c r="N298" s="124"/>
    </row>
    <row r="299" spans="11:14" ht="11.25" hidden="1">
      <c r="K299" s="124"/>
      <c r="L299" s="124"/>
      <c r="M299" s="124"/>
      <c r="N299" s="124"/>
    </row>
    <row r="300" spans="11:14" ht="11.25" hidden="1">
      <c r="K300" s="124"/>
      <c r="L300" s="124"/>
      <c r="M300" s="124"/>
      <c r="N300" s="124"/>
    </row>
    <row r="301" spans="11:14" ht="11.25" hidden="1">
      <c r="K301" s="124"/>
      <c r="L301" s="124"/>
      <c r="M301" s="124"/>
      <c r="N301" s="124"/>
    </row>
    <row r="302" spans="11:14" ht="11.25" hidden="1">
      <c r="K302" s="124"/>
      <c r="L302" s="124"/>
      <c r="M302" s="124"/>
      <c r="N302" s="124"/>
    </row>
    <row r="303" spans="11:14" ht="11.25" hidden="1">
      <c r="K303" s="124"/>
      <c r="L303" s="124"/>
      <c r="M303" s="124"/>
      <c r="N303" s="124"/>
    </row>
    <row r="304" spans="11:14" ht="11.25" hidden="1">
      <c r="K304" s="124"/>
      <c r="L304" s="124"/>
      <c r="M304" s="124"/>
      <c r="N304" s="124"/>
    </row>
    <row r="305" spans="11:14" ht="11.25" hidden="1">
      <c r="K305" s="124"/>
      <c r="L305" s="124"/>
      <c r="M305" s="124"/>
      <c r="N305" s="124"/>
    </row>
    <row r="306" spans="11:14" ht="11.25" hidden="1">
      <c r="K306" s="124"/>
      <c r="L306" s="124"/>
      <c r="M306" s="124"/>
      <c r="N306" s="124"/>
    </row>
    <row r="307" spans="11:14" ht="11.25" hidden="1">
      <c r="K307" s="124"/>
      <c r="L307" s="124"/>
      <c r="M307" s="124"/>
      <c r="N307" s="124"/>
    </row>
    <row r="308" spans="11:14" ht="11.25" hidden="1">
      <c r="K308" s="124"/>
      <c r="L308" s="124"/>
      <c r="M308" s="124"/>
      <c r="N308" s="124"/>
    </row>
    <row r="309" spans="11:14" ht="11.25" hidden="1">
      <c r="K309" s="124"/>
      <c r="L309" s="124"/>
      <c r="M309" s="124"/>
      <c r="N309" s="124"/>
    </row>
    <row r="310" spans="11:14" ht="11.25" hidden="1">
      <c r="K310" s="124"/>
      <c r="L310" s="124"/>
      <c r="M310" s="124"/>
      <c r="N310" s="124"/>
    </row>
    <row r="311" spans="11:14" ht="11.25" hidden="1">
      <c r="K311" s="124"/>
      <c r="L311" s="124"/>
      <c r="M311" s="124"/>
      <c r="N311" s="124"/>
    </row>
    <row r="312" spans="11:14" ht="11.25" hidden="1">
      <c r="K312" s="124"/>
      <c r="L312" s="124"/>
      <c r="M312" s="124"/>
      <c r="N312" s="124"/>
    </row>
    <row r="313" spans="11:14" ht="11.25" hidden="1">
      <c r="K313" s="124"/>
      <c r="L313" s="124"/>
      <c r="M313" s="124"/>
      <c r="N313" s="124"/>
    </row>
    <row r="314" spans="11:14" ht="11.25" hidden="1">
      <c r="K314" s="124"/>
      <c r="L314" s="124"/>
      <c r="M314" s="124"/>
      <c r="N314" s="124"/>
    </row>
    <row r="315" spans="11:14" ht="11.25" hidden="1">
      <c r="K315" s="124"/>
      <c r="L315" s="124"/>
      <c r="M315" s="124"/>
      <c r="N315" s="124"/>
    </row>
    <row r="316" spans="11:14" ht="11.25" hidden="1">
      <c r="K316" s="124"/>
      <c r="L316" s="124"/>
      <c r="M316" s="124"/>
      <c r="N316" s="124"/>
    </row>
    <row r="317" spans="11:14" ht="11.25" hidden="1">
      <c r="K317" s="124"/>
      <c r="L317" s="124"/>
      <c r="M317" s="124"/>
      <c r="N317" s="124"/>
    </row>
    <row r="318" spans="11:14" ht="11.25" hidden="1">
      <c r="K318" s="124"/>
      <c r="L318" s="124"/>
      <c r="M318" s="124"/>
      <c r="N318" s="124"/>
    </row>
    <row r="319" spans="11:14" ht="11.25" hidden="1">
      <c r="K319" s="124"/>
      <c r="L319" s="124"/>
      <c r="M319" s="124"/>
      <c r="N319" s="124"/>
    </row>
    <row r="320" spans="11:14" ht="11.25" hidden="1">
      <c r="K320" s="124"/>
      <c r="L320" s="124"/>
      <c r="M320" s="124"/>
      <c r="N320" s="124"/>
    </row>
    <row r="321" spans="11:14" ht="11.25" hidden="1">
      <c r="K321" s="124"/>
      <c r="L321" s="124"/>
      <c r="M321" s="124"/>
      <c r="N321" s="124"/>
    </row>
    <row r="322" spans="11:14" ht="11.25" hidden="1">
      <c r="K322" s="124"/>
      <c r="L322" s="124"/>
      <c r="M322" s="124"/>
      <c r="N322" s="124"/>
    </row>
    <row r="323" spans="11:14" ht="11.25" hidden="1">
      <c r="K323" s="124"/>
      <c r="L323" s="124"/>
      <c r="M323" s="124"/>
      <c r="N323" s="124"/>
    </row>
    <row r="324" spans="11:14" ht="11.25" hidden="1">
      <c r="K324" s="124"/>
      <c r="L324" s="124"/>
      <c r="M324" s="124"/>
      <c r="N324" s="124"/>
    </row>
    <row r="325" spans="11:14" ht="11.25" hidden="1">
      <c r="K325" s="124"/>
      <c r="L325" s="124"/>
      <c r="M325" s="124"/>
      <c r="N325" s="124"/>
    </row>
    <row r="326" spans="11:14" ht="11.25" hidden="1">
      <c r="K326" s="124"/>
      <c r="L326" s="124"/>
      <c r="M326" s="124"/>
      <c r="N326" s="124"/>
    </row>
    <row r="327" spans="11:14" ht="11.25" hidden="1">
      <c r="K327" s="124"/>
      <c r="L327" s="124"/>
      <c r="M327" s="124"/>
      <c r="N327" s="124"/>
    </row>
    <row r="328" spans="11:14" ht="11.25" hidden="1">
      <c r="K328" s="124"/>
      <c r="L328" s="124"/>
      <c r="M328" s="124"/>
      <c r="N328" s="124"/>
    </row>
    <row r="329" spans="11:14" ht="11.25" hidden="1">
      <c r="K329" s="124"/>
      <c r="L329" s="124"/>
      <c r="M329" s="124"/>
      <c r="N329" s="124"/>
    </row>
    <row r="330" spans="11:14" ht="11.25" hidden="1">
      <c r="K330" s="124"/>
      <c r="L330" s="124"/>
      <c r="M330" s="124"/>
      <c r="N330" s="124"/>
    </row>
    <row r="331" spans="11:14" ht="11.25" hidden="1">
      <c r="K331" s="124"/>
      <c r="L331" s="124"/>
      <c r="M331" s="124"/>
      <c r="N331" s="124"/>
    </row>
    <row r="332" spans="11:14" ht="11.25" hidden="1">
      <c r="K332" s="124"/>
      <c r="L332" s="124"/>
      <c r="M332" s="124"/>
      <c r="N332" s="124"/>
    </row>
    <row r="333" spans="12:14" ht="11.25" hidden="1">
      <c r="L333" s="124"/>
      <c r="M333" s="124"/>
      <c r="N333" s="124"/>
    </row>
    <row r="334" spans="12:14" ht="11.25" hidden="1">
      <c r="L334" s="124"/>
      <c r="M334" s="124"/>
      <c r="N334" s="124"/>
    </row>
    <row r="335" ht="11.25" hidden="1">
      <c r="N335" s="124"/>
    </row>
    <row r="336" ht="11.25" hidden="1">
      <c r="N336" s="124"/>
    </row>
    <row r="337" ht="11.25" hidden="1">
      <c r="N337" s="124"/>
    </row>
    <row r="338" ht="11.25" hidden="1">
      <c r="N338" s="124"/>
    </row>
    <row r="339" ht="11.25" hidden="1">
      <c r="N339" s="124"/>
    </row>
    <row r="340" spans="1:22" ht="11.25">
      <c r="A340" s="20"/>
      <c r="B340" s="34" t="s">
        <v>142</v>
      </c>
      <c r="C340" s="34">
        <v>1000</v>
      </c>
      <c r="D340" s="34">
        <v>2239</v>
      </c>
      <c r="E340" s="34">
        <f>C340</f>
        <v>1000</v>
      </c>
      <c r="F340" s="34"/>
      <c r="G340" s="32"/>
      <c r="H340" s="32"/>
      <c r="I340" s="32"/>
      <c r="J340" s="11"/>
      <c r="K340" s="34"/>
      <c r="L340" s="34"/>
      <c r="M340" s="34"/>
      <c r="N340" s="34"/>
      <c r="O340" s="11"/>
      <c r="P340" s="34"/>
      <c r="Q340" s="34"/>
      <c r="R340" s="33">
        <f>SUM(F340:Q340)</f>
        <v>0</v>
      </c>
      <c r="S340" s="36">
        <f>E340-SUM(F340:Q340)</f>
        <v>1000</v>
      </c>
      <c r="T340" s="33"/>
      <c r="U340" s="36">
        <f>S340-T340</f>
        <v>1000</v>
      </c>
      <c r="V340" s="33"/>
    </row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</sheetData>
  <mergeCells count="86">
    <mergeCell ref="E37:E38"/>
    <mergeCell ref="B51:B53"/>
    <mergeCell ref="V123:V126"/>
    <mergeCell ref="V27:V28"/>
    <mergeCell ref="V86:V91"/>
    <mergeCell ref="E54:E58"/>
    <mergeCell ref="E51:E53"/>
    <mergeCell ref="E40:E43"/>
    <mergeCell ref="E83:E84"/>
    <mergeCell ref="U123:U126"/>
    <mergeCell ref="A128:A130"/>
    <mergeCell ref="C8:D10"/>
    <mergeCell ref="A21:A23"/>
    <mergeCell ref="A8:A10"/>
    <mergeCell ref="B78:B79"/>
    <mergeCell ref="B73:B74"/>
    <mergeCell ref="A60:A64"/>
    <mergeCell ref="A67:A70"/>
    <mergeCell ref="A114:A115"/>
    <mergeCell ref="B97:B99"/>
    <mergeCell ref="A120:A121"/>
    <mergeCell ref="C123:C126"/>
    <mergeCell ref="D123:D126"/>
    <mergeCell ref="B120:B121"/>
    <mergeCell ref="A122:A126"/>
    <mergeCell ref="B122:B126"/>
    <mergeCell ref="S123:S126"/>
    <mergeCell ref="E123:E126"/>
    <mergeCell ref="E67:E70"/>
    <mergeCell ref="E73:E74"/>
    <mergeCell ref="E114:E115"/>
    <mergeCell ref="E75:E76"/>
    <mergeCell ref="E97:E99"/>
    <mergeCell ref="E78:E79"/>
    <mergeCell ref="B114:B115"/>
    <mergeCell ref="A97:A99"/>
    <mergeCell ref="A73:A74"/>
    <mergeCell ref="A78:A79"/>
    <mergeCell ref="A75:A76"/>
    <mergeCell ref="A112:A113"/>
    <mergeCell ref="B112:B113"/>
    <mergeCell ref="A110:A111"/>
    <mergeCell ref="B110:B111"/>
    <mergeCell ref="B83:B84"/>
    <mergeCell ref="A54:A58"/>
    <mergeCell ref="A51:A53"/>
    <mergeCell ref="B54:B58"/>
    <mergeCell ref="B37:B38"/>
    <mergeCell ref="B48:B49"/>
    <mergeCell ref="A48:A49"/>
    <mergeCell ref="B21:B23"/>
    <mergeCell ref="B33:B36"/>
    <mergeCell ref="E21:E23"/>
    <mergeCell ref="E27:E29"/>
    <mergeCell ref="D27:D28"/>
    <mergeCell ref="B27:B29"/>
    <mergeCell ref="C27:C28"/>
    <mergeCell ref="E33:E36"/>
    <mergeCell ref="B8:B10"/>
    <mergeCell ref="B15:B16"/>
    <mergeCell ref="A15:A16"/>
    <mergeCell ref="F8:R8"/>
    <mergeCell ref="R9:R10"/>
    <mergeCell ref="A27:A29"/>
    <mergeCell ref="A30:A31"/>
    <mergeCell ref="S27:S28"/>
    <mergeCell ref="B30:B31"/>
    <mergeCell ref="E30:E31"/>
    <mergeCell ref="A33:A36"/>
    <mergeCell ref="A37:A38"/>
    <mergeCell ref="B40:B43"/>
    <mergeCell ref="A40:A43"/>
    <mergeCell ref="A83:A84"/>
    <mergeCell ref="B60:B64"/>
    <mergeCell ref="B67:B70"/>
    <mergeCell ref="E60:E64"/>
    <mergeCell ref="B75:B76"/>
    <mergeCell ref="V8:V10"/>
    <mergeCell ref="R27:R28"/>
    <mergeCell ref="E8:E10"/>
    <mergeCell ref="E15:E16"/>
    <mergeCell ref="F9:Q9"/>
    <mergeCell ref="U27:U28"/>
    <mergeCell ref="U8:U10"/>
    <mergeCell ref="S8:S10"/>
    <mergeCell ref="T8:T10"/>
  </mergeCells>
  <printOptions/>
  <pageMargins left="1.1811023622047245" right="0" top="0.5905511811023623" bottom="0.4330708661417323" header="0.15748031496062992" footer="0.2362204724409449"/>
  <pageSetup horizontalDpi="600" verticalDpi="600" orientation="portrait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2009-08-14T12:40:55Z</cp:lastPrinted>
  <dcterms:created xsi:type="dcterms:W3CDTF">2009-08-06T08:39:17Z</dcterms:created>
  <dcterms:modified xsi:type="dcterms:W3CDTF">2009-08-14T12:41:07Z</dcterms:modified>
  <cp:category/>
  <cp:version/>
  <cp:contentType/>
  <cp:contentStatus/>
</cp:coreProperties>
</file>