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20" windowHeight="13005" activeTab="0"/>
  </bookViews>
  <sheets>
    <sheet name="9.pielikums" sheetId="1" r:id="rId1"/>
  </sheets>
  <definedNames>
    <definedName name="_xlnm.Print_Area" localSheetId="0">'9.pielikums'!$A$1:$U$176</definedName>
  </definedNames>
  <calcPr fullCalcOnLoad="1"/>
</workbook>
</file>

<file path=xl/comments1.xml><?xml version="1.0" encoding="utf-8"?>
<comments xmlns="http://schemas.openxmlformats.org/spreadsheetml/2006/main">
  <authors>
    <author>arita.moroza</author>
  </authors>
  <commentList>
    <comment ref="R20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maksā par katru mēnesi pēc akta
izmaksas:
7.08 par ziņu pārraide
2.95 - sludinājums
59.00 - intervija vai autorraidījums
max 8000 ls
par 2008.g.samaksāts 6570.04+pvn
atlikums 6779.66-6570.04=209.62+pvn</t>
        </r>
      </text>
    </comment>
    <comment ref="R4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642.44 par minūti
Norēķins par katru daļu pēc akta (Bērziņš, Truksnis)</t>
        </r>
      </text>
    </comment>
    <comment ref="R24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Līgums=9600+pvn (max)
2008.g.sam.=1920+18%
2009.gadam=7680+21%=9292.80 -vienību izcenoj.</t>
        </r>
      </text>
    </comment>
    <comment ref="R2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2008. gadā samaksāts avansā par visu 2009. gadu Ls 9177.36</t>
        </r>
      </text>
    </comment>
    <comment ref="R30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2008. gadā samaksāts avanss 50% Ls 5665.
par to nav atskaite.!!!
Līgumcena=9600+pvn</t>
        </r>
      </text>
    </comment>
    <comment ref="R109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līgums=5500+pvn
2008.g.av= 2750+18%=3245
2009.g.=2750+21%=3327.50</t>
        </r>
      </text>
    </comment>
    <comment ref="D123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34=+20000</t>
        </r>
      </text>
    </comment>
    <comment ref="R1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avanss 70 %</t>
        </r>
      </text>
    </comment>
    <comment ref="D109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+83</t>
        </r>
      </text>
    </comment>
    <comment ref="D14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87=-1500; -2000
</t>
        </r>
      </text>
    </comment>
    <comment ref="D46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87=+1500</t>
        </r>
      </text>
    </comment>
    <comment ref="D38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87=-3000</t>
        </r>
      </text>
    </comment>
    <comment ref="D110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87=-2000
būs -1500</t>
        </r>
      </text>
    </comment>
    <comment ref="D11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87=-4000</t>
        </r>
      </text>
    </comment>
    <comment ref="D160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48=-1129
izziņa 87= -1000+ekk no 2275 uz 2279 Ls 8371
izziņa 116= -2318</t>
        </r>
      </text>
    </comment>
    <comment ref="F64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valentīndiena</t>
        </r>
      </text>
    </comment>
    <comment ref="F66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valentīndiena</t>
        </r>
      </text>
    </comment>
    <comment ref="J65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floristika</t>
        </r>
      </text>
    </comment>
    <comment ref="K65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floristika</t>
        </r>
      </text>
    </comment>
    <comment ref="D5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-1100</t>
        </r>
      </text>
    </comment>
    <comment ref="D53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-700</t>
        </r>
      </text>
    </comment>
    <comment ref="D59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-2543; +2488</t>
        </r>
      </text>
    </comment>
    <comment ref="D60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-3300 +6250</t>
        </r>
      </text>
    </comment>
    <comment ref="D6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-4000 +4106</t>
        </r>
      </text>
    </comment>
    <comment ref="D61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-276; +442</t>
        </r>
      </text>
    </comment>
    <comment ref="D6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-319</t>
        </r>
      </text>
    </comment>
    <comment ref="D64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+2837</t>
        </r>
      </text>
    </comment>
    <comment ref="D8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+1189</t>
        </r>
      </text>
    </comment>
    <comment ref="D79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+149</t>
        </r>
      </text>
    </comment>
    <comment ref="D89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+1390</t>
        </r>
      </text>
    </comment>
    <comment ref="D91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+1417</t>
        </r>
      </text>
    </comment>
    <comment ref="D95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+1584</t>
        </r>
      </text>
    </comment>
    <comment ref="D98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+65</t>
        </r>
      </text>
    </comment>
    <comment ref="D9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+1186</t>
        </r>
      </text>
    </comment>
    <comment ref="D99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+3532</t>
        </r>
      </text>
    </comment>
    <comment ref="D63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+50</t>
        </r>
      </text>
    </comment>
    <comment ref="D45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+94</t>
        </r>
      </text>
    </comment>
    <comment ref="D4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87=+5592
būs -2412</t>
        </r>
      </text>
    </comment>
  </commentList>
</comments>
</file>

<file path=xl/sharedStrings.xml><?xml version="1.0" encoding="utf-8"?>
<sst xmlns="http://schemas.openxmlformats.org/spreadsheetml/2006/main" count="207" uniqueCount="134">
  <si>
    <t>Jūrmalas pilsētas dome</t>
  </si>
  <si>
    <t>Konta Nr.:  LV 84PARX0002484572001, BP 326-1</t>
  </si>
  <si>
    <t>Nr.</t>
  </si>
  <si>
    <t>Pasākums/ aktivitāte/ projekts/ pakalpojuma nosaukums/ objekts</t>
  </si>
  <si>
    <t>EKK</t>
  </si>
  <si>
    <t>2009.gada budžeta projekts</t>
  </si>
  <si>
    <t>Izpilde</t>
  </si>
  <si>
    <t>Kases atlikums</t>
  </si>
  <si>
    <t>Atlikums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</si>
  <si>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</si>
  <si>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</si>
  <si>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</si>
  <si>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</si>
  <si>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</si>
  <si>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</si>
  <si>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</si>
  <si>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</si>
  <si>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</si>
  <si>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</si>
  <si>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</si>
  <si>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</si>
  <si>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Kases izpilde kopā</t>
  </si>
  <si>
    <t>Rezervētā līguma summa</t>
  </si>
  <si>
    <t>08. 300  KOPĀ</t>
  </si>
  <si>
    <t>I Tipogrāfiju un publikāciju pakalpojumi</t>
  </si>
  <si>
    <t>Pašvaldības informācijas ievietošana bukletos, grāmatās, katalogos un citos prezentatīvos materilāos</t>
  </si>
  <si>
    <t>II Sadarbība ar masu medijiem</t>
  </si>
  <si>
    <t>Sadarbībai ar nacionālo TV, radio</t>
  </si>
  <si>
    <t>Sadarbībai ar reģionālo TV</t>
  </si>
  <si>
    <t>Pārraidīšanas izdevumi reģionālajā TV</t>
  </si>
  <si>
    <t>Sadarbībai ar "Radio Jūrmala"</t>
  </si>
  <si>
    <t>Informācijas izvietošana medijos par pašvaldības pasākumiem</t>
  </si>
  <si>
    <t>Sadarbībai ar nacionalajiem preses izdevumiem</t>
  </si>
  <si>
    <t>III Interneta pakalpojumi</t>
  </si>
  <si>
    <t xml:space="preserve">LETAs on-line ziņu abonents </t>
  </si>
  <si>
    <t>Sadarbība ar interneta portāliem</t>
  </si>
  <si>
    <t>LURSOFT pakalpojumu apmaksa</t>
  </si>
  <si>
    <t>IV  Periodikas pasūtīšana</t>
  </si>
  <si>
    <t>Laikrakstu, žurnālu abonoments</t>
  </si>
  <si>
    <t>Katalogu un rokasgrāmatu abonoments</t>
  </si>
  <si>
    <t>V  Publisko attiecību veicināšanas pasākumi</t>
  </si>
  <si>
    <t>Komunikācijas pilnveidošanas konsultācijas</t>
  </si>
  <si>
    <t>Iekšējās komunikācijas semināri</t>
  </si>
  <si>
    <t>Publsko attiecību un rīcības plāna izstrāde</t>
  </si>
  <si>
    <t>VI  Filmas par Jūrmalu uzņemšana un pārraidīšana</t>
  </si>
  <si>
    <t>Jūrmalas epizodes daudzsēriju kinofilmā</t>
  </si>
  <si>
    <t>VII Sabiedrības integrācijas programas realizācija</t>
  </si>
  <si>
    <t>Publisko attiecību izdevumi integrācijas programmmai</t>
  </si>
  <si>
    <t>Jūrmalas diabētu biedrības bukletu līdzfinansējums</t>
  </si>
  <si>
    <t xml:space="preserve">Sabiedības integrācijas projekta "Vēstures lapaspuses šķirstot atceramies - lai neaizmirst" </t>
  </si>
  <si>
    <t>Sabiedrības integrācijas projektu līdzfinansējums</t>
  </si>
  <si>
    <t>VIII Pašvaldības pasākumu publisko attiecību īstenošanas izevumi</t>
  </si>
  <si>
    <t>Jomas ielas svētki</t>
  </si>
  <si>
    <t>Dzintaru mežaparka 1.gadu jubileja</t>
  </si>
  <si>
    <t>Raiņa ielas atklāšana</t>
  </si>
  <si>
    <t xml:space="preserve">Nacionālo un valsts svētku pasākumi </t>
  </si>
  <si>
    <t>Sporta pasākumi</t>
  </si>
  <si>
    <t>Kultūras pasākumi</t>
  </si>
  <si>
    <t>Mākslas pasākumi</t>
  </si>
  <si>
    <t>Tradicionālie pilsētas pasākumi</t>
  </si>
  <si>
    <t>IX Publisko attiecību kampaņas</t>
  </si>
  <si>
    <t>Prezentācija un iekšējās komunikācijas pilnveidošana</t>
  </si>
  <si>
    <t>-</t>
  </si>
  <si>
    <t>+</t>
  </si>
  <si>
    <t>Par gatavošanos tūrisma sezonai</t>
  </si>
  <si>
    <t>Jūrmalai 50 gadu jubileja Teritorijas plāns</t>
  </si>
  <si>
    <t>Jūrmala-rudens, ziemas sezonā</t>
  </si>
  <si>
    <t>Skatu torņa būvniecība Dzintaru mežaparkā</t>
  </si>
  <si>
    <t>Dzintaru mežaparka atklāšana</t>
  </si>
  <si>
    <t>Ķemeru kūrorta parka labiekārtošana</t>
  </si>
  <si>
    <t>Mellužu estrādes un parka rekonstrukcija</t>
  </si>
  <si>
    <t>Hokeja un multihalles būvniecība</t>
  </si>
  <si>
    <t>Jūrmala Eiropas kultūras galvaspilsētas 2014 kandidātpilsēta</t>
  </si>
  <si>
    <t>Dzintaru koncertzāles mazās zāles rekonstrukcija</t>
  </si>
  <si>
    <t>Aspazijas mājas restaurācija un Aspazijas pieminekļa uzstādīšana</t>
  </si>
  <si>
    <t>festivāls Summertime-aicina Inese Galante</t>
  </si>
  <si>
    <t>Dzintaru koncertzāles sezonas atklāšana, noslēgums</t>
  </si>
  <si>
    <t xml:space="preserve">Operas mūzikas svētki </t>
  </si>
  <si>
    <t>Gada balva mākslā, kultūrā un sportā</t>
  </si>
  <si>
    <t>European HOG Rally</t>
  </si>
  <si>
    <t>rallijs "Latvija 2009" posms Jūrmalā</t>
  </si>
  <si>
    <t>Zilā karogu sezonas atklāšana</t>
  </si>
  <si>
    <t xml:space="preserve">Pilsētas attīstības plāna izstrāde </t>
  </si>
  <si>
    <t xml:space="preserve">Dubultu mezgla būvniecība </t>
  </si>
  <si>
    <t>Projekta "Atvērto durvju diena 2009" organizēšana un publicitāte</t>
  </si>
  <si>
    <t>Citu pašvaldībai aktuālu tēmu atspoguļošana</t>
  </si>
  <si>
    <t>Gadatirgus organizēšana</t>
  </si>
  <si>
    <t>Kultūras pasākums pašvaldības iestādēm</t>
  </si>
  <si>
    <t>Karjeras dienas 2009</t>
  </si>
  <si>
    <t>"Jūrmalas labākais ēdināšanas uzņēmums 2009"</t>
  </si>
  <si>
    <t>Jomas ielas svētku organizēšana</t>
  </si>
  <si>
    <t>X Sabiedriskās domas pētījumi</t>
  </si>
  <si>
    <t>Jūrmalas iedzīvotāju sabiedriskās domas pētījums</t>
  </si>
  <si>
    <t>Latvijas iedzīvotāju sabiedriskās domas pētījums</t>
  </si>
  <si>
    <t>XI Citi pakalpojumi</t>
  </si>
  <si>
    <t>Līdzfinansējums pašvaldības atblastītu  projektu realizācijai</t>
  </si>
  <si>
    <t>Grāmatu un informatīvu materiālu iegāde</t>
  </si>
  <si>
    <t>R. Ziedoņa grāmatas "Jūras zemē Latvijā" izdošanas izdevumu segšana</t>
  </si>
  <si>
    <t>Preses konferenču sarīkošana pēc domes sēdēm</t>
  </si>
  <si>
    <t>XIII Pārējie materiāli</t>
  </si>
  <si>
    <t>Grāmatu, bukletu, katalogu, papīra iegāde nodaļas vajadzībām</t>
  </si>
  <si>
    <t>XIV Sabiedrības informēšana par teritoriālā plānojuma izstrādi</t>
  </si>
  <si>
    <t>KOPĀ</t>
  </si>
  <si>
    <t>BP 326-2</t>
  </si>
  <si>
    <t>Izpilde no gada sākuma</t>
  </si>
  <si>
    <t>Informācijas izvietošana laikrakstā "Jūrmalas ziņas" latviešu un krievu valodā</t>
  </si>
  <si>
    <t>Pārējie administratīvie izdevumi un ar iestādes darbības nodrošināšanu saistītie pakalpojumi</t>
  </si>
  <si>
    <t>BP 326-3</t>
  </si>
  <si>
    <t>08.300</t>
  </si>
  <si>
    <t>BP</t>
  </si>
  <si>
    <t>Reklāmas izdevumi sporta pasākumiem t.sk.</t>
  </si>
  <si>
    <t>European HOG rally</t>
  </si>
  <si>
    <t xml:space="preserve">Rallijs 2009 posma Jūrmalā </t>
  </si>
  <si>
    <t>Citi sporta pasākumi</t>
  </si>
  <si>
    <t>BP 326-4</t>
  </si>
  <si>
    <t>Sabiedrības integrācijas pasākumi programmas ietvaros</t>
  </si>
  <si>
    <t>Sociālā integrācija cilvēkiem ar redzes zudumu</t>
  </si>
  <si>
    <t>"Anima'' par veselību,izglītošanos un integrāciju</t>
  </si>
  <si>
    <t>'Liels un mazs drošā pilsētā''</t>
  </si>
  <si>
    <t>Jūrmalas sabiedrības informēšana par universālo dizainu</t>
  </si>
  <si>
    <t>ES - Jūrmalā, Latvijā, Eiropā</t>
  </si>
  <si>
    <t xml:space="preserve"> </t>
  </si>
  <si>
    <t>Reklāmas izdevumi kultūras pasākumiem</t>
  </si>
  <si>
    <t>Nacionālie un valsts svētku pasākumi</t>
  </si>
  <si>
    <t>Dažādi kultūras pasākumi</t>
  </si>
  <si>
    <t>Festivāls "Summertime-aicina Inese Galante</t>
  </si>
  <si>
    <t>Dzintaru koncertzāles sezonas atklāšana un noslēgums</t>
  </si>
  <si>
    <t xml:space="preserve">Gada balva kultūrā </t>
  </si>
  <si>
    <t>Jūrmalas iedzīvotāju simpātijas balva festivālā "Jaunais Vilnis"</t>
  </si>
  <si>
    <r>
      <t>2009.gada budžeta projekta atšifrējums ______</t>
    </r>
    <r>
      <rPr>
        <b/>
        <u val="single"/>
        <sz val="8"/>
        <rFont val="Times New Roman"/>
        <family val="1"/>
      </rPr>
      <t>Publiskās attiecības un integrācijas projekti</t>
    </r>
    <r>
      <rPr>
        <b/>
        <sz val="8"/>
        <rFont val="Times New Roman"/>
        <family val="1"/>
      </rPr>
      <t>_____</t>
    </r>
  </si>
  <si>
    <r>
      <t>Struktūrvienības nosaukums __________</t>
    </r>
    <r>
      <rPr>
        <b/>
        <u val="single"/>
        <sz val="8"/>
        <rFont val="Times New Roman"/>
        <family val="1"/>
      </rPr>
      <t>Sabiedrisko attiecību nodaļa</t>
    </r>
    <r>
      <rPr>
        <sz val="8"/>
        <rFont val="Times New Roman"/>
        <family val="1"/>
      </rPr>
      <t>_______</t>
    </r>
  </si>
  <si>
    <t>Samazinājumi</t>
  </si>
  <si>
    <t>PAVISAM KOPĀ:</t>
  </si>
  <si>
    <t>9.pielikums</t>
  </si>
</sst>
</file>

<file path=xl/styles.xml><?xml version="1.0" encoding="utf-8"?>
<styleSheet xmlns="http://schemas.openxmlformats.org/spreadsheetml/2006/main">
  <numFmts count="5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  <numFmt numFmtId="168" formatCode="0.0"/>
    <numFmt numFmtId="169" formatCode="_-* #,##0\ _L_s_-;\-* #,##0\ _L_s_-;_-* &quot;-&quot;??\ _L_s_-;_-@_-"/>
    <numFmt numFmtId="170" formatCode="#,##0_ ;[Red]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26]dddd\,\ yyyy&quot;. gada &quot;d\.\ mmmm"/>
    <numFmt numFmtId="176" formatCode="#,##0.0"/>
    <numFmt numFmtId="177" formatCode="#,##0.000"/>
    <numFmt numFmtId="178" formatCode="#,##0.0000"/>
    <numFmt numFmtId="179" formatCode="#,##0_ ;\-#,##0\ "/>
    <numFmt numFmtId="180" formatCode="#,##0.0;[Red]\-#,##0.0"/>
    <numFmt numFmtId="181" formatCode="#,##0.000;[Red]\-#,##0.000"/>
    <numFmt numFmtId="182" formatCode="#,##0.0000;[Red]\-#,##0.0000"/>
    <numFmt numFmtId="183" formatCode="_-&quot;Ls&quot;\ * #,##0.000_-;\-&quot;Ls&quot;\ * #,##0.000_-;_-&quot;Ls&quot;\ * &quot;-&quot;??_-;_-@_-"/>
    <numFmt numFmtId="184" formatCode="_-&quot;Ls&quot;\ * #,##0.0_-;\-&quot;Ls&quot;\ * #,##0.0_-;_-&quot;Ls&quot;\ * &quot;-&quot;??_-;_-@_-"/>
    <numFmt numFmtId="185" formatCode="_-&quot;Ls&quot;\ * #,##0_-;\-&quot;Ls&quot;\ * #,##0_-;_-&quot;Ls&quot;\ * &quot;-&quot;??_-;_-@_-"/>
    <numFmt numFmtId="186" formatCode="0.000"/>
    <numFmt numFmtId="187" formatCode="0.0000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_-* #,##0_-;\-* #,##0_-;_-* &quot;-&quot;??_-;_-@_-"/>
    <numFmt numFmtId="192" formatCode="&quot;Ls&quot;\ #,##0_);\(&quot;Ls&quot;\ #,##0\)"/>
    <numFmt numFmtId="193" formatCode="&quot;Ls&quot;\ #,##0_);[Red]\(&quot;Ls&quot;\ #,##0\)"/>
    <numFmt numFmtId="194" formatCode="&quot;Ls&quot;\ #,##0.00_);\(&quot;Ls&quot;\ #,##0.00\)"/>
    <numFmt numFmtId="195" formatCode="&quot;Ls&quot;\ #,##0.00_);[Red]\(&quot;Ls&quot;\ #,##0.00\)"/>
    <numFmt numFmtId="196" formatCode="_(&quot;Ls&quot;\ * #,##0_);_(&quot;Ls&quot;\ * \(#,##0\);_(&quot;Ls&quot;\ * &quot;-&quot;_);_(@_)"/>
    <numFmt numFmtId="197" formatCode="_(* #,##0_);_(* \(#,##0\);_(* &quot;-&quot;_);_(@_)"/>
    <numFmt numFmtId="198" formatCode="_(&quot;Ls&quot;\ * #,##0.00_);_(&quot;Ls&quot;\ * \(#,##0.00\);_(&quot;Ls&quot;\ * &quot;-&quot;??_);_(@_)"/>
    <numFmt numFmtId="199" formatCode="_(* #,##0.00_);_(* \(#,##0.00\);_(* &quot;-&quot;??_);_(@_)"/>
    <numFmt numFmtId="200" formatCode="#,##0\ &quot;Ls&quot;;\-#,##0\ &quot;Ls&quot;"/>
    <numFmt numFmtId="201" formatCode="#,##0\ &quot;Ls&quot;;[Red]\-#,##0\ &quot;Ls&quot;"/>
    <numFmt numFmtId="202" formatCode="#,##0.00\ &quot;Ls&quot;;\-#,##0.00\ &quot;Ls&quot;"/>
    <numFmt numFmtId="203" formatCode="#,##0.00\ &quot;Ls&quot;;[Red]\-#,##0.00\ &quot;Ls&quot;"/>
    <numFmt numFmtId="204" formatCode="0.0000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%"/>
    <numFmt numFmtId="211" formatCode="mmm/yyyy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9"/>
      <name val="Times New Roman"/>
      <family val="1"/>
    </font>
    <font>
      <sz val="8"/>
      <color indexed="10"/>
      <name val="Times New Roman"/>
      <family val="1"/>
    </font>
    <font>
      <sz val="8"/>
      <name val="Times New Roman Baltic"/>
      <family val="1"/>
    </font>
    <font>
      <b/>
      <sz val="8"/>
      <name val="Times New Roman Baltic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vertical="center" wrapText="1"/>
      <protection locked="0"/>
    </xf>
    <xf numFmtId="3" fontId="24" fillId="0" borderId="10" xfId="0" applyNumberFormat="1" applyFont="1" applyBorder="1" applyAlignment="1" applyProtection="1">
      <alignment vertical="center" wrapText="1"/>
      <protection locked="0"/>
    </xf>
    <xf numFmtId="38" fontId="24" fillId="0" borderId="10" xfId="0" applyNumberFormat="1" applyFont="1" applyFill="1" applyBorder="1" applyAlignment="1" applyProtection="1">
      <alignment vertical="center" wrapText="1"/>
      <protection locked="0"/>
    </xf>
    <xf numFmtId="0" fontId="24" fillId="0" borderId="13" xfId="0" applyFont="1" applyBorder="1" applyAlignment="1" applyProtection="1">
      <alignment vertical="center" wrapText="1"/>
      <protection locked="0"/>
    </xf>
    <xf numFmtId="0" fontId="24" fillId="0" borderId="14" xfId="0" applyFont="1" applyBorder="1" applyAlignment="1" applyProtection="1">
      <alignment vertical="center" wrapText="1"/>
      <protection locked="0"/>
    </xf>
    <xf numFmtId="0" fontId="24" fillId="0" borderId="12" xfId="0" applyFont="1" applyBorder="1" applyAlignment="1" applyProtection="1">
      <alignment horizontal="right" vertical="center" wrapText="1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  <xf numFmtId="40" fontId="24" fillId="0" borderId="10" xfId="0" applyNumberFormat="1" applyFont="1" applyFill="1" applyBorder="1" applyAlignment="1" applyProtection="1">
      <alignment vertical="center" wrapText="1"/>
      <protection locked="0"/>
    </xf>
    <xf numFmtId="38" fontId="24" fillId="0" borderId="10" xfId="0" applyNumberFormat="1" applyFont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3" fontId="28" fillId="0" borderId="10" xfId="0" applyNumberFormat="1" applyFont="1" applyBorder="1" applyAlignment="1" applyProtection="1">
      <alignment vertical="center" wrapText="1"/>
      <protection locked="0"/>
    </xf>
    <xf numFmtId="38" fontId="29" fillId="0" borderId="10" xfId="0" applyNumberFormat="1" applyFont="1" applyFill="1" applyBorder="1" applyAlignment="1" applyProtection="1">
      <alignment vertical="center" wrapText="1"/>
      <protection locked="0"/>
    </xf>
    <xf numFmtId="49" fontId="28" fillId="0" borderId="10" xfId="0" applyNumberFormat="1" applyFont="1" applyBorder="1" applyAlignment="1" applyProtection="1">
      <alignment vertical="center" wrapText="1"/>
      <protection locked="0"/>
    </xf>
    <xf numFmtId="3" fontId="28" fillId="0" borderId="10" xfId="0" applyNumberFormat="1" applyFont="1" applyFill="1" applyBorder="1" applyAlignment="1" applyProtection="1">
      <alignment vertical="center" wrapText="1"/>
      <protection locked="0"/>
    </xf>
    <xf numFmtId="49" fontId="28" fillId="0" borderId="10" xfId="0" applyNumberFormat="1" applyFont="1" applyFill="1" applyBorder="1" applyAlignment="1" applyProtection="1">
      <alignment vertical="center" wrapText="1"/>
      <protection locked="0"/>
    </xf>
    <xf numFmtId="0" fontId="24" fillId="0" borderId="10" xfId="0" applyFont="1" applyBorder="1" applyAlignment="1" applyProtection="1">
      <alignment horizontal="right" vertical="center" wrapText="1"/>
      <protection locked="0"/>
    </xf>
    <xf numFmtId="38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12" xfId="0" applyNumberFormat="1" applyFont="1" applyBorder="1" applyAlignment="1" applyProtection="1">
      <alignment vertical="center" wrapText="1"/>
      <protection locked="0"/>
    </xf>
    <xf numFmtId="49" fontId="28" fillId="0" borderId="12" xfId="0" applyNumberFormat="1" applyFont="1" applyBorder="1" applyAlignment="1" applyProtection="1">
      <alignment vertical="center" wrapText="1"/>
      <protection locked="0"/>
    </xf>
    <xf numFmtId="3" fontId="28" fillId="0" borderId="12" xfId="0" applyNumberFormat="1" applyFont="1" applyBorder="1" applyAlignment="1" applyProtection="1">
      <alignment horizontal="center" vertical="center" wrapText="1"/>
      <protection locked="0"/>
    </xf>
    <xf numFmtId="49" fontId="28" fillId="0" borderId="12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3" fontId="26" fillId="0" borderId="0" xfId="0" applyNumberFormat="1" applyFont="1" applyFill="1" applyBorder="1" applyAlignment="1">
      <alignment vertical="center"/>
    </xf>
    <xf numFmtId="38" fontId="26" fillId="0" borderId="0" xfId="0" applyNumberFormat="1" applyFont="1" applyFill="1" applyBorder="1" applyAlignment="1">
      <alignment vertical="center"/>
    </xf>
    <xf numFmtId="38" fontId="26" fillId="0" borderId="15" xfId="0" applyNumberFormat="1" applyFont="1" applyFill="1" applyBorder="1" applyAlignment="1">
      <alignment vertical="center"/>
    </xf>
    <xf numFmtId="38" fontId="26" fillId="0" borderId="15" xfId="0" applyNumberFormat="1" applyFont="1" applyFill="1" applyBorder="1" applyAlignment="1" applyProtection="1">
      <alignment vertical="center" wrapText="1"/>
      <protection locked="0"/>
    </xf>
    <xf numFmtId="38" fontId="26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/>
      <protection locked="0"/>
    </xf>
    <xf numFmtId="38" fontId="26" fillId="0" borderId="0" xfId="0" applyNumberFormat="1" applyFont="1" applyAlignment="1" applyProtection="1">
      <alignment vertical="center"/>
      <protection locked="0"/>
    </xf>
    <xf numFmtId="38" fontId="24" fillId="0" borderId="12" xfId="0" applyNumberFormat="1" applyFont="1" applyFill="1" applyBorder="1" applyAlignment="1" applyProtection="1">
      <alignment vertical="center" wrapText="1"/>
      <protection locked="0"/>
    </xf>
    <xf numFmtId="38" fontId="24" fillId="24" borderId="0" xfId="0" applyNumberFormat="1" applyFont="1" applyFill="1" applyAlignment="1" applyProtection="1">
      <alignment vertical="center"/>
      <protection locked="0"/>
    </xf>
    <xf numFmtId="38" fontId="24" fillId="0" borderId="0" xfId="0" applyNumberFormat="1" applyFont="1" applyAlignment="1" applyProtection="1">
      <alignment vertical="center"/>
      <protection locked="0"/>
    </xf>
    <xf numFmtId="38" fontId="24" fillId="0" borderId="10" xfId="0" applyNumberFormat="1" applyFont="1" applyBorder="1" applyAlignment="1" applyProtection="1">
      <alignment vertical="center"/>
      <protection locked="0"/>
    </xf>
    <xf numFmtId="38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38" fontId="29" fillId="0" borderId="10" xfId="0" applyNumberFormat="1" applyFont="1" applyBorder="1" applyAlignment="1" applyProtection="1">
      <alignment/>
      <protection locked="0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 applyProtection="1">
      <alignment/>
      <protection locked="0"/>
    </xf>
    <xf numFmtId="0" fontId="24" fillId="0" borderId="0" xfId="57" applyFont="1" applyAlignment="1">
      <alignment vertical="center"/>
      <protection/>
    </xf>
    <xf numFmtId="0" fontId="24" fillId="0" borderId="10" xfId="57" applyFont="1" applyFill="1" applyBorder="1" applyAlignment="1">
      <alignment vertical="center" wrapText="1"/>
      <protection/>
    </xf>
    <xf numFmtId="3" fontId="24" fillId="0" borderId="10" xfId="57" applyNumberFormat="1" applyFont="1" applyFill="1" applyBorder="1" applyAlignment="1">
      <alignment vertical="center" wrapText="1"/>
      <protection/>
    </xf>
    <xf numFmtId="0" fontId="24" fillId="0" borderId="10" xfId="57" applyFont="1" applyFill="1" applyBorder="1" applyAlignment="1">
      <alignment vertical="center"/>
      <protection/>
    </xf>
    <xf numFmtId="3" fontId="24" fillId="0" borderId="10" xfId="57" applyNumberFormat="1" applyFont="1" applyFill="1" applyBorder="1" applyAlignment="1">
      <alignment horizontal="right" vertical="center" wrapText="1"/>
      <protection/>
    </xf>
    <xf numFmtId="3" fontId="26" fillId="0" borderId="10" xfId="57" applyNumberFormat="1" applyFont="1" applyFill="1" applyBorder="1" applyAlignment="1">
      <alignment horizontal="right" vertical="center" wrapText="1"/>
      <protection/>
    </xf>
    <xf numFmtId="38" fontId="24" fillId="0" borderId="10" xfId="57" applyNumberFormat="1" applyFont="1" applyFill="1" applyBorder="1" applyAlignment="1">
      <alignment horizontal="right" vertical="center" wrapText="1"/>
      <protection/>
    </xf>
    <xf numFmtId="0" fontId="24" fillId="0" borderId="10" xfId="57" applyFont="1" applyBorder="1" applyAlignment="1">
      <alignment vertical="center"/>
      <protection/>
    </xf>
    <xf numFmtId="0" fontId="24" fillId="0" borderId="10" xfId="0" applyFont="1" applyFill="1" applyBorder="1" applyAlignment="1" applyProtection="1" quotePrefix="1">
      <alignment vertical="center" wrapText="1"/>
      <protection locked="0"/>
    </xf>
    <xf numFmtId="0" fontId="24" fillId="0" borderId="10" xfId="57" applyFont="1" applyBorder="1" applyAlignment="1">
      <alignment horizontal="right" vertical="center"/>
      <protection/>
    </xf>
    <xf numFmtId="0" fontId="24" fillId="0" borderId="10" xfId="57" applyFont="1" applyBorder="1" applyAlignment="1">
      <alignment vertical="center" wrapText="1"/>
      <protection/>
    </xf>
    <xf numFmtId="1" fontId="24" fillId="0" borderId="10" xfId="57" applyNumberFormat="1" applyFont="1" applyBorder="1" applyAlignment="1">
      <alignment vertical="center"/>
      <protection/>
    </xf>
    <xf numFmtId="0" fontId="24" fillId="0" borderId="16" xfId="0" applyFont="1" applyFill="1" applyBorder="1" applyAlignment="1" applyProtection="1">
      <alignment/>
      <protection locked="0"/>
    </xf>
    <xf numFmtId="0" fontId="24" fillId="0" borderId="17" xfId="0" applyFont="1" applyFill="1" applyBorder="1" applyAlignment="1" applyProtection="1">
      <alignment/>
      <protection locked="0"/>
    </xf>
    <xf numFmtId="38" fontId="26" fillId="0" borderId="10" xfId="0" applyNumberFormat="1" applyFont="1" applyFill="1" applyBorder="1" applyAlignment="1" applyProtection="1">
      <alignment horizontal="right" vertical="center" wrapText="1"/>
      <protection/>
    </xf>
    <xf numFmtId="3" fontId="26" fillId="0" borderId="10" xfId="0" applyNumberFormat="1" applyFont="1" applyFill="1" applyBorder="1" applyAlignment="1" applyProtection="1">
      <alignment vertical="center" wrapText="1"/>
      <protection/>
    </xf>
    <xf numFmtId="38" fontId="26" fillId="0" borderId="10" xfId="0" applyNumberFormat="1" applyFont="1" applyFill="1" applyBorder="1" applyAlignment="1" applyProtection="1">
      <alignment vertical="center" wrapText="1"/>
      <protection/>
    </xf>
    <xf numFmtId="3" fontId="26" fillId="0" borderId="10" xfId="0" applyNumberFormat="1" applyFont="1" applyFill="1" applyBorder="1" applyAlignment="1">
      <alignment vertical="center"/>
    </xf>
    <xf numFmtId="38" fontId="26" fillId="0" borderId="10" xfId="0" applyNumberFormat="1" applyFont="1" applyFill="1" applyBorder="1" applyAlignment="1">
      <alignment vertical="center"/>
    </xf>
    <xf numFmtId="38" fontId="26" fillId="0" borderId="16" xfId="0" applyNumberFormat="1" applyFont="1" applyFill="1" applyBorder="1" applyAlignment="1">
      <alignment vertical="center"/>
    </xf>
    <xf numFmtId="38" fontId="24" fillId="0" borderId="10" xfId="0" applyNumberFormat="1" applyFont="1" applyFill="1" applyBorder="1" applyAlignment="1">
      <alignment vertical="center"/>
    </xf>
    <xf numFmtId="38" fontId="26" fillId="0" borderId="10" xfId="0" applyNumberFormat="1" applyFont="1" applyFill="1" applyBorder="1" applyAlignment="1" applyProtection="1">
      <alignment vertical="center" wrapText="1"/>
      <protection locked="0"/>
    </xf>
    <xf numFmtId="0" fontId="26" fillId="0" borderId="10" xfId="0" applyFont="1" applyFill="1" applyBorder="1" applyAlignment="1" applyProtection="1">
      <alignment vertical="center"/>
      <protection locked="0"/>
    </xf>
    <xf numFmtId="38" fontId="26" fillId="0" borderId="10" xfId="0" applyNumberFormat="1" applyFont="1" applyFill="1" applyBorder="1" applyAlignment="1" applyProtection="1">
      <alignment vertical="center"/>
      <protection locked="0"/>
    </xf>
    <xf numFmtId="49" fontId="31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 wrapText="1"/>
    </xf>
    <xf numFmtId="49" fontId="26" fillId="0" borderId="10" xfId="57" applyNumberFormat="1" applyFont="1" applyFill="1" applyBorder="1" applyAlignment="1">
      <alignment horizontal="left" vertical="center" wrapText="1"/>
      <protection/>
    </xf>
    <xf numFmtId="3" fontId="26" fillId="0" borderId="10" xfId="57" applyNumberFormat="1" applyFont="1" applyFill="1" applyBorder="1" applyAlignment="1">
      <alignment vertical="center" wrapText="1"/>
      <protection/>
    </xf>
    <xf numFmtId="0" fontId="26" fillId="0" borderId="10" xfId="57" applyFont="1" applyFill="1" applyBorder="1" applyAlignment="1">
      <alignment vertical="center" wrapText="1"/>
      <protection/>
    </xf>
    <xf numFmtId="38" fontId="26" fillId="0" borderId="10" xfId="57" applyNumberFormat="1" applyFont="1" applyFill="1" applyBorder="1" applyAlignment="1">
      <alignment horizontal="right" vertical="center" wrapText="1"/>
      <protection/>
    </xf>
    <xf numFmtId="0" fontId="26" fillId="0" borderId="10" xfId="57" applyFont="1" applyFill="1" applyBorder="1" applyAlignment="1">
      <alignment horizontal="right" vertical="center"/>
      <protection/>
    </xf>
    <xf numFmtId="38" fontId="26" fillId="0" borderId="10" xfId="57" applyNumberFormat="1" applyFont="1" applyFill="1" applyBorder="1" applyAlignment="1">
      <alignment vertical="center" wrapText="1"/>
      <protection/>
    </xf>
    <xf numFmtId="0" fontId="34" fillId="0" borderId="0" xfId="0" applyFont="1" applyAlignment="1" applyProtection="1">
      <alignment vertical="center"/>
      <protection locked="0"/>
    </xf>
    <xf numFmtId="38" fontId="24" fillId="0" borderId="10" xfId="0" applyNumberFormat="1" applyFont="1" applyBorder="1" applyAlignment="1" applyProtection="1">
      <alignment horizontal="righ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4" xfId="0" applyFont="1" applyFill="1" applyBorder="1" applyAlignment="1" applyProtection="1">
      <alignment horizontal="left" vertical="center" wrapText="1"/>
      <protection/>
    </xf>
    <xf numFmtId="0" fontId="26" fillId="0" borderId="10" xfId="0" applyFont="1" applyFill="1" applyBorder="1" applyAlignment="1" applyProtection="1">
      <alignment horizontal="right" vertical="center" wrapText="1"/>
      <protection/>
    </xf>
    <xf numFmtId="0" fontId="23" fillId="0" borderId="18" xfId="0" applyFont="1" applyFill="1" applyBorder="1" applyAlignment="1">
      <alignment vertical="center"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38" fontId="24" fillId="0" borderId="16" xfId="0" applyNumberFormat="1" applyFont="1" applyFill="1" applyBorder="1" applyAlignment="1" applyProtection="1">
      <alignment horizontal="right" vertical="center" wrapText="1"/>
      <protection locked="0"/>
    </xf>
    <xf numFmtId="38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38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40" fontId="24" fillId="0" borderId="16" xfId="0" applyNumberFormat="1" applyFont="1" applyFill="1" applyBorder="1" applyAlignment="1" applyProtection="1">
      <alignment horizontal="right" vertical="center" wrapText="1"/>
      <protection locked="0"/>
    </xf>
    <xf numFmtId="40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40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9" xfId="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0" fontId="26" fillId="0" borderId="21" xfId="0" applyFont="1" applyFill="1" applyBorder="1" applyAlignment="1" applyProtection="1">
      <alignment horizontal="left" vertical="center" wrapText="1"/>
      <protection locked="0"/>
    </xf>
    <xf numFmtId="0" fontId="26" fillId="0" borderId="22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23" xfId="0" applyFont="1" applyFill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 applyProtection="1">
      <alignment horizontal="right" vertical="center" wrapTex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 locked="0"/>
    </xf>
    <xf numFmtId="0" fontId="24" fillId="0" borderId="12" xfId="0" applyFont="1" applyFill="1" applyBorder="1" applyAlignment="1" applyProtection="1">
      <alignment horizontal="left" vertical="center" wrapText="1"/>
      <protection locked="0"/>
    </xf>
    <xf numFmtId="0" fontId="26" fillId="0" borderId="16" xfId="57" applyFont="1" applyFill="1" applyBorder="1" applyAlignment="1">
      <alignment horizontal="right" vertical="center"/>
      <protection/>
    </xf>
    <xf numFmtId="0" fontId="26" fillId="0" borderId="17" xfId="57" applyFont="1" applyFill="1" applyBorder="1" applyAlignment="1">
      <alignment horizontal="right" vertical="center"/>
      <protection/>
    </xf>
    <xf numFmtId="0" fontId="26" fillId="0" borderId="12" xfId="57" applyFont="1" applyFill="1" applyBorder="1" applyAlignment="1">
      <alignment horizontal="right" vertical="center"/>
      <protection/>
    </xf>
    <xf numFmtId="0" fontId="24" fillId="0" borderId="17" xfId="0" applyFont="1" applyBorder="1" applyAlignment="1" applyProtection="1">
      <alignment horizontal="right" vertical="center" wrapText="1"/>
      <protection locked="0"/>
    </xf>
    <xf numFmtId="0" fontId="24" fillId="0" borderId="16" xfId="0" applyFont="1" applyBorder="1" applyAlignment="1" applyProtection="1">
      <alignment horizontal="left" vertical="center" wrapText="1"/>
      <protection locked="0"/>
    </xf>
    <xf numFmtId="0" fontId="24" fillId="0" borderId="12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3" fontId="24" fillId="0" borderId="16" xfId="0" applyNumberFormat="1" applyFont="1" applyBorder="1" applyAlignment="1" applyProtection="1">
      <alignment horizontal="center" vertical="center" wrapText="1"/>
      <protection locked="0"/>
    </xf>
    <xf numFmtId="3" fontId="24" fillId="0" borderId="17" xfId="0" applyNumberFormat="1" applyFont="1" applyBorder="1" applyAlignment="1" applyProtection="1">
      <alignment horizontal="center" vertical="center" wrapText="1"/>
      <protection locked="0"/>
    </xf>
    <xf numFmtId="3" fontId="24" fillId="0" borderId="12" xfId="0" applyNumberFormat="1" applyFont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3" fontId="24" fillId="0" borderId="16" xfId="0" applyNumberFormat="1" applyFont="1" applyBorder="1" applyAlignment="1" applyProtection="1">
      <alignment horizontal="right" vertical="center" wrapText="1"/>
      <protection locked="0"/>
    </xf>
    <xf numFmtId="3" fontId="24" fillId="0" borderId="17" xfId="0" applyNumberFormat="1" applyFont="1" applyBorder="1" applyAlignment="1" applyProtection="1">
      <alignment horizontal="right" vertical="center" wrapText="1"/>
      <protection locked="0"/>
    </xf>
    <xf numFmtId="3" fontId="24" fillId="0" borderId="12" xfId="0" applyNumberFormat="1" applyFont="1" applyBorder="1" applyAlignment="1" applyProtection="1">
      <alignment horizontal="right" vertical="center" wrapText="1"/>
      <protection locked="0"/>
    </xf>
    <xf numFmtId="38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24" fillId="0" borderId="10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right" vertical="center" wrapText="1"/>
      <protection locked="0"/>
    </xf>
    <xf numFmtId="3" fontId="24" fillId="0" borderId="10" xfId="0" applyNumberFormat="1" applyFont="1" applyBorder="1" applyAlignment="1" applyProtection="1">
      <alignment horizontal="right" vertical="center" wrapTex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3" fontId="28" fillId="0" borderId="16" xfId="0" applyNumberFormat="1" applyFont="1" applyBorder="1" applyAlignment="1" applyProtection="1">
      <alignment horizontal="center" vertical="center" wrapText="1"/>
      <protection locked="0"/>
    </xf>
    <xf numFmtId="3" fontId="28" fillId="0" borderId="17" xfId="0" applyNumberFormat="1" applyFont="1" applyBorder="1" applyAlignment="1" applyProtection="1">
      <alignment horizontal="center" vertical="center" wrapText="1"/>
      <protection locked="0"/>
    </xf>
    <xf numFmtId="3" fontId="28" fillId="0" borderId="12" xfId="0" applyNumberFormat="1" applyFont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 locked="0"/>
    </xf>
    <xf numFmtId="38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38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38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38" fontId="24" fillId="0" borderId="10" xfId="0" applyNumberFormat="1" applyFont="1" applyBorder="1" applyAlignment="1" applyProtection="1">
      <alignment horizontal="right" vertical="center"/>
      <protection locked="0"/>
    </xf>
    <xf numFmtId="3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right" vertical="center"/>
      <protection locked="0"/>
    </xf>
    <xf numFmtId="0" fontId="26" fillId="0" borderId="18" xfId="0" applyFont="1" applyFill="1" applyBorder="1" applyAlignment="1" applyProtection="1">
      <alignment horizontal="right" vertical="center"/>
      <protection locked="0"/>
    </xf>
    <xf numFmtId="3" fontId="2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16" xfId="0" applyNumberFormat="1" applyFont="1" applyBorder="1" applyAlignment="1" applyProtection="1">
      <alignment horizontal="center" vertical="center" wrapText="1"/>
      <protection locked="0"/>
    </xf>
    <xf numFmtId="49" fontId="28" fillId="0" borderId="17" xfId="0" applyNumberFormat="1" applyFont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Border="1" applyAlignment="1" applyProtection="1">
      <alignment horizontal="center" vertical="center" wrapText="1"/>
      <protection locked="0"/>
    </xf>
    <xf numFmtId="49" fontId="28" fillId="0" borderId="12" xfId="0" applyNumberFormat="1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right" vertical="center"/>
      <protection locked="0"/>
    </xf>
    <xf numFmtId="0" fontId="24" fillId="0" borderId="12" xfId="0" applyFont="1" applyBorder="1" applyAlignment="1" applyProtection="1">
      <alignment horizontal="righ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ielik_nastj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6"/>
  <sheetViews>
    <sheetView tabSelected="1" zoomScaleSheetLayoutView="70" workbookViewId="0" topLeftCell="A4">
      <selection activeCell="U10" sqref="U10"/>
    </sheetView>
  </sheetViews>
  <sheetFormatPr defaultColWidth="9.140625" defaultRowHeight="12.75"/>
  <cols>
    <col min="1" max="1" width="2.7109375" style="2" customWidth="1"/>
    <col min="2" max="2" width="33.421875" style="2" bestFit="1" customWidth="1"/>
    <col min="3" max="3" width="4.8515625" style="2" bestFit="1" customWidth="1"/>
    <col min="4" max="4" width="7.421875" style="2" customWidth="1"/>
    <col min="5" max="6" width="4.8515625" style="2" hidden="1" customWidth="1"/>
    <col min="7" max="10" width="5.7109375" style="2" hidden="1" customWidth="1"/>
    <col min="11" max="11" width="4.8515625" style="2" hidden="1" customWidth="1"/>
    <col min="12" max="12" width="3.8515625" style="2" hidden="1" customWidth="1"/>
    <col min="13" max="13" width="2.8515625" style="2" hidden="1" customWidth="1"/>
    <col min="14" max="14" width="2.28125" style="2" hidden="1" customWidth="1"/>
    <col min="15" max="15" width="2.8515625" style="2" hidden="1" customWidth="1"/>
    <col min="16" max="16" width="3.421875" style="2" hidden="1" customWidth="1"/>
    <col min="17" max="17" width="6.00390625" style="2" bestFit="1" customWidth="1"/>
    <col min="18" max="18" width="7.7109375" style="2" customWidth="1"/>
    <col min="19" max="19" width="6.421875" style="2" customWidth="1"/>
    <col min="20" max="20" width="7.8515625" style="2" bestFit="1" customWidth="1"/>
    <col min="21" max="21" width="15.00390625" style="2" customWidth="1"/>
    <col min="22" max="16384" width="9.140625" style="2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90" t="s">
        <v>133</v>
      </c>
    </row>
    <row r="2" spans="1:21" ht="11.25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1.25">
      <c r="A4" s="4" t="s">
        <v>129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1.25">
      <c r="A5" s="1"/>
      <c r="B5" s="1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5"/>
    </row>
    <row r="6" spans="1:21" ht="11.25">
      <c r="A6" s="1" t="s">
        <v>130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6.5" customHeight="1">
      <c r="A7" s="1" t="s">
        <v>1</v>
      </c>
      <c r="B7" s="1"/>
      <c r="C7" s="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6"/>
    </row>
    <row r="8" spans="1:21" ht="11.25">
      <c r="A8" s="98" t="s">
        <v>2</v>
      </c>
      <c r="B8" s="98" t="s">
        <v>3</v>
      </c>
      <c r="C8" s="128" t="s">
        <v>4</v>
      </c>
      <c r="D8" s="98" t="s">
        <v>5</v>
      </c>
      <c r="E8" s="130" t="s">
        <v>6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2"/>
      <c r="S8" s="96" t="s">
        <v>7</v>
      </c>
      <c r="T8" s="96" t="s">
        <v>8</v>
      </c>
      <c r="U8" s="98" t="s">
        <v>131</v>
      </c>
    </row>
    <row r="9" spans="1:21" ht="38.25" customHeight="1">
      <c r="A9" s="98"/>
      <c r="B9" s="98"/>
      <c r="C9" s="129"/>
      <c r="D9" s="98"/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7" t="s">
        <v>16</v>
      </c>
      <c r="M9" s="7" t="s">
        <v>17</v>
      </c>
      <c r="N9" s="7" t="s">
        <v>18</v>
      </c>
      <c r="O9" s="7" t="s">
        <v>19</v>
      </c>
      <c r="P9" s="7" t="s">
        <v>20</v>
      </c>
      <c r="Q9" s="7" t="s">
        <v>21</v>
      </c>
      <c r="R9" s="7" t="s">
        <v>22</v>
      </c>
      <c r="S9" s="127"/>
      <c r="T9" s="127"/>
      <c r="U9" s="98"/>
    </row>
    <row r="10" spans="1:21" ht="38.25" customHeight="1">
      <c r="A10" s="7"/>
      <c r="B10" s="7" t="s">
        <v>132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91">
        <f>U11+U137+U150+U159</f>
        <v>-36045</v>
      </c>
    </row>
    <row r="11" spans="1:21" ht="11.25">
      <c r="A11" s="94" t="s">
        <v>23</v>
      </c>
      <c r="B11" s="94"/>
      <c r="C11" s="70"/>
      <c r="D11" s="70">
        <f aca="true" t="shared" si="0" ref="D11:T11">SUM(D12,D15,D26,D34,D37,D41,D43,D50,D59:D62,D108,D111,D121,D123)</f>
        <v>146550.4</v>
      </c>
      <c r="E11" s="70">
        <f t="shared" si="0"/>
        <v>236</v>
      </c>
      <c r="F11" s="70">
        <f t="shared" si="0"/>
        <v>855.1400000000001</v>
      </c>
      <c r="G11" s="70">
        <f t="shared" si="0"/>
        <v>25092.559999999998</v>
      </c>
      <c r="H11" s="70">
        <f t="shared" si="0"/>
        <v>7442.679999999999</v>
      </c>
      <c r="I11" s="70">
        <f t="shared" si="0"/>
        <v>13022.099999999997</v>
      </c>
      <c r="J11" s="70">
        <f t="shared" si="0"/>
        <v>7233.879999999999</v>
      </c>
      <c r="K11" s="70">
        <f t="shared" si="0"/>
        <v>8198.42</v>
      </c>
      <c r="L11" s="70">
        <f t="shared" si="0"/>
        <v>0</v>
      </c>
      <c r="M11" s="70">
        <f t="shared" si="0"/>
        <v>0</v>
      </c>
      <c r="N11" s="70">
        <f t="shared" si="0"/>
        <v>0</v>
      </c>
      <c r="O11" s="70">
        <f t="shared" si="0"/>
        <v>0</v>
      </c>
      <c r="P11" s="70">
        <f t="shared" si="0"/>
        <v>0</v>
      </c>
      <c r="Q11" s="70">
        <f t="shared" si="0"/>
        <v>62080.78</v>
      </c>
      <c r="R11" s="70">
        <f t="shared" si="0"/>
        <v>28055.64</v>
      </c>
      <c r="S11" s="70">
        <f t="shared" si="0"/>
        <v>84469.62000000001</v>
      </c>
      <c r="T11" s="70">
        <f t="shared" si="0"/>
        <v>56413.979999999996</v>
      </c>
      <c r="U11" s="70">
        <f>SUM(U12,U15,U26,U34,U37,U41,U43,U50,U59:U63,U108,U111,U121,U123)</f>
        <v>-24244</v>
      </c>
    </row>
    <row r="12" spans="1:21" ht="12.75" customHeight="1">
      <c r="A12" s="92" t="s">
        <v>24</v>
      </c>
      <c r="B12" s="93"/>
      <c r="C12" s="71">
        <v>2239</v>
      </c>
      <c r="D12" s="72">
        <f>SUM(D13:D14)</f>
        <v>3200</v>
      </c>
      <c r="E12" s="72">
        <f aca="true" t="shared" si="1" ref="E12:U12">SUM(E13:E14)</f>
        <v>0</v>
      </c>
      <c r="F12" s="72">
        <f t="shared" si="1"/>
        <v>0</v>
      </c>
      <c r="G12" s="72">
        <f>SUM(G13:G14)</f>
        <v>0</v>
      </c>
      <c r="H12" s="72">
        <f t="shared" si="1"/>
        <v>0</v>
      </c>
      <c r="I12" s="72">
        <f t="shared" si="1"/>
        <v>0</v>
      </c>
      <c r="J12" s="72">
        <f t="shared" si="1"/>
        <v>0</v>
      </c>
      <c r="K12" s="72">
        <f t="shared" si="1"/>
        <v>0</v>
      </c>
      <c r="L12" s="72">
        <f t="shared" si="1"/>
        <v>0</v>
      </c>
      <c r="M12" s="72">
        <f t="shared" si="1"/>
        <v>0</v>
      </c>
      <c r="N12" s="72">
        <f t="shared" si="1"/>
        <v>0</v>
      </c>
      <c r="O12" s="72">
        <f t="shared" si="1"/>
        <v>0</v>
      </c>
      <c r="P12" s="72">
        <f t="shared" si="1"/>
        <v>0</v>
      </c>
      <c r="Q12" s="72">
        <f t="shared" si="1"/>
        <v>0</v>
      </c>
      <c r="R12" s="72">
        <f t="shared" si="1"/>
        <v>0</v>
      </c>
      <c r="S12" s="72">
        <f t="shared" si="1"/>
        <v>3200</v>
      </c>
      <c r="T12" s="72">
        <f t="shared" si="1"/>
        <v>3200</v>
      </c>
      <c r="U12" s="72">
        <f t="shared" si="1"/>
        <v>0</v>
      </c>
    </row>
    <row r="13" spans="1:21" ht="33.75">
      <c r="A13" s="10">
        <v>1</v>
      </c>
      <c r="B13" s="10" t="s">
        <v>25</v>
      </c>
      <c r="C13" s="11"/>
      <c r="D13" s="12">
        <v>3200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>SUM(E13:P13)</f>
        <v>0</v>
      </c>
      <c r="R13" s="12"/>
      <c r="S13" s="12">
        <f>D13-Q13</f>
        <v>3200</v>
      </c>
      <c r="T13" s="12">
        <f>S13-R13</f>
        <v>3200</v>
      </c>
      <c r="U13" s="11"/>
    </row>
    <row r="14" spans="1:21" ht="11.25" hidden="1">
      <c r="A14" s="13"/>
      <c r="B14" s="14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1"/>
    </row>
    <row r="15" spans="1:21" ht="12.75" customHeight="1">
      <c r="A15" s="126" t="s">
        <v>26</v>
      </c>
      <c r="B15" s="97"/>
      <c r="C15" s="73">
        <v>2239</v>
      </c>
      <c r="D15" s="74">
        <f>SUM(D16:D25)</f>
        <v>33062.4</v>
      </c>
      <c r="E15" s="74">
        <f aca="true" t="shared" si="2" ref="E15:U15">SUM(E16:E25)</f>
        <v>236</v>
      </c>
      <c r="F15" s="74">
        <f t="shared" si="2"/>
        <v>0</v>
      </c>
      <c r="G15" s="74">
        <f t="shared" si="2"/>
        <v>423.5</v>
      </c>
      <c r="H15" s="74">
        <f t="shared" si="2"/>
        <v>0</v>
      </c>
      <c r="I15" s="74">
        <f t="shared" si="2"/>
        <v>4620.23</v>
      </c>
      <c r="J15" s="74">
        <f t="shared" si="2"/>
        <v>7006.19</v>
      </c>
      <c r="K15" s="74">
        <f t="shared" si="2"/>
        <v>642.2</v>
      </c>
      <c r="L15" s="74">
        <f t="shared" si="2"/>
        <v>0</v>
      </c>
      <c r="M15" s="74">
        <f t="shared" si="2"/>
        <v>0</v>
      </c>
      <c r="N15" s="74">
        <f t="shared" si="2"/>
        <v>0</v>
      </c>
      <c r="O15" s="74">
        <f t="shared" si="2"/>
        <v>0</v>
      </c>
      <c r="P15" s="74">
        <f t="shared" si="2"/>
        <v>0</v>
      </c>
      <c r="Q15" s="74">
        <f t="shared" si="2"/>
        <v>12928.119999999999</v>
      </c>
      <c r="R15" s="74">
        <f t="shared" si="2"/>
        <v>17799.989999999998</v>
      </c>
      <c r="S15" s="74">
        <f t="shared" si="2"/>
        <v>20134.280000000002</v>
      </c>
      <c r="T15" s="74">
        <f t="shared" si="2"/>
        <v>2334.2900000000013</v>
      </c>
      <c r="U15" s="74">
        <f t="shared" si="2"/>
        <v>5000</v>
      </c>
    </row>
    <row r="16" spans="1:21" ht="11.25">
      <c r="A16" s="112">
        <v>1</v>
      </c>
      <c r="B16" s="120" t="s">
        <v>27</v>
      </c>
      <c r="C16" s="123"/>
      <c r="D16" s="100">
        <v>9400</v>
      </c>
      <c r="E16" s="12">
        <f>236</f>
        <v>236</v>
      </c>
      <c r="F16" s="12"/>
      <c r="G16" s="12">
        <f>423.5</f>
        <v>423.5</v>
      </c>
      <c r="H16" s="12"/>
      <c r="I16" s="12"/>
      <c r="J16" s="12">
        <f>302.5</f>
        <v>302.5</v>
      </c>
      <c r="K16" s="12">
        <f>387.2+255</f>
        <v>642.2</v>
      </c>
      <c r="L16" s="12"/>
      <c r="M16" s="12"/>
      <c r="N16" s="12"/>
      <c r="O16" s="12"/>
      <c r="P16" s="12"/>
      <c r="Q16" s="100">
        <f>SUM(E16:P17)</f>
        <v>6770.9</v>
      </c>
      <c r="R16" s="12"/>
      <c r="S16" s="100">
        <f>D16-Q16</f>
        <v>2629.1000000000004</v>
      </c>
      <c r="T16" s="100">
        <f>S16-SUM(R16:R17)</f>
        <v>414.8000000000002</v>
      </c>
      <c r="U16" s="133">
        <v>-400</v>
      </c>
    </row>
    <row r="17" spans="1:21" ht="11.25">
      <c r="A17" s="113"/>
      <c r="B17" s="121"/>
      <c r="C17" s="125"/>
      <c r="D17" s="102"/>
      <c r="E17" s="12"/>
      <c r="F17" s="12"/>
      <c r="G17" s="12"/>
      <c r="H17" s="12"/>
      <c r="I17" s="12"/>
      <c r="J17" s="12">
        <f>5166.7</f>
        <v>5166.7</v>
      </c>
      <c r="K17" s="12"/>
      <c r="L17" s="12"/>
      <c r="M17" s="12"/>
      <c r="N17" s="12"/>
      <c r="O17" s="12"/>
      <c r="P17" s="12"/>
      <c r="Q17" s="102"/>
      <c r="R17" s="12">
        <f>7381-SUM(E17:P17)</f>
        <v>2214.3</v>
      </c>
      <c r="S17" s="102"/>
      <c r="T17" s="102"/>
      <c r="U17" s="135"/>
    </row>
    <row r="18" spans="1:21" ht="11.25">
      <c r="A18" s="10">
        <v>2</v>
      </c>
      <c r="B18" s="10" t="s">
        <v>28</v>
      </c>
      <c r="C18" s="11"/>
      <c r="D18" s="12"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>
        <f>SUM(E18:P18)</f>
        <v>0</v>
      </c>
      <c r="R18" s="12"/>
      <c r="S18" s="12">
        <f>D18-Q18</f>
        <v>0</v>
      </c>
      <c r="T18" s="12">
        <f>S18-R18</f>
        <v>0</v>
      </c>
      <c r="U18" s="11"/>
    </row>
    <row r="19" spans="1:21" ht="12.75" customHeight="1">
      <c r="A19" s="10">
        <v>3</v>
      </c>
      <c r="B19" s="10" t="s">
        <v>29</v>
      </c>
      <c r="C19" s="11"/>
      <c r="D19" s="12"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>SUM(E19:P19)</f>
        <v>0</v>
      </c>
      <c r="R19" s="12"/>
      <c r="S19" s="12">
        <f>D19-Q19</f>
        <v>0</v>
      </c>
      <c r="T19" s="12">
        <f>S19-R19</f>
        <v>0</v>
      </c>
      <c r="U19" s="11"/>
    </row>
    <row r="20" spans="1:21" ht="11.25">
      <c r="A20" s="112">
        <v>4</v>
      </c>
      <c r="B20" s="120" t="s">
        <v>30</v>
      </c>
      <c r="C20" s="133"/>
      <c r="D20" s="100">
        <v>11500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00">
        <f>SUM(E20:P23)</f>
        <v>0</v>
      </c>
      <c r="R20" s="12">
        <f>253.63-SUM(E20:P20)</f>
        <v>253.63</v>
      </c>
      <c r="S20" s="100">
        <f>D20-Q20</f>
        <v>11500</v>
      </c>
      <c r="T20" s="103">
        <f>S20-SUM(R20:R23)</f>
        <v>182.3700000000008</v>
      </c>
      <c r="U20" s="133">
        <f>-2000-900</f>
        <v>-2900</v>
      </c>
    </row>
    <row r="21" spans="1:21" ht="11.25">
      <c r="A21" s="119"/>
      <c r="B21" s="122"/>
      <c r="C21" s="134"/>
      <c r="D21" s="10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01"/>
      <c r="R21" s="12"/>
      <c r="S21" s="101"/>
      <c r="T21" s="104"/>
      <c r="U21" s="134"/>
    </row>
    <row r="22" spans="1:21" ht="11.25">
      <c r="A22" s="119"/>
      <c r="B22" s="122"/>
      <c r="C22" s="134"/>
      <c r="D22" s="10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01"/>
      <c r="R22" s="12">
        <f>11064-SUM(E22:P22)</f>
        <v>11064</v>
      </c>
      <c r="S22" s="101"/>
      <c r="T22" s="104"/>
      <c r="U22" s="134"/>
    </row>
    <row r="23" spans="1:21" ht="11.25">
      <c r="A23" s="113"/>
      <c r="B23" s="121"/>
      <c r="C23" s="135"/>
      <c r="D23" s="10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02"/>
      <c r="R23" s="12"/>
      <c r="S23" s="102"/>
      <c r="T23" s="105"/>
      <c r="U23" s="135"/>
    </row>
    <row r="24" spans="1:21" ht="22.5">
      <c r="A24" s="10">
        <v>5</v>
      </c>
      <c r="B24" s="16" t="s">
        <v>31</v>
      </c>
      <c r="C24" s="11"/>
      <c r="D24" s="12">
        <v>9262.4</v>
      </c>
      <c r="E24" s="12"/>
      <c r="F24" s="12"/>
      <c r="G24" s="12"/>
      <c r="H24" s="12"/>
      <c r="I24" s="12">
        <f>2467.48+355.98+664.29</f>
        <v>3487.75</v>
      </c>
      <c r="J24" s="12">
        <f>1536.99</f>
        <v>1536.99</v>
      </c>
      <c r="K24" s="12"/>
      <c r="L24" s="12"/>
      <c r="M24" s="12"/>
      <c r="N24" s="12"/>
      <c r="O24" s="12"/>
      <c r="P24" s="12"/>
      <c r="Q24" s="12">
        <f>SUM(E24:P24)</f>
        <v>5024.74</v>
      </c>
      <c r="R24" s="12">
        <f>9292.8-SUM(E24:P24)</f>
        <v>4268.0599999999995</v>
      </c>
      <c r="S24" s="12">
        <f>D24-Q24</f>
        <v>4237.66</v>
      </c>
      <c r="T24" s="17">
        <f>S24-R24</f>
        <v>-30.399999999999636</v>
      </c>
      <c r="U24" s="11">
        <f>-500+9800</f>
        <v>9300</v>
      </c>
    </row>
    <row r="25" spans="1:21" ht="22.5">
      <c r="A25" s="10">
        <v>6</v>
      </c>
      <c r="B25" s="16" t="s">
        <v>32</v>
      </c>
      <c r="C25" s="11"/>
      <c r="D25" s="12">
        <v>2900</v>
      </c>
      <c r="E25" s="12"/>
      <c r="F25" s="12"/>
      <c r="G25" s="12"/>
      <c r="H25" s="12"/>
      <c r="I25" s="12">
        <f>306.29+286.66+539.53</f>
        <v>1132.48</v>
      </c>
      <c r="J25" s="12"/>
      <c r="K25" s="12"/>
      <c r="L25" s="12"/>
      <c r="M25" s="12"/>
      <c r="N25" s="12"/>
      <c r="O25" s="12"/>
      <c r="P25" s="12"/>
      <c r="Q25" s="12">
        <f>SUM(E25:P25)</f>
        <v>1132.48</v>
      </c>
      <c r="R25" s="12"/>
      <c r="S25" s="12">
        <f>D25-Q25</f>
        <v>1767.52</v>
      </c>
      <c r="T25" s="12">
        <f>S25-R25</f>
        <v>1767.52</v>
      </c>
      <c r="U25" s="11">
        <v>-1000</v>
      </c>
    </row>
    <row r="26" spans="1:21" ht="12.75" customHeight="1">
      <c r="A26" s="126" t="s">
        <v>33</v>
      </c>
      <c r="B26" s="95"/>
      <c r="C26" s="73">
        <v>2213</v>
      </c>
      <c r="D26" s="74">
        <f>SUM(D27:D33)</f>
        <v>9645</v>
      </c>
      <c r="E26" s="74">
        <f aca="true" t="shared" si="3" ref="E26:U26">SUM(E27:E33)</f>
        <v>0</v>
      </c>
      <c r="F26" s="74">
        <f t="shared" si="3"/>
        <v>0</v>
      </c>
      <c r="G26" s="74">
        <f t="shared" si="3"/>
        <v>1173.7</v>
      </c>
      <c r="H26" s="74">
        <f t="shared" si="3"/>
        <v>145.2</v>
      </c>
      <c r="I26" s="74">
        <f t="shared" si="3"/>
        <v>0</v>
      </c>
      <c r="J26" s="74">
        <f t="shared" si="3"/>
        <v>120</v>
      </c>
      <c r="K26" s="74">
        <f t="shared" si="3"/>
        <v>0</v>
      </c>
      <c r="L26" s="74">
        <f t="shared" si="3"/>
        <v>0</v>
      </c>
      <c r="M26" s="74">
        <f t="shared" si="3"/>
        <v>0</v>
      </c>
      <c r="N26" s="74">
        <f t="shared" si="3"/>
        <v>0</v>
      </c>
      <c r="O26" s="74">
        <f t="shared" si="3"/>
        <v>0</v>
      </c>
      <c r="P26" s="74">
        <f t="shared" si="3"/>
        <v>0</v>
      </c>
      <c r="Q26" s="74">
        <f t="shared" si="3"/>
        <v>1438.9</v>
      </c>
      <c r="R26" s="74">
        <f t="shared" si="3"/>
        <v>0</v>
      </c>
      <c r="S26" s="74">
        <f t="shared" si="3"/>
        <v>8206.1</v>
      </c>
      <c r="T26" s="74">
        <f t="shared" si="3"/>
        <v>8206.1</v>
      </c>
      <c r="U26" s="74">
        <f t="shared" si="3"/>
        <v>0</v>
      </c>
    </row>
    <row r="27" spans="1:21" ht="11.25">
      <c r="A27" s="112">
        <v>1</v>
      </c>
      <c r="B27" s="120" t="s">
        <v>34</v>
      </c>
      <c r="C27" s="123"/>
      <c r="D27" s="100">
        <v>5080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00">
        <f>SUM(E27:P29)</f>
        <v>145.2</v>
      </c>
      <c r="R27" s="12"/>
      <c r="S27" s="100">
        <f>D27-Q27</f>
        <v>4934.8</v>
      </c>
      <c r="T27" s="100">
        <f>S27-SUM(R27:R29)</f>
        <v>4934.8</v>
      </c>
      <c r="U27" s="123"/>
    </row>
    <row r="28" spans="1:21" ht="11.25" customHeight="1">
      <c r="A28" s="119"/>
      <c r="B28" s="122"/>
      <c r="C28" s="124"/>
      <c r="D28" s="101"/>
      <c r="E28" s="12"/>
      <c r="F28" s="12"/>
      <c r="G28" s="12"/>
      <c r="H28" s="12">
        <f>145.2</f>
        <v>145.2</v>
      </c>
      <c r="I28" s="12"/>
      <c r="J28" s="12"/>
      <c r="K28" s="12"/>
      <c r="L28" s="12"/>
      <c r="M28" s="12"/>
      <c r="N28" s="12"/>
      <c r="O28" s="12"/>
      <c r="P28" s="12"/>
      <c r="Q28" s="101"/>
      <c r="R28" s="12"/>
      <c r="S28" s="101"/>
      <c r="T28" s="101"/>
      <c r="U28" s="124"/>
    </row>
    <row r="29" spans="1:21" ht="11.25" hidden="1">
      <c r="A29" s="113"/>
      <c r="B29" s="121"/>
      <c r="C29" s="125"/>
      <c r="D29" s="10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02"/>
      <c r="R29" s="12"/>
      <c r="S29" s="102"/>
      <c r="T29" s="102"/>
      <c r="U29" s="125"/>
    </row>
    <row r="30" spans="1:21" ht="11.25">
      <c r="A30" s="112">
        <v>2</v>
      </c>
      <c r="B30" s="120" t="s">
        <v>35</v>
      </c>
      <c r="C30" s="123"/>
      <c r="D30" s="100">
        <v>4365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00">
        <f>SUM(E30:P32)</f>
        <v>1173.7</v>
      </c>
      <c r="R30" s="12"/>
      <c r="S30" s="100">
        <f>D30-Q30</f>
        <v>3191.3</v>
      </c>
      <c r="T30" s="100">
        <f>S30-SUM(R30:R32)</f>
        <v>3191.3</v>
      </c>
      <c r="U30" s="123"/>
    </row>
    <row r="31" spans="1:21" ht="11.25">
      <c r="A31" s="119"/>
      <c r="B31" s="122"/>
      <c r="C31" s="124"/>
      <c r="D31" s="101"/>
      <c r="E31" s="12"/>
      <c r="F31" s="12"/>
      <c r="G31" s="12">
        <v>1173.7</v>
      </c>
      <c r="H31" s="12"/>
      <c r="I31" s="12"/>
      <c r="J31" s="12"/>
      <c r="K31" s="12"/>
      <c r="L31" s="12"/>
      <c r="M31" s="12"/>
      <c r="N31" s="12"/>
      <c r="O31" s="12"/>
      <c r="P31" s="12"/>
      <c r="Q31" s="101"/>
      <c r="R31" s="12"/>
      <c r="S31" s="101"/>
      <c r="T31" s="101"/>
      <c r="U31" s="124"/>
    </row>
    <row r="32" spans="1:21" ht="11.25" hidden="1">
      <c r="A32" s="113"/>
      <c r="B32" s="121"/>
      <c r="C32" s="125"/>
      <c r="D32" s="10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02"/>
      <c r="R32" s="12"/>
      <c r="S32" s="102"/>
      <c r="T32" s="102"/>
      <c r="U32" s="125"/>
    </row>
    <row r="33" spans="1:21" ht="11.25">
      <c r="A33" s="10">
        <v>3</v>
      </c>
      <c r="B33" s="10" t="s">
        <v>36</v>
      </c>
      <c r="C33" s="11"/>
      <c r="D33" s="18">
        <v>200</v>
      </c>
      <c r="E33" s="18"/>
      <c r="F33" s="18"/>
      <c r="G33" s="18"/>
      <c r="H33" s="18"/>
      <c r="I33" s="18"/>
      <c r="J33" s="18">
        <f>120</f>
        <v>120</v>
      </c>
      <c r="K33" s="18"/>
      <c r="L33" s="18"/>
      <c r="M33" s="18"/>
      <c r="N33" s="18"/>
      <c r="O33" s="18"/>
      <c r="P33" s="18"/>
      <c r="Q33" s="12">
        <f>SUM(E33:P33)</f>
        <v>120</v>
      </c>
      <c r="R33" s="12"/>
      <c r="S33" s="12">
        <f>D33-Q33</f>
        <v>80</v>
      </c>
      <c r="T33" s="12">
        <f>S33-R33</f>
        <v>80</v>
      </c>
      <c r="U33" s="11"/>
    </row>
    <row r="34" spans="1:21" ht="12.75" customHeight="1">
      <c r="A34" s="99" t="s">
        <v>37</v>
      </c>
      <c r="B34" s="99"/>
      <c r="C34" s="73">
        <v>2239</v>
      </c>
      <c r="D34" s="74">
        <f>SUM(D35:D36)</f>
        <v>6700</v>
      </c>
      <c r="E34" s="74">
        <f aca="true" t="shared" si="4" ref="E34:U34">SUM(E35:E36)</f>
        <v>0</v>
      </c>
      <c r="F34" s="74">
        <f t="shared" si="4"/>
        <v>37.2</v>
      </c>
      <c r="G34" s="74">
        <f t="shared" si="4"/>
        <v>0</v>
      </c>
      <c r="H34" s="74">
        <f t="shared" si="4"/>
        <v>61.81</v>
      </c>
      <c r="I34" s="74">
        <f t="shared" si="4"/>
        <v>356.71000000000004</v>
      </c>
      <c r="J34" s="74">
        <f t="shared" si="4"/>
        <v>0</v>
      </c>
      <c r="K34" s="74">
        <f t="shared" si="4"/>
        <v>0</v>
      </c>
      <c r="L34" s="74">
        <f t="shared" si="4"/>
        <v>0</v>
      </c>
      <c r="M34" s="74">
        <f t="shared" si="4"/>
        <v>0</v>
      </c>
      <c r="N34" s="74">
        <f t="shared" si="4"/>
        <v>0</v>
      </c>
      <c r="O34" s="74">
        <f t="shared" si="4"/>
        <v>0</v>
      </c>
      <c r="P34" s="74">
        <f t="shared" si="4"/>
        <v>0</v>
      </c>
      <c r="Q34" s="74">
        <f t="shared" si="4"/>
        <v>455.72</v>
      </c>
      <c r="R34" s="74">
        <f t="shared" si="4"/>
        <v>0</v>
      </c>
      <c r="S34" s="74">
        <f t="shared" si="4"/>
        <v>6244.28</v>
      </c>
      <c r="T34" s="74">
        <f t="shared" si="4"/>
        <v>6244.28</v>
      </c>
      <c r="U34" s="74">
        <f t="shared" si="4"/>
        <v>-2843</v>
      </c>
    </row>
    <row r="35" spans="1:21" ht="11.25">
      <c r="A35" s="10">
        <v>1</v>
      </c>
      <c r="B35" s="10" t="s">
        <v>38</v>
      </c>
      <c r="C35" s="11"/>
      <c r="D35" s="18">
        <v>6000</v>
      </c>
      <c r="E35" s="18"/>
      <c r="F35" s="18">
        <f>37.2</f>
        <v>37.2</v>
      </c>
      <c r="G35" s="18"/>
      <c r="H35" s="18">
        <f>61.81</f>
        <v>61.81</v>
      </c>
      <c r="I35" s="18"/>
      <c r="J35" s="18"/>
      <c r="K35" s="18"/>
      <c r="L35" s="18"/>
      <c r="M35" s="18"/>
      <c r="N35" s="18"/>
      <c r="O35" s="18"/>
      <c r="P35" s="18"/>
      <c r="Q35" s="12">
        <f>SUM(E35:P35)</f>
        <v>99.01</v>
      </c>
      <c r="R35" s="12"/>
      <c r="S35" s="12">
        <f>D35-Q35</f>
        <v>5900.99</v>
      </c>
      <c r="T35" s="12">
        <f>S35-R35</f>
        <v>5900.99</v>
      </c>
      <c r="U35" s="11">
        <f>-2000-500</f>
        <v>-2500</v>
      </c>
    </row>
    <row r="36" spans="1:21" ht="11.25">
      <c r="A36" s="10">
        <v>2</v>
      </c>
      <c r="B36" s="10" t="s">
        <v>39</v>
      </c>
      <c r="C36" s="11"/>
      <c r="D36" s="18">
        <v>700</v>
      </c>
      <c r="E36" s="18"/>
      <c r="F36" s="18"/>
      <c r="G36" s="18"/>
      <c r="H36" s="18"/>
      <c r="I36" s="18">
        <f>66.31+72.6+72.6+72.6+72.6</f>
        <v>356.71000000000004</v>
      </c>
      <c r="J36" s="18"/>
      <c r="K36" s="18"/>
      <c r="L36" s="18"/>
      <c r="M36" s="18"/>
      <c r="N36" s="18"/>
      <c r="O36" s="18"/>
      <c r="P36" s="18"/>
      <c r="Q36" s="12">
        <f>SUM(E36:P36)</f>
        <v>356.71000000000004</v>
      </c>
      <c r="R36" s="12"/>
      <c r="S36" s="12">
        <f>D36-Q36</f>
        <v>343.28999999999996</v>
      </c>
      <c r="T36" s="12">
        <f>S36-R36</f>
        <v>343.28999999999996</v>
      </c>
      <c r="U36" s="11">
        <v>-343</v>
      </c>
    </row>
    <row r="37" spans="1:21" ht="12.75" customHeight="1">
      <c r="A37" s="126" t="s">
        <v>40</v>
      </c>
      <c r="B37" s="97"/>
      <c r="C37" s="73">
        <v>2279</v>
      </c>
      <c r="D37" s="74">
        <f>SUM(D38:D39:D40)</f>
        <v>15360</v>
      </c>
      <c r="E37" s="74">
        <f>SUM(E38:E39:E40)</f>
        <v>0</v>
      </c>
      <c r="F37" s="74">
        <f>SUM(F38:F39:F40)</f>
        <v>0</v>
      </c>
      <c r="G37" s="74">
        <f>SUM(G38:G40)</f>
        <v>4562.13</v>
      </c>
      <c r="H37" s="74">
        <f>SUM(H38:H39:H40)</f>
        <v>0</v>
      </c>
      <c r="I37" s="74">
        <f>SUM(I38:I39:I40)</f>
        <v>0</v>
      </c>
      <c r="J37" s="74">
        <f>SUM(J38:J39:J40)</f>
        <v>0</v>
      </c>
      <c r="K37" s="74">
        <f>SUM(K38:K39:K40)</f>
        <v>0</v>
      </c>
      <c r="L37" s="74">
        <f>SUM(L38:L39:L40)</f>
        <v>0</v>
      </c>
      <c r="M37" s="74">
        <f>SUM(M38:M39:M40)</f>
        <v>0</v>
      </c>
      <c r="N37" s="74">
        <f>SUM(N38:N39:N40)</f>
        <v>0</v>
      </c>
      <c r="O37" s="74">
        <f>SUM(O38:O39:O40)</f>
        <v>0</v>
      </c>
      <c r="P37" s="74">
        <f>SUM(P38:P39:P40)</f>
        <v>0</v>
      </c>
      <c r="Q37" s="74">
        <f>SUM(Q38:Q39:Q40)</f>
        <v>4562.13</v>
      </c>
      <c r="R37" s="74">
        <f>SUM(R38:R39:R40)</f>
        <v>0</v>
      </c>
      <c r="S37" s="74">
        <f>SUM(S38:S39:S40)</f>
        <v>10797.87</v>
      </c>
      <c r="T37" s="74">
        <f>SUM(T38:T39:T40)</f>
        <v>10797.87</v>
      </c>
      <c r="U37" s="74">
        <f>SUM(U38:U39:U40)</f>
        <v>-9979</v>
      </c>
    </row>
    <row r="38" spans="1:21" ht="22.5">
      <c r="A38" s="10">
        <v>1</v>
      </c>
      <c r="B38" s="10" t="s">
        <v>41</v>
      </c>
      <c r="C38" s="11"/>
      <c r="D38" s="12">
        <f>11860-3000</f>
        <v>8860</v>
      </c>
      <c r="E38" s="12"/>
      <c r="F38" s="12"/>
      <c r="G38" s="12">
        <f>1195.48</f>
        <v>1195.48</v>
      </c>
      <c r="H38" s="12"/>
      <c r="I38" s="12"/>
      <c r="J38" s="12"/>
      <c r="K38" s="12"/>
      <c r="L38" s="12"/>
      <c r="M38" s="12"/>
      <c r="N38" s="12"/>
      <c r="O38" s="12"/>
      <c r="P38" s="12"/>
      <c r="Q38" s="12">
        <f>SUM(E38:P38)</f>
        <v>1195.48</v>
      </c>
      <c r="R38" s="12"/>
      <c r="S38" s="12">
        <f>D38-Q38</f>
        <v>7664.52</v>
      </c>
      <c r="T38" s="12">
        <f>S38-R38</f>
        <v>7664.52</v>
      </c>
      <c r="U38" s="11">
        <v>-7665</v>
      </c>
    </row>
    <row r="39" spans="1:21" ht="11.25">
      <c r="A39" s="10">
        <v>2</v>
      </c>
      <c r="B39" s="10" t="s">
        <v>42</v>
      </c>
      <c r="C39" s="11"/>
      <c r="D39" s="12">
        <v>3600</v>
      </c>
      <c r="E39" s="12"/>
      <c r="F39" s="12"/>
      <c r="G39" s="12">
        <f>989+1191.85</f>
        <v>2180.85</v>
      </c>
      <c r="H39" s="12"/>
      <c r="I39" s="12"/>
      <c r="J39" s="12"/>
      <c r="K39" s="12"/>
      <c r="L39" s="12"/>
      <c r="M39" s="12"/>
      <c r="N39" s="12"/>
      <c r="O39" s="12"/>
      <c r="P39" s="12"/>
      <c r="Q39" s="12">
        <f>SUM(E39:P39)</f>
        <v>2180.85</v>
      </c>
      <c r="R39" s="12"/>
      <c r="S39" s="12">
        <f>D39-Q39</f>
        <v>1419.15</v>
      </c>
      <c r="T39" s="12">
        <f>S39-R39</f>
        <v>1419.15</v>
      </c>
      <c r="U39" s="11">
        <v>-600</v>
      </c>
    </row>
    <row r="40" spans="1:21" ht="22.5">
      <c r="A40" s="10">
        <v>3</v>
      </c>
      <c r="B40" s="10" t="s">
        <v>43</v>
      </c>
      <c r="C40" s="11"/>
      <c r="D40" s="12">
        <v>2900</v>
      </c>
      <c r="E40" s="12"/>
      <c r="F40" s="12"/>
      <c r="G40" s="12">
        <f>1185.8</f>
        <v>1185.8</v>
      </c>
      <c r="H40" s="12"/>
      <c r="I40" s="12"/>
      <c r="J40" s="12"/>
      <c r="K40" s="12"/>
      <c r="L40" s="12"/>
      <c r="M40" s="12"/>
      <c r="N40" s="12"/>
      <c r="O40" s="12"/>
      <c r="P40" s="12"/>
      <c r="Q40" s="12">
        <f>SUM(E40:P40)</f>
        <v>1185.8</v>
      </c>
      <c r="R40" s="12"/>
      <c r="S40" s="12">
        <f>D40-Q40</f>
        <v>1714.2</v>
      </c>
      <c r="T40" s="12">
        <f>S40-R40</f>
        <v>1714.2</v>
      </c>
      <c r="U40" s="11">
        <v>-1714</v>
      </c>
    </row>
    <row r="41" spans="1:21" ht="25.5" customHeight="1">
      <c r="A41" s="126" t="s">
        <v>44</v>
      </c>
      <c r="B41" s="97"/>
      <c r="C41" s="73">
        <v>2239</v>
      </c>
      <c r="D41" s="74">
        <f>SUM(D42:D42)</f>
        <v>11600</v>
      </c>
      <c r="E41" s="74">
        <f aca="true" t="shared" si="5" ref="E41:U41">SUM(E42:E42)</f>
        <v>0</v>
      </c>
      <c r="F41" s="74">
        <f t="shared" si="5"/>
        <v>0</v>
      </c>
      <c r="G41" s="74">
        <f t="shared" si="5"/>
        <v>6685.24</v>
      </c>
      <c r="H41" s="74">
        <f t="shared" si="5"/>
        <v>0</v>
      </c>
      <c r="I41" s="74">
        <f t="shared" si="5"/>
        <v>4912.61</v>
      </c>
      <c r="J41" s="74">
        <f t="shared" si="5"/>
        <v>0</v>
      </c>
      <c r="K41" s="74">
        <f t="shared" si="5"/>
        <v>0</v>
      </c>
      <c r="L41" s="74">
        <f t="shared" si="5"/>
        <v>0</v>
      </c>
      <c r="M41" s="74">
        <f t="shared" si="5"/>
        <v>0</v>
      </c>
      <c r="N41" s="74">
        <f t="shared" si="5"/>
        <v>0</v>
      </c>
      <c r="O41" s="74">
        <f t="shared" si="5"/>
        <v>0</v>
      </c>
      <c r="P41" s="74">
        <f t="shared" si="5"/>
        <v>0</v>
      </c>
      <c r="Q41" s="74">
        <f t="shared" si="5"/>
        <v>11597.849999999999</v>
      </c>
      <c r="R41" s="74">
        <f t="shared" si="5"/>
        <v>0</v>
      </c>
      <c r="S41" s="74">
        <f t="shared" si="5"/>
        <v>2.150000000001455</v>
      </c>
      <c r="T41" s="74">
        <f t="shared" si="5"/>
        <v>2.150000000001455</v>
      </c>
      <c r="U41" s="74">
        <f t="shared" si="5"/>
        <v>-2</v>
      </c>
    </row>
    <row r="42" spans="1:21" ht="11.25">
      <c r="A42" s="10">
        <v>1</v>
      </c>
      <c r="B42" s="10" t="s">
        <v>45</v>
      </c>
      <c r="C42" s="19"/>
      <c r="D42" s="12">
        <v>11600</v>
      </c>
      <c r="E42" s="12"/>
      <c r="F42" s="12"/>
      <c r="G42" s="12">
        <f>3031.68+3653.56</f>
        <v>6685.24</v>
      </c>
      <c r="H42" s="12"/>
      <c r="I42" s="12">
        <f>1965.05+2947.56</f>
        <v>4912.61</v>
      </c>
      <c r="J42" s="12"/>
      <c r="K42" s="12"/>
      <c r="L42" s="12"/>
      <c r="M42" s="12"/>
      <c r="N42" s="12"/>
      <c r="O42" s="12"/>
      <c r="P42" s="12"/>
      <c r="Q42" s="12">
        <f>SUM(E42:P42)</f>
        <v>11597.849999999999</v>
      </c>
      <c r="R42" s="17">
        <f>11597.85-Q42</f>
        <v>0</v>
      </c>
      <c r="S42" s="12">
        <f>D42-Q42</f>
        <v>2.150000000001455</v>
      </c>
      <c r="T42" s="12">
        <f>S42-R42</f>
        <v>2.150000000001455</v>
      </c>
      <c r="U42" s="19">
        <v>-2</v>
      </c>
    </row>
    <row r="43" spans="1:21" ht="24" customHeight="1">
      <c r="A43" s="126" t="s">
        <v>46</v>
      </c>
      <c r="B43" s="97"/>
      <c r="C43" s="73">
        <v>2279</v>
      </c>
      <c r="D43" s="74">
        <f aca="true" t="shared" si="6" ref="D43:U43">SUM(D44:D49)</f>
        <v>9112</v>
      </c>
      <c r="E43" s="74">
        <f t="shared" si="6"/>
        <v>0</v>
      </c>
      <c r="F43" s="74">
        <f t="shared" si="6"/>
        <v>0</v>
      </c>
      <c r="G43" s="74">
        <f t="shared" si="6"/>
        <v>0</v>
      </c>
      <c r="H43" s="74">
        <f t="shared" si="6"/>
        <v>0</v>
      </c>
      <c r="I43" s="74">
        <f t="shared" si="6"/>
        <v>0</v>
      </c>
      <c r="J43" s="74">
        <f t="shared" si="6"/>
        <v>0</v>
      </c>
      <c r="K43" s="74">
        <f t="shared" si="6"/>
        <v>0</v>
      </c>
      <c r="L43" s="74">
        <f t="shared" si="6"/>
        <v>0</v>
      </c>
      <c r="M43" s="74">
        <f t="shared" si="6"/>
        <v>0</v>
      </c>
      <c r="N43" s="74">
        <f t="shared" si="6"/>
        <v>0</v>
      </c>
      <c r="O43" s="74">
        <f t="shared" si="6"/>
        <v>0</v>
      </c>
      <c r="P43" s="74">
        <f t="shared" si="6"/>
        <v>0</v>
      </c>
      <c r="Q43" s="74">
        <f t="shared" si="6"/>
        <v>0</v>
      </c>
      <c r="R43" s="74">
        <f t="shared" si="6"/>
        <v>4214</v>
      </c>
      <c r="S43" s="74">
        <f t="shared" si="6"/>
        <v>9112</v>
      </c>
      <c r="T43" s="74">
        <f t="shared" si="6"/>
        <v>4898</v>
      </c>
      <c r="U43" s="74">
        <f t="shared" si="6"/>
        <v>-3520</v>
      </c>
    </row>
    <row r="44" spans="1:21" ht="22.5">
      <c r="A44" s="10">
        <v>1</v>
      </c>
      <c r="B44" s="10" t="s">
        <v>47</v>
      </c>
      <c r="C44" s="11"/>
      <c r="D44" s="12">
        <v>500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>
        <f>SUM(E44:P44)</f>
        <v>0</v>
      </c>
      <c r="R44" s="12"/>
      <c r="S44" s="12">
        <f>D44-Q44</f>
        <v>500</v>
      </c>
      <c r="T44" s="12">
        <f>S44-R44</f>
        <v>500</v>
      </c>
      <c r="U44" s="11">
        <v>-500</v>
      </c>
    </row>
    <row r="45" spans="1:21" ht="22.5">
      <c r="A45" s="10">
        <v>2</v>
      </c>
      <c r="B45" s="10" t="s">
        <v>48</v>
      </c>
      <c r="C45" s="11"/>
      <c r="D45" s="12">
        <f>1520</f>
        <v>1520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>
        <f>SUM(E45:P45)</f>
        <v>0</v>
      </c>
      <c r="R45" s="12">
        <f>1614-Q45</f>
        <v>1614</v>
      </c>
      <c r="S45" s="12">
        <f>D45-Q45</f>
        <v>1520</v>
      </c>
      <c r="T45" s="12">
        <f>S45-R45</f>
        <v>-94</v>
      </c>
      <c r="U45" s="11">
        <f>94-1520</f>
        <v>-1426</v>
      </c>
    </row>
    <row r="46" spans="1:21" ht="33.75">
      <c r="A46" s="10">
        <v>3</v>
      </c>
      <c r="B46" s="10" t="s">
        <v>49</v>
      </c>
      <c r="C46" s="11"/>
      <c r="D46" s="12">
        <v>1500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2">
        <f>SUM(E46:P46)</f>
        <v>0</v>
      </c>
      <c r="R46" s="12"/>
      <c r="S46" s="12">
        <f>D46-Q46</f>
        <v>1500</v>
      </c>
      <c r="T46" s="12">
        <f>S46-R46</f>
        <v>1500</v>
      </c>
      <c r="U46" s="11">
        <v>-1500</v>
      </c>
    </row>
    <row r="47" spans="1:21" ht="12.75" customHeight="1">
      <c r="A47" s="112">
        <v>4</v>
      </c>
      <c r="B47" s="120" t="s">
        <v>50</v>
      </c>
      <c r="C47" s="123"/>
      <c r="D47" s="100">
        <f>5592</f>
        <v>5592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00">
        <f>SUM(E47:P49)</f>
        <v>0</v>
      </c>
      <c r="R47" s="12">
        <f>1500-SUM(E47:P47)</f>
        <v>1500</v>
      </c>
      <c r="S47" s="100">
        <f>D47-Q47</f>
        <v>5592</v>
      </c>
      <c r="T47" s="100">
        <f>S47-SUM(R47:R49)</f>
        <v>2992</v>
      </c>
      <c r="U47" s="156">
        <v>-94</v>
      </c>
    </row>
    <row r="48" spans="1:21" ht="11.25">
      <c r="A48" s="119"/>
      <c r="B48" s="122"/>
      <c r="C48" s="124"/>
      <c r="D48" s="101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01"/>
      <c r="R48" s="12">
        <f>1100-SUM(E48:P48)</f>
        <v>1100</v>
      </c>
      <c r="S48" s="101"/>
      <c r="T48" s="101"/>
      <c r="U48" s="157"/>
    </row>
    <row r="49" spans="1:21" ht="12.75" customHeight="1">
      <c r="A49" s="113"/>
      <c r="B49" s="121"/>
      <c r="C49" s="125"/>
      <c r="D49" s="10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02"/>
      <c r="R49" s="12"/>
      <c r="S49" s="102"/>
      <c r="T49" s="102"/>
      <c r="U49" s="158"/>
    </row>
    <row r="50" spans="1:21" ht="24" customHeight="1">
      <c r="A50" s="126" t="s">
        <v>51</v>
      </c>
      <c r="B50" s="97"/>
      <c r="C50" s="73">
        <v>2239</v>
      </c>
      <c r="D50" s="74">
        <f>SUM(D51:D58)</f>
        <v>1800</v>
      </c>
      <c r="E50" s="74">
        <f aca="true" t="shared" si="7" ref="E50:T50">SUM(E51:E58)</f>
        <v>0</v>
      </c>
      <c r="F50" s="74">
        <f t="shared" si="7"/>
        <v>0</v>
      </c>
      <c r="G50" s="74">
        <f t="shared" si="7"/>
        <v>0</v>
      </c>
      <c r="H50" s="74">
        <f t="shared" si="7"/>
        <v>0</v>
      </c>
      <c r="I50" s="74">
        <f t="shared" si="7"/>
        <v>0</v>
      </c>
      <c r="J50" s="74">
        <f t="shared" si="7"/>
        <v>0</v>
      </c>
      <c r="K50" s="74">
        <f t="shared" si="7"/>
        <v>0</v>
      </c>
      <c r="L50" s="74">
        <f t="shared" si="7"/>
        <v>0</v>
      </c>
      <c r="M50" s="74">
        <f t="shared" si="7"/>
        <v>0</v>
      </c>
      <c r="N50" s="74">
        <f t="shared" si="7"/>
        <v>0</v>
      </c>
      <c r="O50" s="74">
        <f t="shared" si="7"/>
        <v>0</v>
      </c>
      <c r="P50" s="74">
        <f t="shared" si="7"/>
        <v>0</v>
      </c>
      <c r="Q50" s="74">
        <f t="shared" si="7"/>
        <v>0</v>
      </c>
      <c r="R50" s="74">
        <f t="shared" si="7"/>
        <v>0</v>
      </c>
      <c r="S50" s="74">
        <f t="shared" si="7"/>
        <v>1800</v>
      </c>
      <c r="T50" s="74">
        <f t="shared" si="7"/>
        <v>1800</v>
      </c>
      <c r="U50" s="73">
        <v>-1800</v>
      </c>
    </row>
    <row r="51" spans="1:21" ht="11.25">
      <c r="A51" s="10">
        <v>1</v>
      </c>
      <c r="B51" s="10" t="s">
        <v>52</v>
      </c>
      <c r="C51" s="1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>
        <f aca="true" t="shared" si="8" ref="Q51:Q61">SUM(E51:P51)</f>
        <v>0</v>
      </c>
      <c r="R51" s="12"/>
      <c r="S51" s="12">
        <f aca="true" t="shared" si="9" ref="S51:S62">D51-Q51</f>
        <v>0</v>
      </c>
      <c r="T51" s="12">
        <f aca="true" t="shared" si="10" ref="T51:T62">S51-R51</f>
        <v>0</v>
      </c>
      <c r="U51" s="11"/>
    </row>
    <row r="52" spans="1:21" ht="11.25">
      <c r="A52" s="10">
        <v>2</v>
      </c>
      <c r="B52" s="10" t="s">
        <v>53</v>
      </c>
      <c r="C52" s="11"/>
      <c r="D52" s="12">
        <f>1100</f>
        <v>1100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>
        <f>SUM(E52:P52)</f>
        <v>0</v>
      </c>
      <c r="R52" s="12"/>
      <c r="S52" s="12">
        <f t="shared" si="9"/>
        <v>1100</v>
      </c>
      <c r="T52" s="12">
        <f t="shared" si="10"/>
        <v>1100</v>
      </c>
      <c r="U52" s="11">
        <v>-1100</v>
      </c>
    </row>
    <row r="53" spans="1:21" ht="11.25">
      <c r="A53" s="10">
        <v>3</v>
      </c>
      <c r="B53" s="10" t="s">
        <v>54</v>
      </c>
      <c r="C53" s="11"/>
      <c r="D53" s="12">
        <f>700</f>
        <v>700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>
        <f t="shared" si="8"/>
        <v>0</v>
      </c>
      <c r="R53" s="12"/>
      <c r="S53" s="12">
        <f t="shared" si="9"/>
        <v>700</v>
      </c>
      <c r="T53" s="12">
        <f t="shared" si="10"/>
        <v>700</v>
      </c>
      <c r="U53" s="11">
        <v>-700</v>
      </c>
    </row>
    <row r="54" spans="1:21" ht="13.5" customHeight="1" hidden="1">
      <c r="A54" s="10">
        <v>4</v>
      </c>
      <c r="B54" s="10" t="s">
        <v>55</v>
      </c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>
        <f t="shared" si="8"/>
        <v>0</v>
      </c>
      <c r="R54" s="12"/>
      <c r="S54" s="12">
        <f t="shared" si="9"/>
        <v>0</v>
      </c>
      <c r="T54" s="12">
        <f t="shared" si="10"/>
        <v>0</v>
      </c>
      <c r="U54" s="11"/>
    </row>
    <row r="55" spans="1:21" ht="11.25" hidden="1">
      <c r="A55" s="10">
        <v>5</v>
      </c>
      <c r="B55" s="20" t="s">
        <v>56</v>
      </c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>
        <f t="shared" si="8"/>
        <v>0</v>
      </c>
      <c r="R55" s="12"/>
      <c r="S55" s="12">
        <f t="shared" si="9"/>
        <v>0</v>
      </c>
      <c r="T55" s="12">
        <f t="shared" si="10"/>
        <v>0</v>
      </c>
      <c r="U55" s="11"/>
    </row>
    <row r="56" spans="1:21" ht="11.25" hidden="1">
      <c r="A56" s="10">
        <v>6</v>
      </c>
      <c r="B56" s="20" t="s">
        <v>57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>
        <f t="shared" si="8"/>
        <v>0</v>
      </c>
      <c r="R56" s="12"/>
      <c r="S56" s="12">
        <f t="shared" si="9"/>
        <v>0</v>
      </c>
      <c r="T56" s="12">
        <f t="shared" si="10"/>
        <v>0</v>
      </c>
      <c r="U56" s="11"/>
    </row>
    <row r="57" spans="1:21" ht="11.25" hidden="1">
      <c r="A57" s="10">
        <v>7</v>
      </c>
      <c r="B57" s="20" t="s">
        <v>58</v>
      </c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>
        <f t="shared" si="8"/>
        <v>0</v>
      </c>
      <c r="R57" s="12"/>
      <c r="S57" s="12">
        <f t="shared" si="9"/>
        <v>0</v>
      </c>
      <c r="T57" s="12">
        <f t="shared" si="10"/>
        <v>0</v>
      </c>
      <c r="U57" s="11"/>
    </row>
    <row r="58" spans="1:21" ht="12.75" customHeight="1" hidden="1">
      <c r="A58" s="10">
        <v>8</v>
      </c>
      <c r="B58" s="20" t="s">
        <v>59</v>
      </c>
      <c r="C58" s="1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>
        <f t="shared" si="8"/>
        <v>0</v>
      </c>
      <c r="R58" s="12"/>
      <c r="S58" s="12">
        <f t="shared" si="9"/>
        <v>0</v>
      </c>
      <c r="T58" s="12">
        <f t="shared" si="10"/>
        <v>0</v>
      </c>
      <c r="U58" s="19"/>
    </row>
    <row r="59" spans="1:22" ht="12.75" customHeight="1">
      <c r="A59" s="106" t="s">
        <v>60</v>
      </c>
      <c r="B59" s="107"/>
      <c r="C59" s="73">
        <v>2239</v>
      </c>
      <c r="D59" s="74">
        <f>4000</f>
        <v>4000</v>
      </c>
      <c r="E59" s="74"/>
      <c r="F59" s="74">
        <f>SUM(F66)</f>
        <v>60</v>
      </c>
      <c r="G59" s="74">
        <f>SUM(G88)</f>
        <v>1175.5</v>
      </c>
      <c r="H59" s="74"/>
      <c r="I59" s="74">
        <f>I91+I67</f>
        <v>1386.72</v>
      </c>
      <c r="J59" s="74"/>
      <c r="K59" s="74">
        <f>K103</f>
        <v>1321.32</v>
      </c>
      <c r="L59" s="74"/>
      <c r="M59" s="74"/>
      <c r="N59" s="74"/>
      <c r="O59" s="74"/>
      <c r="P59" s="74"/>
      <c r="Q59" s="12">
        <f t="shared" si="8"/>
        <v>3943.54</v>
      </c>
      <c r="R59" s="12">
        <f>R103</f>
        <v>0.6800000000000637</v>
      </c>
      <c r="S59" s="12">
        <f t="shared" si="9"/>
        <v>56.460000000000036</v>
      </c>
      <c r="T59" s="17">
        <f t="shared" si="10"/>
        <v>55.77999999999997</v>
      </c>
      <c r="U59" s="68">
        <f>-2543+2488</f>
        <v>-55</v>
      </c>
      <c r="V59" s="2">
        <f>-2543+2488</f>
        <v>-55</v>
      </c>
    </row>
    <row r="60" spans="1:22" ht="12.75" customHeight="1">
      <c r="A60" s="108"/>
      <c r="B60" s="109"/>
      <c r="C60" s="73">
        <v>2231</v>
      </c>
      <c r="D60" s="74">
        <f>3711</f>
        <v>3711</v>
      </c>
      <c r="E60" s="74"/>
      <c r="F60" s="74"/>
      <c r="G60" s="74">
        <f>SUM(G87,G96,G82)</f>
        <v>2529.5699999999997</v>
      </c>
      <c r="H60" s="74">
        <f>H82</f>
        <v>1188.69</v>
      </c>
      <c r="I60" s="74">
        <f>I93+I97+I79</f>
        <v>1551.3899999999999</v>
      </c>
      <c r="J60" s="74">
        <f>J65</f>
        <v>0</v>
      </c>
      <c r="K60" s="74">
        <f>K65</f>
        <v>426.9</v>
      </c>
      <c r="L60" s="74"/>
      <c r="M60" s="74"/>
      <c r="N60" s="74"/>
      <c r="O60" s="74"/>
      <c r="P60" s="74"/>
      <c r="Q60" s="12">
        <f>SUM(E60:P60)</f>
        <v>5696.549999999999</v>
      </c>
      <c r="R60" s="12">
        <f>R104+R105</f>
        <v>594</v>
      </c>
      <c r="S60" s="12">
        <f>D60-Q60</f>
        <v>-1985.5499999999993</v>
      </c>
      <c r="T60" s="17">
        <f>S60-R60</f>
        <v>-2579.5499999999993</v>
      </c>
      <c r="U60" s="69">
        <f>-3300+6250</f>
        <v>2950</v>
      </c>
      <c r="V60" s="2">
        <f>-3300+6250</f>
        <v>2950</v>
      </c>
    </row>
    <row r="61" spans="1:24" ht="12.75" customHeight="1">
      <c r="A61" s="108"/>
      <c r="B61" s="109"/>
      <c r="C61" s="73">
        <v>2279</v>
      </c>
      <c r="D61" s="74">
        <f>2430</f>
        <v>2430</v>
      </c>
      <c r="E61" s="74"/>
      <c r="F61" s="74"/>
      <c r="G61" s="74">
        <f>G89</f>
        <v>1179.75</v>
      </c>
      <c r="H61" s="74"/>
      <c r="I61" s="74">
        <f>I92</f>
        <v>151.3</v>
      </c>
      <c r="J61" s="74"/>
      <c r="K61" s="74"/>
      <c r="L61" s="74"/>
      <c r="M61" s="74"/>
      <c r="N61" s="74"/>
      <c r="O61" s="74"/>
      <c r="P61" s="74"/>
      <c r="Q61" s="12">
        <f t="shared" si="8"/>
        <v>1331.05</v>
      </c>
      <c r="R61" s="12">
        <f>R99+R100</f>
        <v>1017</v>
      </c>
      <c r="S61" s="12">
        <f>D61-Q61</f>
        <v>1098.95</v>
      </c>
      <c r="T61" s="17">
        <f>S61-R61</f>
        <v>81.95000000000005</v>
      </c>
      <c r="U61" s="69">
        <f>-276+442</f>
        <v>166</v>
      </c>
      <c r="V61" s="2">
        <f>-276+442</f>
        <v>166</v>
      </c>
      <c r="X61" s="2">
        <f>SUM(V59:V63)</f>
        <v>3217</v>
      </c>
    </row>
    <row r="62" spans="1:22" ht="12.75" customHeight="1">
      <c r="A62" s="108"/>
      <c r="B62" s="109"/>
      <c r="C62" s="73">
        <v>2390</v>
      </c>
      <c r="D62" s="74">
        <f>4000</f>
        <v>4000</v>
      </c>
      <c r="E62" s="74"/>
      <c r="F62" s="74">
        <f>F64</f>
        <v>608.75</v>
      </c>
      <c r="G62" s="74">
        <f>SUM(G95)</f>
        <v>229.17</v>
      </c>
      <c r="H62" s="74"/>
      <c r="I62" s="74">
        <f>I94</f>
        <v>43.14</v>
      </c>
      <c r="J62" s="74">
        <f>J98+J90+J64</f>
        <v>107.69</v>
      </c>
      <c r="K62" s="74"/>
      <c r="L62" s="74"/>
      <c r="M62" s="74"/>
      <c r="N62" s="74"/>
      <c r="O62" s="74"/>
      <c r="P62" s="74"/>
      <c r="Q62" s="12">
        <f>SUM(E62:P62)</f>
        <v>988.75</v>
      </c>
      <c r="R62" s="12">
        <f>R101+R102</f>
        <v>391</v>
      </c>
      <c r="S62" s="12">
        <f t="shared" si="9"/>
        <v>3011.25</v>
      </c>
      <c r="T62" s="17">
        <f t="shared" si="10"/>
        <v>2620.25</v>
      </c>
      <c r="U62" s="69">
        <f>-4000+4106</f>
        <v>106</v>
      </c>
      <c r="V62" s="2">
        <f>-4000+4106</f>
        <v>106</v>
      </c>
    </row>
    <row r="63" spans="1:22" ht="12.75" customHeight="1">
      <c r="A63" s="110"/>
      <c r="B63" s="111"/>
      <c r="C63" s="73">
        <v>2223</v>
      </c>
      <c r="D63" s="75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12">
        <f>SUM(E63:P63)</f>
        <v>0</v>
      </c>
      <c r="R63" s="12">
        <f>R106</f>
        <v>50</v>
      </c>
      <c r="S63" s="12">
        <f>D63-Q63</f>
        <v>0</v>
      </c>
      <c r="T63" s="17">
        <f>S63-R63</f>
        <v>-50</v>
      </c>
      <c r="U63" s="69">
        <f>50</f>
        <v>50</v>
      </c>
      <c r="V63" s="2">
        <f>50</f>
        <v>50</v>
      </c>
    </row>
    <row r="64" spans="1:21" ht="11.25">
      <c r="A64" s="112">
        <v>1</v>
      </c>
      <c r="B64" s="120" t="s">
        <v>61</v>
      </c>
      <c r="C64" s="21">
        <v>2390</v>
      </c>
      <c r="D64" s="100"/>
      <c r="E64" s="12"/>
      <c r="F64" s="22">
        <f>304+204.75+100</f>
        <v>608.75</v>
      </c>
      <c r="G64" s="12"/>
      <c r="H64" s="12"/>
      <c r="I64" s="12"/>
      <c r="J64" s="22"/>
      <c r="K64" s="12"/>
      <c r="L64" s="12"/>
      <c r="M64" s="12"/>
      <c r="N64" s="12"/>
      <c r="O64" s="12"/>
      <c r="P64" s="12"/>
      <c r="Q64" s="12">
        <f aca="true" t="shared" si="11" ref="Q64:Q86">SUM(E64:P64)</f>
        <v>608.75</v>
      </c>
      <c r="R64" s="12"/>
      <c r="S64" s="12"/>
      <c r="T64" s="103">
        <f>D64-SUM(Q64:Q66)</f>
        <v>-1095.65</v>
      </c>
      <c r="U64" s="23" t="s">
        <v>62</v>
      </c>
    </row>
    <row r="65" spans="1:21" ht="11.25">
      <c r="A65" s="119"/>
      <c r="B65" s="122"/>
      <c r="C65" s="21">
        <v>2231</v>
      </c>
      <c r="D65" s="101"/>
      <c r="E65" s="12"/>
      <c r="F65" s="22"/>
      <c r="G65" s="12"/>
      <c r="H65" s="12"/>
      <c r="I65" s="12"/>
      <c r="J65" s="22"/>
      <c r="K65" s="22">
        <f>171+255.9</f>
        <v>426.9</v>
      </c>
      <c r="L65" s="12"/>
      <c r="M65" s="12"/>
      <c r="N65" s="12"/>
      <c r="O65" s="12"/>
      <c r="P65" s="12"/>
      <c r="Q65" s="12">
        <f t="shared" si="11"/>
        <v>426.9</v>
      </c>
      <c r="R65" s="12"/>
      <c r="S65" s="12"/>
      <c r="T65" s="104"/>
      <c r="U65" s="23" t="s">
        <v>63</v>
      </c>
    </row>
    <row r="66" spans="1:21" ht="11.25">
      <c r="A66" s="113"/>
      <c r="B66" s="121"/>
      <c r="C66" s="21">
        <v>2239</v>
      </c>
      <c r="D66" s="102"/>
      <c r="E66" s="12"/>
      <c r="F66" s="22">
        <v>60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>
        <f t="shared" si="11"/>
        <v>60</v>
      </c>
      <c r="R66" s="12"/>
      <c r="S66" s="12"/>
      <c r="T66" s="105"/>
      <c r="U66" s="23"/>
    </row>
    <row r="67" spans="1:21" ht="11.25" customHeight="1">
      <c r="A67" s="10">
        <v>2</v>
      </c>
      <c r="B67" s="10" t="s">
        <v>64</v>
      </c>
      <c r="C67" s="21">
        <v>2239</v>
      </c>
      <c r="D67" s="12">
        <f>700</f>
        <v>700</v>
      </c>
      <c r="E67" s="12"/>
      <c r="F67" s="12"/>
      <c r="G67" s="12"/>
      <c r="H67" s="12"/>
      <c r="I67" s="12">
        <f>181.5+200</f>
        <v>381.5</v>
      </c>
      <c r="J67" s="12"/>
      <c r="K67" s="12"/>
      <c r="L67" s="12"/>
      <c r="M67" s="12"/>
      <c r="N67" s="12"/>
      <c r="O67" s="12"/>
      <c r="P67" s="12"/>
      <c r="Q67" s="12">
        <f t="shared" si="11"/>
        <v>381.5</v>
      </c>
      <c r="R67" s="12"/>
      <c r="S67" s="12"/>
      <c r="T67" s="17">
        <f>D67-Q67</f>
        <v>318.5</v>
      </c>
      <c r="U67" s="23"/>
    </row>
    <row r="68" spans="1:21" ht="22.5">
      <c r="A68" s="10">
        <v>3</v>
      </c>
      <c r="B68" s="20" t="s">
        <v>65</v>
      </c>
      <c r="C68" s="21"/>
      <c r="D68" s="12">
        <f>5730</f>
        <v>5730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>
        <f t="shared" si="11"/>
        <v>0</v>
      </c>
      <c r="R68" s="12"/>
      <c r="S68" s="12"/>
      <c r="T68" s="12">
        <f>D68-Q68</f>
        <v>5730</v>
      </c>
      <c r="U68" s="23"/>
    </row>
    <row r="69" spans="1:21" ht="11.25">
      <c r="A69" s="10">
        <v>4</v>
      </c>
      <c r="B69" s="20" t="s">
        <v>66</v>
      </c>
      <c r="C69" s="21"/>
      <c r="D69" s="12">
        <v>400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>
        <f t="shared" si="11"/>
        <v>0</v>
      </c>
      <c r="R69" s="12"/>
      <c r="S69" s="12"/>
      <c r="T69" s="12">
        <f aca="true" t="shared" si="12" ref="T69:T88">D69-Q69</f>
        <v>400</v>
      </c>
      <c r="U69" s="23"/>
    </row>
    <row r="70" spans="1:21" ht="13.5" customHeight="1">
      <c r="A70" s="10">
        <v>5</v>
      </c>
      <c r="B70" s="20" t="s">
        <v>67</v>
      </c>
      <c r="C70" s="24"/>
      <c r="D70" s="12">
        <f>500</f>
        <v>500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>
        <f t="shared" si="11"/>
        <v>0</v>
      </c>
      <c r="R70" s="12"/>
      <c r="S70" s="12"/>
      <c r="T70" s="12">
        <f t="shared" si="12"/>
        <v>500</v>
      </c>
      <c r="U70" s="25"/>
    </row>
    <row r="71" spans="1:21" ht="11.25" hidden="1">
      <c r="A71" s="10">
        <v>6</v>
      </c>
      <c r="B71" s="20" t="s">
        <v>68</v>
      </c>
      <c r="C71" s="24"/>
      <c r="D71" s="12">
        <v>0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>
        <f t="shared" si="11"/>
        <v>0</v>
      </c>
      <c r="R71" s="12"/>
      <c r="S71" s="12"/>
      <c r="T71" s="12">
        <f t="shared" si="12"/>
        <v>0</v>
      </c>
      <c r="U71" s="25"/>
    </row>
    <row r="72" spans="1:21" ht="11.25">
      <c r="A72" s="10">
        <v>7</v>
      </c>
      <c r="B72" s="20" t="s">
        <v>69</v>
      </c>
      <c r="C72" s="24"/>
      <c r="D72" s="12">
        <f>500</f>
        <v>500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>
        <f t="shared" si="11"/>
        <v>0</v>
      </c>
      <c r="R72" s="12"/>
      <c r="S72" s="12"/>
      <c r="T72" s="12">
        <f t="shared" si="12"/>
        <v>500</v>
      </c>
      <c r="U72" s="25"/>
    </row>
    <row r="73" spans="1:21" ht="22.5">
      <c r="A73" s="10">
        <v>8</v>
      </c>
      <c r="B73" s="20" t="s">
        <v>70</v>
      </c>
      <c r="C73" s="24"/>
      <c r="D73" s="12">
        <f>200</f>
        <v>200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>
        <f t="shared" si="11"/>
        <v>0</v>
      </c>
      <c r="R73" s="12"/>
      <c r="S73" s="12"/>
      <c r="T73" s="12">
        <f t="shared" si="12"/>
        <v>200</v>
      </c>
      <c r="U73" s="25"/>
    </row>
    <row r="74" spans="1:21" ht="12.75" customHeight="1">
      <c r="A74" s="10">
        <v>9</v>
      </c>
      <c r="B74" s="20" t="s">
        <v>71</v>
      </c>
      <c r="C74" s="24"/>
      <c r="D74" s="12">
        <f>500</f>
        <v>500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>
        <f t="shared" si="11"/>
        <v>0</v>
      </c>
      <c r="R74" s="12"/>
      <c r="S74" s="12"/>
      <c r="T74" s="12">
        <f t="shared" si="12"/>
        <v>500</v>
      </c>
      <c r="U74" s="25"/>
    </row>
    <row r="75" spans="1:21" ht="22.5" hidden="1">
      <c r="A75" s="10">
        <v>10</v>
      </c>
      <c r="B75" s="20" t="s">
        <v>72</v>
      </c>
      <c r="C75" s="2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>
        <f t="shared" si="11"/>
        <v>0</v>
      </c>
      <c r="R75" s="12"/>
      <c r="S75" s="12"/>
      <c r="T75" s="12">
        <f t="shared" si="12"/>
        <v>0</v>
      </c>
      <c r="U75" s="25"/>
    </row>
    <row r="76" spans="1:21" ht="22.5">
      <c r="A76" s="10">
        <v>11</v>
      </c>
      <c r="B76" s="20" t="s">
        <v>73</v>
      </c>
      <c r="C76" s="24"/>
      <c r="D76" s="12">
        <f>500</f>
        <v>500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>
        <f t="shared" si="11"/>
        <v>0</v>
      </c>
      <c r="R76" s="12"/>
      <c r="S76" s="12"/>
      <c r="T76" s="12">
        <f t="shared" si="12"/>
        <v>500</v>
      </c>
      <c r="U76" s="25"/>
    </row>
    <row r="77" spans="1:21" ht="22.5">
      <c r="A77" s="10">
        <v>12</v>
      </c>
      <c r="B77" s="20" t="s">
        <v>74</v>
      </c>
      <c r="C77" s="24"/>
      <c r="D77" s="12">
        <f>900</f>
        <v>900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>
        <f t="shared" si="11"/>
        <v>0</v>
      </c>
      <c r="R77" s="12"/>
      <c r="S77" s="12"/>
      <c r="T77" s="12">
        <f t="shared" si="12"/>
        <v>900</v>
      </c>
      <c r="U77" s="25"/>
    </row>
    <row r="78" spans="1:21" ht="12.75" customHeight="1" hidden="1">
      <c r="A78" s="10">
        <v>13</v>
      </c>
      <c r="B78" s="20" t="s">
        <v>75</v>
      </c>
      <c r="C78" s="2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>
        <f t="shared" si="11"/>
        <v>0</v>
      </c>
      <c r="R78" s="12"/>
      <c r="S78" s="12"/>
      <c r="T78" s="12">
        <f t="shared" si="12"/>
        <v>0</v>
      </c>
      <c r="U78" s="25"/>
    </row>
    <row r="79" spans="1:21" ht="22.5">
      <c r="A79" s="10">
        <v>14</v>
      </c>
      <c r="B79" s="20" t="s">
        <v>76</v>
      </c>
      <c r="C79" s="24">
        <v>2231</v>
      </c>
      <c r="D79" s="12"/>
      <c r="E79" s="12"/>
      <c r="F79" s="12"/>
      <c r="G79" s="12"/>
      <c r="H79" s="12"/>
      <c r="I79" s="22">
        <f>149</f>
        <v>149</v>
      </c>
      <c r="J79" s="12"/>
      <c r="K79" s="12"/>
      <c r="L79" s="12"/>
      <c r="M79" s="12"/>
      <c r="N79" s="12"/>
      <c r="O79" s="12"/>
      <c r="P79" s="12"/>
      <c r="Q79" s="12">
        <f t="shared" si="11"/>
        <v>149</v>
      </c>
      <c r="R79" s="12"/>
      <c r="S79" s="12"/>
      <c r="T79" s="12">
        <f t="shared" si="12"/>
        <v>-149</v>
      </c>
      <c r="U79" s="25"/>
    </row>
    <row r="80" spans="1:21" ht="11.25" hidden="1">
      <c r="A80" s="10">
        <v>15</v>
      </c>
      <c r="B80" s="20" t="s">
        <v>77</v>
      </c>
      <c r="C80" s="2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>
        <f t="shared" si="11"/>
        <v>0</v>
      </c>
      <c r="R80" s="12"/>
      <c r="S80" s="12"/>
      <c r="T80" s="12">
        <f>D80-Q80</f>
        <v>0</v>
      </c>
      <c r="U80" s="25"/>
    </row>
    <row r="81" spans="1:21" ht="11.25" hidden="1">
      <c r="A81" s="10">
        <v>16</v>
      </c>
      <c r="B81" s="20" t="s">
        <v>78</v>
      </c>
      <c r="C81" s="2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>
        <f t="shared" si="11"/>
        <v>0</v>
      </c>
      <c r="R81" s="12"/>
      <c r="S81" s="12"/>
      <c r="T81" s="12">
        <f t="shared" si="12"/>
        <v>0</v>
      </c>
      <c r="U81" s="25"/>
    </row>
    <row r="82" spans="1:21" ht="11.25">
      <c r="A82" s="10">
        <v>17</v>
      </c>
      <c r="B82" s="20" t="s">
        <v>79</v>
      </c>
      <c r="C82" s="24">
        <v>2231</v>
      </c>
      <c r="D82" s="12"/>
      <c r="E82" s="12"/>
      <c r="F82" s="12"/>
      <c r="G82" s="22"/>
      <c r="H82" s="22">
        <v>1188.69</v>
      </c>
      <c r="I82" s="12"/>
      <c r="J82" s="12"/>
      <c r="K82" s="12"/>
      <c r="L82" s="12"/>
      <c r="M82" s="12"/>
      <c r="N82" s="12"/>
      <c r="O82" s="12"/>
      <c r="P82" s="12"/>
      <c r="Q82" s="12">
        <f t="shared" si="11"/>
        <v>1188.69</v>
      </c>
      <c r="R82" s="12"/>
      <c r="S82" s="12"/>
      <c r="T82" s="12">
        <f t="shared" si="12"/>
        <v>-1188.69</v>
      </c>
      <c r="U82" s="25"/>
    </row>
    <row r="83" spans="1:21" ht="11.25">
      <c r="A83" s="10">
        <v>18</v>
      </c>
      <c r="B83" s="20" t="s">
        <v>80</v>
      </c>
      <c r="C83" s="2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>
        <f t="shared" si="11"/>
        <v>0</v>
      </c>
      <c r="R83" s="12"/>
      <c r="S83" s="12"/>
      <c r="T83" s="12">
        <f t="shared" si="12"/>
        <v>0</v>
      </c>
      <c r="U83" s="25"/>
    </row>
    <row r="84" spans="1:21" ht="11.25">
      <c r="A84" s="10">
        <v>19</v>
      </c>
      <c r="B84" s="20" t="s">
        <v>81</v>
      </c>
      <c r="C84" s="24"/>
      <c r="D84" s="12">
        <f>300</f>
        <v>300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>
        <f t="shared" si="11"/>
        <v>0</v>
      </c>
      <c r="R84" s="12"/>
      <c r="S84" s="12"/>
      <c r="T84" s="12">
        <f>D84-Q84</f>
        <v>300</v>
      </c>
      <c r="U84" s="25"/>
    </row>
    <row r="85" spans="1:21" ht="11.25">
      <c r="A85" s="10">
        <v>20</v>
      </c>
      <c r="B85" s="20" t="s">
        <v>82</v>
      </c>
      <c r="C85" s="24"/>
      <c r="D85" s="12">
        <f>400</f>
        <v>400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>
        <f t="shared" si="11"/>
        <v>0</v>
      </c>
      <c r="R85" s="12"/>
      <c r="S85" s="12"/>
      <c r="T85" s="12">
        <f t="shared" si="12"/>
        <v>400</v>
      </c>
      <c r="U85" s="25"/>
    </row>
    <row r="86" spans="1:21" ht="12.75" customHeight="1">
      <c r="A86" s="10">
        <v>22</v>
      </c>
      <c r="B86" s="20" t="s">
        <v>83</v>
      </c>
      <c r="C86" s="24"/>
      <c r="D86" s="12">
        <f>270</f>
        <v>270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>
        <f t="shared" si="11"/>
        <v>0</v>
      </c>
      <c r="R86" s="12"/>
      <c r="S86" s="12"/>
      <c r="T86" s="12">
        <f t="shared" si="12"/>
        <v>270</v>
      </c>
      <c r="U86" s="25"/>
    </row>
    <row r="87" spans="1:21" ht="11.25">
      <c r="A87" s="112">
        <v>23</v>
      </c>
      <c r="B87" s="114" t="s">
        <v>84</v>
      </c>
      <c r="C87" s="24">
        <v>2231</v>
      </c>
      <c r="D87" s="100">
        <v>2351</v>
      </c>
      <c r="E87" s="12"/>
      <c r="F87" s="12"/>
      <c r="G87" s="12">
        <v>1175.5</v>
      </c>
      <c r="H87" s="12"/>
      <c r="I87" s="12"/>
      <c r="J87" s="12"/>
      <c r="K87" s="12"/>
      <c r="L87" s="12"/>
      <c r="M87" s="12"/>
      <c r="N87" s="12"/>
      <c r="O87" s="12"/>
      <c r="P87" s="12"/>
      <c r="Q87" s="100">
        <f>SUM(E87:P88)</f>
        <v>2351</v>
      </c>
      <c r="R87" s="12"/>
      <c r="S87" s="12"/>
      <c r="T87" s="12">
        <f t="shared" si="12"/>
        <v>0</v>
      </c>
      <c r="U87" s="25"/>
    </row>
    <row r="88" spans="1:21" ht="11.25">
      <c r="A88" s="113"/>
      <c r="B88" s="115"/>
      <c r="C88" s="24">
        <v>2239</v>
      </c>
      <c r="D88" s="102"/>
      <c r="E88" s="12"/>
      <c r="F88" s="12"/>
      <c r="G88" s="12">
        <f>1175.5</f>
        <v>1175.5</v>
      </c>
      <c r="H88" s="12"/>
      <c r="I88" s="12"/>
      <c r="J88" s="12"/>
      <c r="K88" s="12"/>
      <c r="L88" s="12"/>
      <c r="M88" s="12"/>
      <c r="N88" s="12"/>
      <c r="O88" s="12"/>
      <c r="P88" s="12"/>
      <c r="Q88" s="102"/>
      <c r="R88" s="12"/>
      <c r="S88" s="12"/>
      <c r="T88" s="12">
        <f t="shared" si="12"/>
        <v>0</v>
      </c>
      <c r="U88" s="25"/>
    </row>
    <row r="89" spans="1:21" ht="11.25">
      <c r="A89" s="112">
        <v>24</v>
      </c>
      <c r="B89" s="114" t="s">
        <v>85</v>
      </c>
      <c r="C89" s="21">
        <v>2279</v>
      </c>
      <c r="D89" s="100">
        <f>890</f>
        <v>890</v>
      </c>
      <c r="E89" s="12"/>
      <c r="F89" s="12"/>
      <c r="G89" s="22">
        <f>1179.75</f>
        <v>1179.75</v>
      </c>
      <c r="H89" s="12"/>
      <c r="I89" s="12"/>
      <c r="J89" s="12"/>
      <c r="K89" s="12"/>
      <c r="L89" s="12"/>
      <c r="M89" s="12"/>
      <c r="N89" s="12"/>
      <c r="O89" s="12"/>
      <c r="P89" s="12"/>
      <c r="Q89" s="100">
        <f>SUM(E89:P90)</f>
        <v>1223.31</v>
      </c>
      <c r="R89" s="17"/>
      <c r="S89" s="12"/>
      <c r="T89" s="100">
        <f>D89-SUM(Q89:Q90)</f>
        <v>-333.30999999999995</v>
      </c>
      <c r="U89" s="23"/>
    </row>
    <row r="90" spans="1:21" ht="11.25">
      <c r="A90" s="113"/>
      <c r="B90" s="115"/>
      <c r="C90" s="21">
        <v>2390</v>
      </c>
      <c r="D90" s="102"/>
      <c r="E90" s="12"/>
      <c r="F90" s="12"/>
      <c r="G90" s="22"/>
      <c r="H90" s="12"/>
      <c r="I90" s="12"/>
      <c r="J90" s="22">
        <v>43.56</v>
      </c>
      <c r="K90" s="12"/>
      <c r="L90" s="12"/>
      <c r="M90" s="12"/>
      <c r="N90" s="12"/>
      <c r="O90" s="12"/>
      <c r="P90" s="12"/>
      <c r="Q90" s="102"/>
      <c r="R90" s="17"/>
      <c r="S90" s="12"/>
      <c r="T90" s="102"/>
      <c r="U90" s="23"/>
    </row>
    <row r="91" spans="1:21" ht="11.25" customHeight="1">
      <c r="A91" s="112">
        <v>25</v>
      </c>
      <c r="B91" s="120" t="s">
        <v>86</v>
      </c>
      <c r="C91" s="21">
        <v>2239</v>
      </c>
      <c r="D91" s="100"/>
      <c r="E91" s="12"/>
      <c r="F91" s="12"/>
      <c r="G91" s="22"/>
      <c r="H91" s="12"/>
      <c r="I91" s="22">
        <f>110.11+110.11+400+385</f>
        <v>1005.22</v>
      </c>
      <c r="J91" s="12"/>
      <c r="K91" s="12"/>
      <c r="L91" s="12"/>
      <c r="M91" s="12"/>
      <c r="N91" s="12"/>
      <c r="O91" s="12"/>
      <c r="P91" s="12"/>
      <c r="Q91" s="100">
        <f>SUM(E91:P94)</f>
        <v>1416.25</v>
      </c>
      <c r="R91" s="12"/>
      <c r="S91" s="12"/>
      <c r="T91" s="103">
        <f>D91-Q91</f>
        <v>-1416.25</v>
      </c>
      <c r="U91" s="23"/>
    </row>
    <row r="92" spans="1:21" ht="11.25" customHeight="1">
      <c r="A92" s="119"/>
      <c r="B92" s="122"/>
      <c r="C92" s="21">
        <v>2279</v>
      </c>
      <c r="D92" s="101"/>
      <c r="E92" s="12"/>
      <c r="F92" s="12"/>
      <c r="G92" s="22"/>
      <c r="H92" s="12"/>
      <c r="I92" s="22">
        <f>151.3</f>
        <v>151.3</v>
      </c>
      <c r="J92" s="12"/>
      <c r="K92" s="12"/>
      <c r="L92" s="12"/>
      <c r="M92" s="12"/>
      <c r="N92" s="12"/>
      <c r="O92" s="12"/>
      <c r="P92" s="12"/>
      <c r="Q92" s="101"/>
      <c r="R92" s="12"/>
      <c r="S92" s="12"/>
      <c r="T92" s="104"/>
      <c r="U92" s="23"/>
    </row>
    <row r="93" spans="1:21" ht="11.25" customHeight="1">
      <c r="A93" s="119"/>
      <c r="B93" s="122"/>
      <c r="C93" s="21">
        <v>2231</v>
      </c>
      <c r="D93" s="101"/>
      <c r="E93" s="12"/>
      <c r="F93" s="12"/>
      <c r="G93" s="22"/>
      <c r="H93" s="12"/>
      <c r="I93" s="22">
        <f>216.59</f>
        <v>216.59</v>
      </c>
      <c r="J93" s="12"/>
      <c r="K93" s="12"/>
      <c r="L93" s="12"/>
      <c r="M93" s="12"/>
      <c r="N93" s="12"/>
      <c r="O93" s="12"/>
      <c r="P93" s="12"/>
      <c r="Q93" s="101"/>
      <c r="R93" s="12"/>
      <c r="S93" s="12"/>
      <c r="T93" s="104"/>
      <c r="U93" s="23"/>
    </row>
    <row r="94" spans="1:21" ht="11.25">
      <c r="A94" s="113">
        <v>25</v>
      </c>
      <c r="B94" s="121" t="s">
        <v>87</v>
      </c>
      <c r="C94" s="21">
        <v>2390</v>
      </c>
      <c r="D94" s="102"/>
      <c r="E94" s="12"/>
      <c r="F94" s="12"/>
      <c r="G94" s="22"/>
      <c r="H94" s="12"/>
      <c r="I94" s="22">
        <f>43.14</f>
        <v>43.14</v>
      </c>
      <c r="J94" s="12"/>
      <c r="K94" s="12"/>
      <c r="L94" s="12"/>
      <c r="M94" s="12"/>
      <c r="N94" s="12"/>
      <c r="O94" s="12"/>
      <c r="P94" s="12"/>
      <c r="Q94" s="102"/>
      <c r="R94" s="12"/>
      <c r="S94" s="12"/>
      <c r="T94" s="105"/>
      <c r="U94" s="23"/>
    </row>
    <row r="95" spans="1:21" ht="11.25" customHeight="1">
      <c r="A95" s="112">
        <v>26</v>
      </c>
      <c r="B95" s="120" t="s">
        <v>87</v>
      </c>
      <c r="C95" s="21">
        <v>2390</v>
      </c>
      <c r="D95" s="100"/>
      <c r="E95" s="12"/>
      <c r="F95" s="12"/>
      <c r="G95" s="22">
        <f>229.17</f>
        <v>229.17</v>
      </c>
      <c r="H95" s="12"/>
      <c r="I95" s="12"/>
      <c r="J95" s="12"/>
      <c r="K95" s="12"/>
      <c r="L95" s="12"/>
      <c r="M95" s="12"/>
      <c r="N95" s="12"/>
      <c r="O95" s="12"/>
      <c r="P95" s="12"/>
      <c r="Q95" s="100">
        <f>SUM(E95:P96)</f>
        <v>1583.24</v>
      </c>
      <c r="R95" s="12"/>
      <c r="S95" s="12"/>
      <c r="T95" s="103">
        <f>D95-Q95</f>
        <v>-1583.24</v>
      </c>
      <c r="U95" s="23"/>
    </row>
    <row r="96" spans="1:21" ht="11.25">
      <c r="A96" s="113">
        <v>25</v>
      </c>
      <c r="B96" s="121" t="s">
        <v>87</v>
      </c>
      <c r="C96" s="21">
        <v>2231</v>
      </c>
      <c r="D96" s="102"/>
      <c r="E96" s="12"/>
      <c r="F96" s="12"/>
      <c r="G96" s="22">
        <f>862.13+347.12+144.82</f>
        <v>1354.07</v>
      </c>
      <c r="H96" s="12"/>
      <c r="I96" s="12"/>
      <c r="J96" s="12"/>
      <c r="K96" s="12"/>
      <c r="L96" s="12"/>
      <c r="M96" s="12"/>
      <c r="N96" s="12"/>
      <c r="O96" s="12"/>
      <c r="P96" s="12"/>
      <c r="Q96" s="102"/>
      <c r="R96" s="12"/>
      <c r="S96" s="12"/>
      <c r="T96" s="105"/>
      <c r="U96" s="23"/>
    </row>
    <row r="97" spans="1:21" ht="11.25" customHeight="1">
      <c r="A97" s="26">
        <v>27</v>
      </c>
      <c r="B97" s="16" t="s">
        <v>88</v>
      </c>
      <c r="C97" s="21">
        <v>2231</v>
      </c>
      <c r="D97" s="27"/>
      <c r="E97" s="12"/>
      <c r="F97" s="12"/>
      <c r="G97" s="22"/>
      <c r="H97" s="12"/>
      <c r="I97" s="22">
        <f>1185.8</f>
        <v>1185.8</v>
      </c>
      <c r="J97" s="12"/>
      <c r="K97" s="12"/>
      <c r="L97" s="12"/>
      <c r="M97" s="12"/>
      <c r="N97" s="12"/>
      <c r="O97" s="12"/>
      <c r="P97" s="12"/>
      <c r="Q97" s="27">
        <f>SUM(E97:P97)</f>
        <v>1185.8</v>
      </c>
      <c r="R97" s="12"/>
      <c r="S97" s="12"/>
      <c r="T97" s="17">
        <f>D97-Q97</f>
        <v>-1185.8</v>
      </c>
      <c r="U97" s="23"/>
    </row>
    <row r="98" spans="1:21" ht="11.25" customHeight="1">
      <c r="A98" s="26">
        <v>28</v>
      </c>
      <c r="B98" s="16" t="s">
        <v>89</v>
      </c>
      <c r="C98" s="21">
        <v>2390</v>
      </c>
      <c r="D98" s="27"/>
      <c r="E98" s="12"/>
      <c r="F98" s="12"/>
      <c r="G98" s="22"/>
      <c r="H98" s="12"/>
      <c r="I98" s="22"/>
      <c r="J98" s="22">
        <f>64.13</f>
        <v>64.13</v>
      </c>
      <c r="K98" s="12"/>
      <c r="L98" s="12"/>
      <c r="M98" s="12"/>
      <c r="N98" s="12"/>
      <c r="O98" s="12"/>
      <c r="P98" s="12"/>
      <c r="Q98" s="27">
        <f>SUM(E98:P98)</f>
        <v>64.13</v>
      </c>
      <c r="R98" s="12"/>
      <c r="S98" s="12"/>
      <c r="T98" s="17">
        <f>D98-Q98</f>
        <v>-64.13</v>
      </c>
      <c r="U98" s="23"/>
    </row>
    <row r="99" spans="1:21" ht="11.25" customHeight="1">
      <c r="A99" s="142">
        <v>29</v>
      </c>
      <c r="B99" s="120" t="s">
        <v>90</v>
      </c>
      <c r="C99" s="145">
        <v>2279</v>
      </c>
      <c r="D99" s="100"/>
      <c r="E99" s="12"/>
      <c r="F99" s="12"/>
      <c r="G99" s="22"/>
      <c r="H99" s="12"/>
      <c r="I99" s="22"/>
      <c r="J99" s="22"/>
      <c r="K99" s="12"/>
      <c r="L99" s="12"/>
      <c r="M99" s="12"/>
      <c r="N99" s="12"/>
      <c r="O99" s="12"/>
      <c r="P99" s="12"/>
      <c r="Q99" s="27">
        <f aca="true" t="shared" si="13" ref="Q99:Q106">SUM(E99:P99)</f>
        <v>0</v>
      </c>
      <c r="R99" s="22">
        <f>412-Q99</f>
        <v>412</v>
      </c>
      <c r="S99" s="12"/>
      <c r="T99" s="103">
        <f>D99-SUM(Q99:R106)</f>
        <v>-3532</v>
      </c>
      <c r="U99" s="159"/>
    </row>
    <row r="100" spans="1:21" ht="11.25" customHeight="1">
      <c r="A100" s="143"/>
      <c r="B100" s="122"/>
      <c r="C100" s="146"/>
      <c r="D100" s="101"/>
      <c r="E100" s="12"/>
      <c r="F100" s="12"/>
      <c r="G100" s="22"/>
      <c r="H100" s="12"/>
      <c r="I100" s="22"/>
      <c r="J100" s="22"/>
      <c r="K100" s="12"/>
      <c r="L100" s="12"/>
      <c r="M100" s="12"/>
      <c r="N100" s="12"/>
      <c r="O100" s="12"/>
      <c r="P100" s="12"/>
      <c r="Q100" s="27">
        <f t="shared" si="13"/>
        <v>0</v>
      </c>
      <c r="R100" s="22">
        <f>605-Q100</f>
        <v>605</v>
      </c>
      <c r="S100" s="12"/>
      <c r="T100" s="104"/>
      <c r="U100" s="160"/>
    </row>
    <row r="101" spans="1:21" ht="11.25" customHeight="1">
      <c r="A101" s="143"/>
      <c r="B101" s="122"/>
      <c r="C101" s="153">
        <v>2390</v>
      </c>
      <c r="D101" s="101"/>
      <c r="E101" s="12"/>
      <c r="F101" s="12"/>
      <c r="G101" s="22"/>
      <c r="H101" s="12"/>
      <c r="I101" s="22"/>
      <c r="J101" s="22"/>
      <c r="K101" s="12">
        <v>158</v>
      </c>
      <c r="L101" s="12"/>
      <c r="M101" s="12"/>
      <c r="N101" s="12"/>
      <c r="O101" s="12"/>
      <c r="P101" s="12"/>
      <c r="Q101" s="27">
        <f t="shared" si="13"/>
        <v>158</v>
      </c>
      <c r="R101" s="22">
        <f>158-Q101</f>
        <v>0</v>
      </c>
      <c r="S101" s="12"/>
      <c r="T101" s="104"/>
      <c r="U101" s="161"/>
    </row>
    <row r="102" spans="1:21" ht="11.25" customHeight="1">
      <c r="A102" s="143"/>
      <c r="B102" s="122"/>
      <c r="C102" s="153"/>
      <c r="D102" s="101"/>
      <c r="E102" s="12"/>
      <c r="F102" s="12"/>
      <c r="G102" s="22"/>
      <c r="H102" s="12"/>
      <c r="I102" s="22"/>
      <c r="J102" s="22"/>
      <c r="K102" s="12"/>
      <c r="L102" s="12"/>
      <c r="M102" s="12"/>
      <c r="N102" s="12"/>
      <c r="O102" s="12"/>
      <c r="P102" s="12"/>
      <c r="Q102" s="27">
        <f t="shared" si="13"/>
        <v>0</v>
      </c>
      <c r="R102" s="22">
        <f>391-Q102</f>
        <v>391</v>
      </c>
      <c r="S102" s="12"/>
      <c r="T102" s="104"/>
      <c r="U102" s="161"/>
    </row>
    <row r="103" spans="1:21" ht="11.25" customHeight="1">
      <c r="A103" s="143"/>
      <c r="B103" s="122"/>
      <c r="C103" s="28">
        <v>2239</v>
      </c>
      <c r="D103" s="101"/>
      <c r="E103" s="12"/>
      <c r="F103" s="12"/>
      <c r="G103" s="22"/>
      <c r="H103" s="12"/>
      <c r="I103" s="22"/>
      <c r="J103" s="22"/>
      <c r="K103" s="22">
        <f>660.66+660.66</f>
        <v>1321.32</v>
      </c>
      <c r="L103" s="12"/>
      <c r="M103" s="12"/>
      <c r="N103" s="12"/>
      <c r="O103" s="12"/>
      <c r="P103" s="12"/>
      <c r="Q103" s="27">
        <f t="shared" si="13"/>
        <v>1321.32</v>
      </c>
      <c r="R103" s="12">
        <f>1322-Q103</f>
        <v>0.6800000000000637</v>
      </c>
      <c r="S103" s="12"/>
      <c r="T103" s="104"/>
      <c r="U103" s="29"/>
    </row>
    <row r="104" spans="1:21" ht="11.25" customHeight="1">
      <c r="A104" s="143"/>
      <c r="B104" s="122"/>
      <c r="C104" s="145">
        <v>2231</v>
      </c>
      <c r="D104" s="101"/>
      <c r="E104" s="12"/>
      <c r="F104" s="12"/>
      <c r="G104" s="22"/>
      <c r="H104" s="12"/>
      <c r="I104" s="22"/>
      <c r="J104" s="22"/>
      <c r="K104" s="12"/>
      <c r="L104" s="12"/>
      <c r="M104" s="12"/>
      <c r="N104" s="12"/>
      <c r="O104" s="12"/>
      <c r="P104" s="12"/>
      <c r="Q104" s="27">
        <f t="shared" si="13"/>
        <v>0</v>
      </c>
      <c r="R104" s="22">
        <f>94-Q104</f>
        <v>94</v>
      </c>
      <c r="S104" s="12"/>
      <c r="T104" s="104"/>
      <c r="U104" s="159"/>
    </row>
    <row r="105" spans="1:21" ht="11.25" customHeight="1">
      <c r="A105" s="143"/>
      <c r="B105" s="122"/>
      <c r="C105" s="147"/>
      <c r="D105" s="101"/>
      <c r="E105" s="12"/>
      <c r="F105" s="12"/>
      <c r="G105" s="22"/>
      <c r="H105" s="12"/>
      <c r="I105" s="22"/>
      <c r="J105" s="22"/>
      <c r="K105" s="12"/>
      <c r="L105" s="12"/>
      <c r="M105" s="12"/>
      <c r="N105" s="12"/>
      <c r="O105" s="12"/>
      <c r="P105" s="12"/>
      <c r="Q105" s="27">
        <f t="shared" si="13"/>
        <v>0</v>
      </c>
      <c r="R105" s="22">
        <f>500-Q105</f>
        <v>500</v>
      </c>
      <c r="S105" s="12"/>
      <c r="T105" s="104"/>
      <c r="U105" s="162"/>
    </row>
    <row r="106" spans="1:21" ht="11.25" customHeight="1">
      <c r="A106" s="144"/>
      <c r="B106" s="121"/>
      <c r="C106" s="30">
        <v>2223</v>
      </c>
      <c r="D106" s="102"/>
      <c r="E106" s="12"/>
      <c r="F106" s="12"/>
      <c r="G106" s="22"/>
      <c r="H106" s="12"/>
      <c r="I106" s="22"/>
      <c r="J106" s="22"/>
      <c r="K106" s="12"/>
      <c r="L106" s="12"/>
      <c r="M106" s="12"/>
      <c r="N106" s="12"/>
      <c r="O106" s="12"/>
      <c r="P106" s="12"/>
      <c r="Q106" s="27">
        <f t="shared" si="13"/>
        <v>0</v>
      </c>
      <c r="R106" s="22">
        <f>50-Q106</f>
        <v>50</v>
      </c>
      <c r="S106" s="12"/>
      <c r="T106" s="105"/>
      <c r="U106" s="31"/>
    </row>
    <row r="107" spans="1:21" ht="11.25">
      <c r="A107" s="26">
        <v>30</v>
      </c>
      <c r="B107" s="16"/>
      <c r="C107" s="21"/>
      <c r="D107" s="27"/>
      <c r="E107" s="12"/>
      <c r="F107" s="12"/>
      <c r="G107" s="22"/>
      <c r="H107" s="12"/>
      <c r="I107" s="12"/>
      <c r="J107" s="12"/>
      <c r="K107" s="12"/>
      <c r="L107" s="12"/>
      <c r="M107" s="12"/>
      <c r="N107" s="12"/>
      <c r="O107" s="12"/>
      <c r="P107" s="12"/>
      <c r="Q107" s="27"/>
      <c r="R107" s="12"/>
      <c r="S107" s="12"/>
      <c r="T107" s="12"/>
      <c r="U107" s="23"/>
    </row>
    <row r="108" spans="1:21" ht="12.75" customHeight="1">
      <c r="A108" s="126" t="s">
        <v>91</v>
      </c>
      <c r="B108" s="148"/>
      <c r="C108" s="73">
        <v>2279</v>
      </c>
      <c r="D108" s="74">
        <f>SUM(D109:D110)</f>
        <v>4745</v>
      </c>
      <c r="E108" s="74">
        <f aca="true" t="shared" si="14" ref="E108:U108">SUM(E109:E110)</f>
        <v>0</v>
      </c>
      <c r="F108" s="74">
        <f t="shared" si="14"/>
        <v>0</v>
      </c>
      <c r="G108" s="74">
        <f t="shared" si="14"/>
        <v>3327.5</v>
      </c>
      <c r="H108" s="74">
        <f t="shared" si="14"/>
        <v>0</v>
      </c>
      <c r="I108" s="74">
        <f t="shared" si="14"/>
        <v>0</v>
      </c>
      <c r="J108" s="74">
        <f t="shared" si="14"/>
        <v>0</v>
      </c>
      <c r="K108" s="74">
        <f t="shared" si="14"/>
        <v>0</v>
      </c>
      <c r="L108" s="74">
        <f t="shared" si="14"/>
        <v>0</v>
      </c>
      <c r="M108" s="74">
        <f t="shared" si="14"/>
        <v>0</v>
      </c>
      <c r="N108" s="74">
        <f t="shared" si="14"/>
        <v>0</v>
      </c>
      <c r="O108" s="74">
        <f t="shared" si="14"/>
        <v>0</v>
      </c>
      <c r="P108" s="74">
        <f t="shared" si="14"/>
        <v>0</v>
      </c>
      <c r="Q108" s="74">
        <f t="shared" si="14"/>
        <v>3327.5</v>
      </c>
      <c r="R108" s="74">
        <f t="shared" si="14"/>
        <v>0</v>
      </c>
      <c r="S108" s="74">
        <f>SUM(S109:S110)</f>
        <v>1417.5</v>
      </c>
      <c r="T108" s="74">
        <f t="shared" si="14"/>
        <v>1417.5</v>
      </c>
      <c r="U108" s="74">
        <f t="shared" si="14"/>
        <v>-1417</v>
      </c>
    </row>
    <row r="109" spans="1:21" ht="22.5">
      <c r="A109" s="20">
        <v>1</v>
      </c>
      <c r="B109" s="20" t="s">
        <v>92</v>
      </c>
      <c r="C109" s="19"/>
      <c r="D109" s="12">
        <f>3245</f>
        <v>3245</v>
      </c>
      <c r="E109" s="12"/>
      <c r="F109" s="12"/>
      <c r="G109" s="12">
        <f>3327.5</f>
        <v>3327.5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>
        <f>SUM(E109:P109)</f>
        <v>3327.5</v>
      </c>
      <c r="R109" s="12">
        <f>3327.5-Q109</f>
        <v>0</v>
      </c>
      <c r="S109" s="17">
        <f>D109-Q109</f>
        <v>-82.5</v>
      </c>
      <c r="T109" s="12">
        <f>S109-R109</f>
        <v>-82.5</v>
      </c>
      <c r="U109" s="19">
        <v>83</v>
      </c>
    </row>
    <row r="110" spans="1:21" ht="22.5">
      <c r="A110" s="20">
        <v>2</v>
      </c>
      <c r="B110" s="20" t="s">
        <v>93</v>
      </c>
      <c r="C110" s="19"/>
      <c r="D110" s="12">
        <f>3500-2000</f>
        <v>1500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>
        <f>SUM(E110:P110)</f>
        <v>0</v>
      </c>
      <c r="R110" s="12"/>
      <c r="S110" s="12">
        <f>D110-Q110</f>
        <v>1500</v>
      </c>
      <c r="T110" s="12">
        <f>S110-R110</f>
        <v>1500</v>
      </c>
      <c r="U110" s="19">
        <v>-1500</v>
      </c>
    </row>
    <row r="111" spans="1:21" ht="12.75" customHeight="1">
      <c r="A111" s="126" t="s">
        <v>94</v>
      </c>
      <c r="B111" s="148"/>
      <c r="C111" s="73"/>
      <c r="D111" s="74">
        <f>SUM(D112:D120)</f>
        <v>16885</v>
      </c>
      <c r="E111" s="74">
        <f aca="true" t="shared" si="15" ref="E111:U111">SUM(E112:E120)</f>
        <v>0</v>
      </c>
      <c r="F111" s="74">
        <f t="shared" si="15"/>
        <v>149.19</v>
      </c>
      <c r="G111" s="74">
        <f t="shared" si="15"/>
        <v>3806.5</v>
      </c>
      <c r="H111" s="74">
        <f t="shared" si="15"/>
        <v>0</v>
      </c>
      <c r="I111" s="74">
        <f t="shared" si="15"/>
        <v>0</v>
      </c>
      <c r="J111" s="74">
        <f t="shared" si="15"/>
        <v>0</v>
      </c>
      <c r="K111" s="74">
        <f t="shared" si="15"/>
        <v>0</v>
      </c>
      <c r="L111" s="74">
        <f t="shared" si="15"/>
        <v>0</v>
      </c>
      <c r="M111" s="74">
        <f t="shared" si="15"/>
        <v>0</v>
      </c>
      <c r="N111" s="74">
        <f t="shared" si="15"/>
        <v>0</v>
      </c>
      <c r="O111" s="74">
        <f t="shared" si="15"/>
        <v>0</v>
      </c>
      <c r="P111" s="74">
        <f t="shared" si="15"/>
        <v>0</v>
      </c>
      <c r="Q111" s="74">
        <f t="shared" si="15"/>
        <v>3955.69</v>
      </c>
      <c r="R111" s="74">
        <f t="shared" si="15"/>
        <v>3800</v>
      </c>
      <c r="S111" s="74">
        <f t="shared" si="15"/>
        <v>12929.31</v>
      </c>
      <c r="T111" s="74">
        <f t="shared" si="15"/>
        <v>9129.31</v>
      </c>
      <c r="U111" s="74">
        <f t="shared" si="15"/>
        <v>-7600</v>
      </c>
    </row>
    <row r="112" spans="1:21" ht="11.25" customHeight="1">
      <c r="A112" s="112">
        <v>1</v>
      </c>
      <c r="B112" s="120" t="s">
        <v>95</v>
      </c>
      <c r="C112" s="123">
        <v>2279</v>
      </c>
      <c r="D112" s="149">
        <f>13905-4000</f>
        <v>9905</v>
      </c>
      <c r="E112" s="12"/>
      <c r="F112" s="12"/>
      <c r="G112" s="12">
        <f>617.5</f>
        <v>617.5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49">
        <f>SUM(E112:P115)</f>
        <v>2821.5</v>
      </c>
      <c r="R112" s="12"/>
      <c r="S112" s="100">
        <f>D112-Q112</f>
        <v>7083.5</v>
      </c>
      <c r="T112" s="100">
        <f>S112-SUM(R112:R115)</f>
        <v>3283.5</v>
      </c>
      <c r="U112" s="133">
        <v>-3000</v>
      </c>
    </row>
    <row r="113" spans="1:21" ht="11.25">
      <c r="A113" s="119"/>
      <c r="B113" s="122"/>
      <c r="C113" s="124"/>
      <c r="D113" s="150"/>
      <c r="E113" s="12"/>
      <c r="F113" s="12"/>
      <c r="G113" s="12">
        <f>304+950+950</f>
        <v>2204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50"/>
      <c r="R113" s="12"/>
      <c r="S113" s="101"/>
      <c r="T113" s="101"/>
      <c r="U113" s="134"/>
    </row>
    <row r="114" spans="1:21" ht="11.25">
      <c r="A114" s="119"/>
      <c r="B114" s="122"/>
      <c r="C114" s="124"/>
      <c r="D114" s="150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50"/>
      <c r="R114" s="12">
        <f>3800-SUM(E114:P114)</f>
        <v>3800</v>
      </c>
      <c r="S114" s="101"/>
      <c r="T114" s="101"/>
      <c r="U114" s="134"/>
    </row>
    <row r="115" spans="1:21" ht="11.25">
      <c r="A115" s="15"/>
      <c r="B115" s="121"/>
      <c r="C115" s="125"/>
      <c r="D115" s="151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51"/>
      <c r="R115" s="12"/>
      <c r="S115" s="102"/>
      <c r="T115" s="102"/>
      <c r="U115" s="135"/>
    </row>
    <row r="116" spans="1:21" ht="22.5">
      <c r="A116" s="10">
        <v>3</v>
      </c>
      <c r="B116" s="10" t="s">
        <v>96</v>
      </c>
      <c r="C116" s="11">
        <v>2390</v>
      </c>
      <c r="D116" s="12">
        <v>200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>
        <f>SUM(E116:P116)</f>
        <v>0</v>
      </c>
      <c r="R116" s="12"/>
      <c r="S116" s="12">
        <f>D116-Q116</f>
        <v>200</v>
      </c>
      <c r="T116" s="12">
        <f>S116-R116</f>
        <v>200</v>
      </c>
      <c r="U116" s="11"/>
    </row>
    <row r="117" spans="1:21" ht="22.5">
      <c r="A117" s="10">
        <v>4</v>
      </c>
      <c r="B117" s="10" t="s">
        <v>97</v>
      </c>
      <c r="C117" s="11">
        <v>2279</v>
      </c>
      <c r="D117" s="12">
        <v>3800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>
        <f>SUM(E117:P117)</f>
        <v>0</v>
      </c>
      <c r="R117" s="12"/>
      <c r="S117" s="12">
        <f>D117-Q117</f>
        <v>3800</v>
      </c>
      <c r="T117" s="12">
        <f>S117-R117</f>
        <v>3800</v>
      </c>
      <c r="U117" s="11">
        <v>-3800</v>
      </c>
    </row>
    <row r="118" spans="1:21" ht="11.25">
      <c r="A118" s="140">
        <v>5</v>
      </c>
      <c r="B118" s="138" t="s">
        <v>98</v>
      </c>
      <c r="C118" s="141">
        <v>2231</v>
      </c>
      <c r="D118" s="136">
        <f>2980</f>
        <v>2980</v>
      </c>
      <c r="E118" s="12"/>
      <c r="F118" s="12">
        <f>149.19</f>
        <v>149.19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36">
        <f>SUM(E118:P120)</f>
        <v>1134.19</v>
      </c>
      <c r="R118" s="12"/>
      <c r="S118" s="136">
        <f>D118-Q118</f>
        <v>1845.81</v>
      </c>
      <c r="T118" s="136">
        <f>S118-SUM(R118:R120)</f>
        <v>1845.81</v>
      </c>
      <c r="U118" s="141">
        <v>-800</v>
      </c>
    </row>
    <row r="119" spans="1:21" ht="11.25">
      <c r="A119" s="140"/>
      <c r="B119" s="138"/>
      <c r="C119" s="141"/>
      <c r="D119" s="136"/>
      <c r="E119" s="12"/>
      <c r="F119" s="12"/>
      <c r="G119" s="12">
        <v>985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36"/>
      <c r="R119" s="12"/>
      <c r="S119" s="136"/>
      <c r="T119" s="136"/>
      <c r="U119" s="141"/>
    </row>
    <row r="120" spans="1:21" ht="11.25" hidden="1">
      <c r="A120" s="140"/>
      <c r="B120" s="138"/>
      <c r="C120" s="141"/>
      <c r="D120" s="136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36"/>
      <c r="R120" s="12"/>
      <c r="S120" s="136"/>
      <c r="T120" s="136"/>
      <c r="U120" s="141"/>
    </row>
    <row r="121" spans="1:21" ht="12.75" customHeight="1">
      <c r="A121" s="126" t="s">
        <v>99</v>
      </c>
      <c r="B121" s="97"/>
      <c r="C121" s="73">
        <v>2390</v>
      </c>
      <c r="D121" s="74">
        <f>D122</f>
        <v>300</v>
      </c>
      <c r="E121" s="74">
        <f aca="true" t="shared" si="16" ref="E121:U121">E122</f>
        <v>0</v>
      </c>
      <c r="F121" s="74">
        <f t="shared" si="16"/>
        <v>0</v>
      </c>
      <c r="G121" s="74">
        <f t="shared" si="16"/>
        <v>0</v>
      </c>
      <c r="H121" s="74">
        <f t="shared" si="16"/>
        <v>0</v>
      </c>
      <c r="I121" s="74">
        <f t="shared" si="16"/>
        <v>0</v>
      </c>
      <c r="J121" s="74">
        <f t="shared" si="16"/>
        <v>0</v>
      </c>
      <c r="K121" s="74">
        <f t="shared" si="16"/>
        <v>0</v>
      </c>
      <c r="L121" s="74">
        <f t="shared" si="16"/>
        <v>0</v>
      </c>
      <c r="M121" s="74">
        <f t="shared" si="16"/>
        <v>0</v>
      </c>
      <c r="N121" s="74">
        <f t="shared" si="16"/>
        <v>0</v>
      </c>
      <c r="O121" s="74">
        <f t="shared" si="16"/>
        <v>0</v>
      </c>
      <c r="P121" s="74">
        <f t="shared" si="16"/>
        <v>0</v>
      </c>
      <c r="Q121" s="74">
        <f t="shared" si="16"/>
        <v>0</v>
      </c>
      <c r="R121" s="74">
        <f t="shared" si="16"/>
        <v>0</v>
      </c>
      <c r="S121" s="74">
        <f t="shared" si="16"/>
        <v>300</v>
      </c>
      <c r="T121" s="74">
        <f t="shared" si="16"/>
        <v>300</v>
      </c>
      <c r="U121" s="74">
        <f t="shared" si="16"/>
        <v>-300</v>
      </c>
    </row>
    <row r="122" spans="1:21" ht="22.5">
      <c r="A122" s="20">
        <v>1</v>
      </c>
      <c r="B122" s="20" t="s">
        <v>100</v>
      </c>
      <c r="C122" s="19"/>
      <c r="D122" s="12">
        <v>300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>
        <f>SUM(E122:P122)</f>
        <v>0</v>
      </c>
      <c r="R122" s="12"/>
      <c r="S122" s="12">
        <f>D122-Q122</f>
        <v>300</v>
      </c>
      <c r="T122" s="12">
        <f>S122-R122</f>
        <v>300</v>
      </c>
      <c r="U122" s="19">
        <v>-300</v>
      </c>
    </row>
    <row r="123" spans="1:21" ht="38.25" customHeight="1">
      <c r="A123" s="126" t="s">
        <v>101</v>
      </c>
      <c r="B123" s="97"/>
      <c r="C123" s="73">
        <v>2239</v>
      </c>
      <c r="D123" s="74">
        <v>20000</v>
      </c>
      <c r="E123" s="76"/>
      <c r="F123" s="76"/>
      <c r="G123" s="76"/>
      <c r="H123" s="76">
        <f>6046.98</f>
        <v>6046.98</v>
      </c>
      <c r="I123" s="74"/>
      <c r="J123" s="76"/>
      <c r="K123" s="76">
        <f>4598+1210</f>
        <v>5808</v>
      </c>
      <c r="L123" s="74">
        <f>L125</f>
        <v>0</v>
      </c>
      <c r="M123" s="74">
        <f>M125</f>
        <v>0</v>
      </c>
      <c r="N123" s="74">
        <f>N125</f>
        <v>0</v>
      </c>
      <c r="O123" s="74">
        <f>O125</f>
        <v>0</v>
      </c>
      <c r="P123" s="74">
        <f>P125</f>
        <v>0</v>
      </c>
      <c r="Q123" s="77">
        <f>SUM(E123:P123)</f>
        <v>11854.98</v>
      </c>
      <c r="R123" s="76">
        <f>12093.95-Q123</f>
        <v>238.97000000000116</v>
      </c>
      <c r="S123" s="77">
        <f>D123-Q123</f>
        <v>8145.02</v>
      </c>
      <c r="T123" s="77">
        <f>S123-R123</f>
        <v>7906.049999999999</v>
      </c>
      <c r="U123" s="77">
        <v>-5000</v>
      </c>
    </row>
    <row r="124" spans="1:21" s="38" customFormat="1" ht="11.25">
      <c r="A124" s="32"/>
      <c r="B124" s="32"/>
      <c r="C124" s="33"/>
      <c r="D124" s="34"/>
      <c r="E124" s="34"/>
      <c r="F124" s="34"/>
      <c r="G124" s="34"/>
      <c r="H124" s="34"/>
      <c r="I124" s="35"/>
      <c r="J124" s="34"/>
      <c r="K124" s="34"/>
      <c r="L124" s="34"/>
      <c r="M124" s="34"/>
      <c r="N124" s="34"/>
      <c r="O124" s="34"/>
      <c r="P124" s="34"/>
      <c r="Q124" s="36"/>
      <c r="R124" s="34"/>
      <c r="S124" s="37"/>
      <c r="T124" s="37"/>
      <c r="U124" s="33"/>
    </row>
    <row r="125" spans="1:21" ht="11.25" hidden="1">
      <c r="A125" s="1"/>
      <c r="B125" s="4" t="s">
        <v>102</v>
      </c>
      <c r="C125" s="4"/>
      <c r="D125" s="39">
        <f>SUM(D126:D130)</f>
        <v>126550.4</v>
      </c>
      <c r="E125" s="39">
        <f aca="true" t="shared" si="17" ref="E125:T125">SUM(E126:E130)</f>
        <v>236</v>
      </c>
      <c r="F125" s="39">
        <f t="shared" si="17"/>
        <v>855.14</v>
      </c>
      <c r="G125" s="39">
        <f t="shared" si="17"/>
        <v>21903.559999999998</v>
      </c>
      <c r="H125" s="39">
        <f t="shared" si="17"/>
        <v>1395.7</v>
      </c>
      <c r="I125" s="39">
        <f t="shared" si="17"/>
        <v>13022.099999999997</v>
      </c>
      <c r="J125" s="39">
        <f t="shared" si="17"/>
        <v>7233.879999999999</v>
      </c>
      <c r="K125" s="39">
        <f t="shared" si="17"/>
        <v>2390.42</v>
      </c>
      <c r="L125" s="39">
        <f t="shared" si="17"/>
        <v>0</v>
      </c>
      <c r="M125" s="39">
        <f t="shared" si="17"/>
        <v>0</v>
      </c>
      <c r="N125" s="39">
        <f t="shared" si="17"/>
        <v>0</v>
      </c>
      <c r="O125" s="39">
        <f t="shared" si="17"/>
        <v>0</v>
      </c>
      <c r="P125" s="39">
        <f t="shared" si="17"/>
        <v>0</v>
      </c>
      <c r="Q125" s="40">
        <f aca="true" t="shared" si="18" ref="Q125:Q130">SUM(E125:P125)</f>
        <v>47036.79999999999</v>
      </c>
      <c r="R125" s="39">
        <f t="shared" si="17"/>
        <v>24016.67</v>
      </c>
      <c r="S125" s="39">
        <f t="shared" si="17"/>
        <v>76324.6</v>
      </c>
      <c r="T125" s="39">
        <f t="shared" si="17"/>
        <v>48507.93000000001</v>
      </c>
      <c r="U125" s="4"/>
    </row>
    <row r="126" spans="1:21" ht="11.25" hidden="1">
      <c r="A126" s="1"/>
      <c r="B126" s="1">
        <v>2213</v>
      </c>
      <c r="C126" s="4">
        <v>2213</v>
      </c>
      <c r="D126" s="41">
        <f>SUM(D26)</f>
        <v>9645</v>
      </c>
      <c r="E126" s="42">
        <f aca="true" t="shared" si="19" ref="E126:T126">SUM(E26)</f>
        <v>0</v>
      </c>
      <c r="F126" s="42">
        <f t="shared" si="19"/>
        <v>0</v>
      </c>
      <c r="G126" s="42">
        <f t="shared" si="19"/>
        <v>1173.7</v>
      </c>
      <c r="H126" s="42">
        <f t="shared" si="19"/>
        <v>145.2</v>
      </c>
      <c r="I126" s="42">
        <f t="shared" si="19"/>
        <v>0</v>
      </c>
      <c r="J126" s="42">
        <f t="shared" si="19"/>
        <v>120</v>
      </c>
      <c r="K126" s="42">
        <f t="shared" si="19"/>
        <v>0</v>
      </c>
      <c r="L126" s="42">
        <f t="shared" si="19"/>
        <v>0</v>
      </c>
      <c r="M126" s="42">
        <f t="shared" si="19"/>
        <v>0</v>
      </c>
      <c r="N126" s="42">
        <f t="shared" si="19"/>
        <v>0</v>
      </c>
      <c r="O126" s="42">
        <f t="shared" si="19"/>
        <v>0</v>
      </c>
      <c r="P126" s="42">
        <f t="shared" si="19"/>
        <v>0</v>
      </c>
      <c r="Q126" s="12">
        <f t="shared" si="18"/>
        <v>1438.9</v>
      </c>
      <c r="R126" s="42">
        <f t="shared" si="19"/>
        <v>0</v>
      </c>
      <c r="S126" s="42">
        <f t="shared" si="19"/>
        <v>8206.1</v>
      </c>
      <c r="T126" s="42">
        <f t="shared" si="19"/>
        <v>8206.1</v>
      </c>
      <c r="U126" s="4"/>
    </row>
    <row r="127" spans="1:21" ht="12.75" customHeight="1" hidden="1">
      <c r="A127" s="1"/>
      <c r="B127" s="1">
        <v>2231</v>
      </c>
      <c r="C127" s="4">
        <v>2231</v>
      </c>
      <c r="D127" s="41">
        <f aca="true" t="shared" si="20" ref="D127:P127">SUM(D60,D118)</f>
        <v>6691</v>
      </c>
      <c r="E127" s="42">
        <f t="shared" si="20"/>
        <v>0</v>
      </c>
      <c r="F127" s="42">
        <f t="shared" si="20"/>
        <v>149.19</v>
      </c>
      <c r="G127" s="42">
        <f t="shared" si="20"/>
        <v>2529.5699999999997</v>
      </c>
      <c r="H127" s="42">
        <f t="shared" si="20"/>
        <v>1188.69</v>
      </c>
      <c r="I127" s="42">
        <f t="shared" si="20"/>
        <v>1551.3899999999999</v>
      </c>
      <c r="J127" s="42">
        <f t="shared" si="20"/>
        <v>0</v>
      </c>
      <c r="K127" s="42">
        <f t="shared" si="20"/>
        <v>426.9</v>
      </c>
      <c r="L127" s="42">
        <f t="shared" si="20"/>
        <v>0</v>
      </c>
      <c r="M127" s="42">
        <f t="shared" si="20"/>
        <v>0</v>
      </c>
      <c r="N127" s="42">
        <f t="shared" si="20"/>
        <v>0</v>
      </c>
      <c r="O127" s="42">
        <f t="shared" si="20"/>
        <v>0</v>
      </c>
      <c r="P127" s="42">
        <f t="shared" si="20"/>
        <v>0</v>
      </c>
      <c r="Q127" s="12">
        <f t="shared" si="18"/>
        <v>5845.74</v>
      </c>
      <c r="R127" s="42">
        <f>SUM(R60,R118)</f>
        <v>594</v>
      </c>
      <c r="S127" s="42">
        <f>SUM(S60,S118)</f>
        <v>-139.73999999999933</v>
      </c>
      <c r="T127" s="42">
        <f>SUM(T60,T118)</f>
        <v>-733.7399999999993</v>
      </c>
      <c r="U127" s="4"/>
    </row>
    <row r="128" spans="1:21" ht="11.25" hidden="1">
      <c r="A128" s="1"/>
      <c r="B128" s="1">
        <v>2239</v>
      </c>
      <c r="C128" s="4">
        <v>2239</v>
      </c>
      <c r="D128" s="41">
        <f aca="true" t="shared" si="21" ref="D128:P128">SUM(D12,D15,D34,D41,D50,D59)</f>
        <v>60362.4</v>
      </c>
      <c r="E128" s="42">
        <f t="shared" si="21"/>
        <v>236</v>
      </c>
      <c r="F128" s="42">
        <f t="shared" si="21"/>
        <v>97.2</v>
      </c>
      <c r="G128" s="42">
        <f t="shared" si="21"/>
        <v>8284.24</v>
      </c>
      <c r="H128" s="42">
        <f t="shared" si="21"/>
        <v>61.81</v>
      </c>
      <c r="I128" s="42">
        <f t="shared" si="21"/>
        <v>11276.269999999999</v>
      </c>
      <c r="J128" s="42">
        <f t="shared" si="21"/>
        <v>7006.19</v>
      </c>
      <c r="K128" s="42">
        <f t="shared" si="21"/>
        <v>1963.52</v>
      </c>
      <c r="L128" s="42">
        <f t="shared" si="21"/>
        <v>0</v>
      </c>
      <c r="M128" s="42">
        <f t="shared" si="21"/>
        <v>0</v>
      </c>
      <c r="N128" s="42">
        <f t="shared" si="21"/>
        <v>0</v>
      </c>
      <c r="O128" s="42">
        <f t="shared" si="21"/>
        <v>0</v>
      </c>
      <c r="P128" s="42">
        <f t="shared" si="21"/>
        <v>0</v>
      </c>
      <c r="Q128" s="12">
        <f t="shared" si="18"/>
        <v>28925.229999999996</v>
      </c>
      <c r="R128" s="42">
        <f>SUM(R12,R15,R34,R41,R50,R59)</f>
        <v>17800.67</v>
      </c>
      <c r="S128" s="42">
        <f>SUM(S12,S15,S34,S41,S50,S59)</f>
        <v>31437.170000000002</v>
      </c>
      <c r="T128" s="42">
        <f>SUM(T12,T15,T34,T41,T50,T59)</f>
        <v>13636.500000000002</v>
      </c>
      <c r="U128" s="4"/>
    </row>
    <row r="129" spans="1:21" ht="11.25" hidden="1">
      <c r="A129" s="1"/>
      <c r="B129" s="1">
        <v>2279</v>
      </c>
      <c r="C129" s="4">
        <v>2279</v>
      </c>
      <c r="D129" s="41">
        <f aca="true" t="shared" si="22" ref="D129:P129">SUM(D37,D108,D43,D112,D117,D61)</f>
        <v>45352</v>
      </c>
      <c r="E129" s="42">
        <f t="shared" si="22"/>
        <v>0</v>
      </c>
      <c r="F129" s="42">
        <f t="shared" si="22"/>
        <v>0</v>
      </c>
      <c r="G129" s="42">
        <f t="shared" si="22"/>
        <v>9686.880000000001</v>
      </c>
      <c r="H129" s="42">
        <f t="shared" si="22"/>
        <v>0</v>
      </c>
      <c r="I129" s="42">
        <f t="shared" si="22"/>
        <v>151.3</v>
      </c>
      <c r="J129" s="42">
        <f t="shared" si="22"/>
        <v>0</v>
      </c>
      <c r="K129" s="42">
        <f t="shared" si="22"/>
        <v>0</v>
      </c>
      <c r="L129" s="42">
        <f t="shared" si="22"/>
        <v>0</v>
      </c>
      <c r="M129" s="42">
        <f t="shared" si="22"/>
        <v>0</v>
      </c>
      <c r="N129" s="42">
        <f t="shared" si="22"/>
        <v>0</v>
      </c>
      <c r="O129" s="42">
        <f t="shared" si="22"/>
        <v>0</v>
      </c>
      <c r="P129" s="42">
        <f t="shared" si="22"/>
        <v>0</v>
      </c>
      <c r="Q129" s="12">
        <f t="shared" si="18"/>
        <v>9838.18</v>
      </c>
      <c r="R129" s="42">
        <f>SUM(R37,R108,R43,R112,R117,R61)</f>
        <v>5231</v>
      </c>
      <c r="S129" s="42">
        <f>SUM(S37,S108,S43,S112,S117,S61)</f>
        <v>33309.82</v>
      </c>
      <c r="T129" s="42">
        <f>SUM(T37,T108,T43,T112,T117,T61)</f>
        <v>24278.820000000003</v>
      </c>
      <c r="U129" s="4"/>
    </row>
    <row r="130" spans="1:21" ht="11.25" hidden="1">
      <c r="A130" s="1"/>
      <c r="B130" s="1">
        <v>2390</v>
      </c>
      <c r="C130" s="4">
        <v>2390</v>
      </c>
      <c r="D130" s="42">
        <f aca="true" t="shared" si="23" ref="D130:P130">SUM(D62,D121,D116)</f>
        <v>4500</v>
      </c>
      <c r="E130" s="42">
        <f t="shared" si="23"/>
        <v>0</v>
      </c>
      <c r="F130" s="42">
        <f t="shared" si="23"/>
        <v>608.75</v>
      </c>
      <c r="G130" s="42">
        <f t="shared" si="23"/>
        <v>229.17</v>
      </c>
      <c r="H130" s="42">
        <f t="shared" si="23"/>
        <v>0</v>
      </c>
      <c r="I130" s="42">
        <f t="shared" si="23"/>
        <v>43.14</v>
      </c>
      <c r="J130" s="42">
        <f t="shared" si="23"/>
        <v>107.69</v>
      </c>
      <c r="K130" s="42">
        <f t="shared" si="23"/>
        <v>0</v>
      </c>
      <c r="L130" s="42">
        <f t="shared" si="23"/>
        <v>0</v>
      </c>
      <c r="M130" s="42">
        <f t="shared" si="23"/>
        <v>0</v>
      </c>
      <c r="N130" s="42">
        <f t="shared" si="23"/>
        <v>0</v>
      </c>
      <c r="O130" s="42">
        <f t="shared" si="23"/>
        <v>0</v>
      </c>
      <c r="P130" s="42">
        <f t="shared" si="23"/>
        <v>0</v>
      </c>
      <c r="Q130" s="12">
        <f t="shared" si="18"/>
        <v>988.75</v>
      </c>
      <c r="R130" s="42">
        <f>SUM(R62,R121,R116)</f>
        <v>391</v>
      </c>
      <c r="S130" s="42">
        <f>SUM(S62,S121,S116)</f>
        <v>3511.25</v>
      </c>
      <c r="T130" s="42">
        <f>SUM(T62,T121,T116)</f>
        <v>3120.25</v>
      </c>
      <c r="U130" s="4"/>
    </row>
    <row r="131" spans="1:21" ht="11.25" hidden="1">
      <c r="A131" s="1"/>
      <c r="B131" s="1"/>
      <c r="C131" s="4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"/>
    </row>
    <row r="132" spans="1:21" ht="11.25">
      <c r="A132" s="1"/>
      <c r="B132" s="1"/>
      <c r="C132" s="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1"/>
    </row>
    <row r="133" spans="1:21" ht="0.75" customHeight="1">
      <c r="A133" s="1"/>
      <c r="B133" s="1"/>
      <c r="C133" s="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1"/>
    </row>
    <row r="134" spans="1:21" ht="11.25">
      <c r="A134" s="1" t="s">
        <v>103</v>
      </c>
      <c r="B134" s="1"/>
      <c r="C134" s="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1"/>
    </row>
    <row r="135" spans="1:21" ht="11.25">
      <c r="A135" s="98" t="s">
        <v>2</v>
      </c>
      <c r="B135" s="98" t="s">
        <v>3</v>
      </c>
      <c r="C135" s="128" t="s">
        <v>4</v>
      </c>
      <c r="D135" s="98" t="s">
        <v>5</v>
      </c>
      <c r="E135" s="130" t="s">
        <v>6</v>
      </c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2"/>
      <c r="S135" s="96" t="s">
        <v>7</v>
      </c>
      <c r="T135" s="96" t="s">
        <v>8</v>
      </c>
      <c r="U135" s="98" t="s">
        <v>131</v>
      </c>
    </row>
    <row r="136" spans="1:21" ht="45">
      <c r="A136" s="98"/>
      <c r="B136" s="98"/>
      <c r="C136" s="129"/>
      <c r="D136" s="98"/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104</v>
      </c>
      <c r="R136" s="7" t="s">
        <v>22</v>
      </c>
      <c r="S136" s="127"/>
      <c r="T136" s="127"/>
      <c r="U136" s="98"/>
    </row>
    <row r="137" spans="1:21" ht="11.25">
      <c r="A137" s="154" t="s">
        <v>102</v>
      </c>
      <c r="B137" s="155"/>
      <c r="C137" s="78"/>
      <c r="D137" s="79">
        <f>SUM(D138:D144)</f>
        <v>70600</v>
      </c>
      <c r="E137" s="79">
        <f aca="true" t="shared" si="24" ref="E137:U137">SUM(E138:E144)</f>
        <v>4720</v>
      </c>
      <c r="F137" s="79">
        <f t="shared" si="24"/>
        <v>4720</v>
      </c>
      <c r="G137" s="79">
        <f t="shared" si="24"/>
        <v>2178</v>
      </c>
      <c r="H137" s="79">
        <f t="shared" si="24"/>
        <v>9800</v>
      </c>
      <c r="I137" s="79">
        <f t="shared" si="24"/>
        <v>7744</v>
      </c>
      <c r="J137" s="79">
        <f t="shared" si="24"/>
        <v>10487.07</v>
      </c>
      <c r="K137" s="79">
        <f t="shared" si="24"/>
        <v>0</v>
      </c>
      <c r="L137" s="79">
        <f t="shared" si="24"/>
        <v>0</v>
      </c>
      <c r="M137" s="79">
        <f t="shared" si="24"/>
        <v>0</v>
      </c>
      <c r="N137" s="79">
        <f t="shared" si="24"/>
        <v>0</v>
      </c>
      <c r="O137" s="79">
        <f t="shared" si="24"/>
        <v>0</v>
      </c>
      <c r="P137" s="79">
        <f t="shared" si="24"/>
        <v>0</v>
      </c>
      <c r="Q137" s="79">
        <f t="shared" si="24"/>
        <v>39649.07</v>
      </c>
      <c r="R137" s="79">
        <f t="shared" si="24"/>
        <v>29414</v>
      </c>
      <c r="S137" s="79">
        <f t="shared" si="24"/>
        <v>30950.93</v>
      </c>
      <c r="T137" s="79">
        <f t="shared" si="24"/>
        <v>6134.93</v>
      </c>
      <c r="U137" s="79">
        <f t="shared" si="24"/>
        <v>-3001</v>
      </c>
    </row>
    <row r="138" spans="1:21" ht="11.25">
      <c r="A138" s="137">
        <v>1</v>
      </c>
      <c r="B138" s="138" t="s">
        <v>105</v>
      </c>
      <c r="C138" s="139">
        <v>2239</v>
      </c>
      <c r="D138" s="152">
        <f>56640+5425</f>
        <v>62065</v>
      </c>
      <c r="E138" s="43">
        <v>4720</v>
      </c>
      <c r="F138" s="43">
        <f>4720</f>
        <v>4720</v>
      </c>
      <c r="G138" s="43"/>
      <c r="H138" s="43">
        <f>4960+4840</f>
        <v>9800</v>
      </c>
      <c r="I138" s="43">
        <f>6050+1694</f>
        <v>7744</v>
      </c>
      <c r="J138" s="43">
        <f>4840</f>
        <v>4840</v>
      </c>
      <c r="K138" s="43"/>
      <c r="L138" s="43"/>
      <c r="M138" s="43"/>
      <c r="N138" s="43"/>
      <c r="O138" s="43"/>
      <c r="P138" s="43"/>
      <c r="Q138" s="12">
        <f aca="true" t="shared" si="25" ref="Q138:Q144">SUM(E138:P138)</f>
        <v>31824</v>
      </c>
      <c r="R138" s="12">
        <f>4720*12-Q138</f>
        <v>24816</v>
      </c>
      <c r="S138" s="136">
        <f>D138-SUM(Q138:Q141)</f>
        <v>24816.57</v>
      </c>
      <c r="T138" s="136">
        <f>S138-R138:R141</f>
        <v>0.569999999999709</v>
      </c>
      <c r="U138" s="139">
        <v>-1</v>
      </c>
    </row>
    <row r="139" spans="1:21" ht="11.25">
      <c r="A139" s="137"/>
      <c r="B139" s="138"/>
      <c r="C139" s="139"/>
      <c r="D139" s="152"/>
      <c r="E139" s="43"/>
      <c r="F139" s="43"/>
      <c r="G139" s="43"/>
      <c r="H139" s="43"/>
      <c r="I139" s="43"/>
      <c r="J139" s="43">
        <f>4598</f>
        <v>4598</v>
      </c>
      <c r="K139" s="43"/>
      <c r="L139" s="43"/>
      <c r="M139" s="43"/>
      <c r="N139" s="43"/>
      <c r="O139" s="43"/>
      <c r="P139" s="43"/>
      <c r="Q139" s="12">
        <f t="shared" si="25"/>
        <v>4598</v>
      </c>
      <c r="R139" s="44">
        <f>9196-Q139</f>
        <v>4598</v>
      </c>
      <c r="S139" s="136"/>
      <c r="T139" s="136"/>
      <c r="U139" s="139"/>
    </row>
    <row r="140" spans="1:21" ht="11.25">
      <c r="A140" s="137"/>
      <c r="B140" s="138"/>
      <c r="C140" s="139"/>
      <c r="D140" s="152"/>
      <c r="E140" s="43"/>
      <c r="F140" s="43"/>
      <c r="G140" s="43"/>
      <c r="H140" s="43"/>
      <c r="I140" s="43"/>
      <c r="J140" s="43">
        <v>826.43</v>
      </c>
      <c r="K140" s="43"/>
      <c r="L140" s="43"/>
      <c r="M140" s="43"/>
      <c r="N140" s="43"/>
      <c r="O140" s="43"/>
      <c r="P140" s="43"/>
      <c r="Q140" s="12">
        <f>SUM(E140:P140)</f>
        <v>826.43</v>
      </c>
      <c r="R140" s="44"/>
      <c r="S140" s="136"/>
      <c r="T140" s="136"/>
      <c r="U140" s="139"/>
    </row>
    <row r="141" spans="1:21" ht="11.25" customHeight="1" hidden="1">
      <c r="A141" s="137"/>
      <c r="B141" s="138"/>
      <c r="C141" s="139"/>
      <c r="D141" s="152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12">
        <f t="shared" si="25"/>
        <v>0</v>
      </c>
      <c r="R141" s="43"/>
      <c r="S141" s="136"/>
      <c r="T141" s="136"/>
      <c r="U141" s="139"/>
    </row>
    <row r="142" spans="1:21" ht="11.25">
      <c r="A142" s="137">
        <v>2</v>
      </c>
      <c r="B142" s="138" t="s">
        <v>106</v>
      </c>
      <c r="C142" s="137">
        <v>2239</v>
      </c>
      <c r="D142" s="152">
        <f>17460-5425-1500-2000</f>
        <v>8535</v>
      </c>
      <c r="E142" s="43"/>
      <c r="F142" s="43"/>
      <c r="G142" s="43">
        <f>992.2+1185.8</f>
        <v>2178</v>
      </c>
      <c r="H142" s="43"/>
      <c r="I142" s="43"/>
      <c r="J142" s="43"/>
      <c r="K142" s="43"/>
      <c r="L142" s="43"/>
      <c r="M142" s="43"/>
      <c r="N142" s="43"/>
      <c r="O142" s="43"/>
      <c r="P142" s="43"/>
      <c r="Q142" s="12">
        <f t="shared" si="25"/>
        <v>2178</v>
      </c>
      <c r="R142" s="43"/>
      <c r="S142" s="136">
        <f>D142-SUM(Q142:Q144)</f>
        <v>6134.360000000001</v>
      </c>
      <c r="T142" s="136">
        <f>D142-SUM(Q142:R144)</f>
        <v>6134.360000000001</v>
      </c>
      <c r="U142" s="163">
        <v>-3000</v>
      </c>
    </row>
    <row r="143" spans="1:21" ht="11.25">
      <c r="A143" s="137"/>
      <c r="B143" s="138"/>
      <c r="C143" s="137"/>
      <c r="D143" s="152"/>
      <c r="E143" s="43"/>
      <c r="F143" s="43"/>
      <c r="G143" s="43"/>
      <c r="H143" s="43"/>
      <c r="I143" s="43"/>
      <c r="J143" s="43">
        <v>222.64</v>
      </c>
      <c r="K143" s="43"/>
      <c r="L143" s="43"/>
      <c r="M143" s="43"/>
      <c r="N143" s="43"/>
      <c r="O143" s="43"/>
      <c r="P143" s="43"/>
      <c r="Q143" s="12">
        <f t="shared" si="25"/>
        <v>222.64</v>
      </c>
      <c r="R143" s="44"/>
      <c r="S143" s="136"/>
      <c r="T143" s="136"/>
      <c r="U143" s="164"/>
    </row>
    <row r="144" spans="1:21" ht="11.25">
      <c r="A144" s="137"/>
      <c r="B144" s="138"/>
      <c r="C144" s="137"/>
      <c r="D144" s="152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12">
        <f t="shared" si="25"/>
        <v>0</v>
      </c>
      <c r="R144" s="46"/>
      <c r="S144" s="136"/>
      <c r="T144" s="136"/>
      <c r="U144" s="165"/>
    </row>
    <row r="145" ht="11.25"/>
    <row r="146" ht="11.25">
      <c r="A146" s="2" t="s">
        <v>107</v>
      </c>
    </row>
    <row r="147" spans="1:21" ht="11.25">
      <c r="A147" s="98" t="s">
        <v>2</v>
      </c>
      <c r="B147" s="98" t="s">
        <v>3</v>
      </c>
      <c r="C147" s="128" t="s">
        <v>4</v>
      </c>
      <c r="D147" s="98" t="s">
        <v>5</v>
      </c>
      <c r="E147" s="130" t="s">
        <v>6</v>
      </c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2"/>
      <c r="S147" s="96" t="s">
        <v>7</v>
      </c>
      <c r="T147" s="96" t="s">
        <v>8</v>
      </c>
      <c r="U147" s="98" t="s">
        <v>131</v>
      </c>
    </row>
    <row r="148" spans="1:21" ht="45">
      <c r="A148" s="98"/>
      <c r="B148" s="98"/>
      <c r="C148" s="129"/>
      <c r="D148" s="98"/>
      <c r="E148" s="7" t="s">
        <v>9</v>
      </c>
      <c r="F148" s="7" t="s">
        <v>10</v>
      </c>
      <c r="G148" s="7" t="s">
        <v>11</v>
      </c>
      <c r="H148" s="7" t="s">
        <v>12</v>
      </c>
      <c r="I148" s="7" t="s">
        <v>13</v>
      </c>
      <c r="J148" s="7" t="s">
        <v>14</v>
      </c>
      <c r="K148" s="7" t="s">
        <v>15</v>
      </c>
      <c r="L148" s="7" t="s">
        <v>16</v>
      </c>
      <c r="M148" s="7" t="s">
        <v>17</v>
      </c>
      <c r="N148" s="7" t="s">
        <v>18</v>
      </c>
      <c r="O148" s="7" t="s">
        <v>19</v>
      </c>
      <c r="P148" s="7" t="s">
        <v>20</v>
      </c>
      <c r="Q148" s="7" t="s">
        <v>104</v>
      </c>
      <c r="R148" s="7" t="s">
        <v>22</v>
      </c>
      <c r="S148" s="127"/>
      <c r="T148" s="127"/>
      <c r="U148" s="98"/>
    </row>
    <row r="149" spans="1:21" ht="12">
      <c r="A149" s="47"/>
      <c r="B149" s="80" t="s">
        <v>108</v>
      </c>
      <c r="C149" s="49" t="s">
        <v>4</v>
      </c>
      <c r="D149" s="50" t="s">
        <v>109</v>
      </c>
      <c r="E149" s="50"/>
      <c r="F149" s="50"/>
      <c r="G149" s="50"/>
      <c r="H149" s="50"/>
      <c r="I149" s="49"/>
      <c r="J149" s="81"/>
      <c r="K149" s="81"/>
      <c r="L149" s="81"/>
      <c r="M149" s="81"/>
      <c r="N149" s="81"/>
      <c r="O149" s="81"/>
      <c r="P149" s="81"/>
      <c r="Q149" s="73"/>
      <c r="R149" s="73"/>
      <c r="S149" s="73"/>
      <c r="T149" s="73"/>
      <c r="U149" s="49"/>
    </row>
    <row r="150" spans="1:21" ht="24">
      <c r="A150" s="47">
        <v>3</v>
      </c>
      <c r="B150" s="48" t="s">
        <v>110</v>
      </c>
      <c r="C150" s="82">
        <v>2239</v>
      </c>
      <c r="D150" s="83">
        <f>SUM(D151:D153)</f>
        <v>2700</v>
      </c>
      <c r="E150" s="73">
        <f aca="true" t="shared" si="26" ref="E150:O150">SUM(F151:F159)</f>
        <v>0</v>
      </c>
      <c r="F150" s="73">
        <f t="shared" si="26"/>
        <v>0</v>
      </c>
      <c r="G150" s="73">
        <f t="shared" si="26"/>
        <v>0</v>
      </c>
      <c r="H150" s="73">
        <f t="shared" si="26"/>
        <v>0</v>
      </c>
      <c r="I150" s="73">
        <f t="shared" si="26"/>
        <v>0</v>
      </c>
      <c r="J150" s="73">
        <f t="shared" si="26"/>
        <v>3104.58</v>
      </c>
      <c r="K150" s="73">
        <f t="shared" si="26"/>
        <v>0</v>
      </c>
      <c r="L150" s="73">
        <f t="shared" si="26"/>
        <v>0</v>
      </c>
      <c r="M150" s="73">
        <f t="shared" si="26"/>
        <v>0</v>
      </c>
      <c r="N150" s="73">
        <f t="shared" si="26"/>
        <v>0</v>
      </c>
      <c r="O150" s="73">
        <f t="shared" si="26"/>
        <v>0</v>
      </c>
      <c r="P150" s="73">
        <f aca="true" t="shared" si="27" ref="P150:U150">SUM(P151:P153)</f>
        <v>0</v>
      </c>
      <c r="Q150" s="73">
        <f t="shared" si="27"/>
        <v>0</v>
      </c>
      <c r="R150" s="73">
        <f t="shared" si="27"/>
        <v>0</v>
      </c>
      <c r="S150" s="73">
        <f t="shared" si="27"/>
        <v>2700</v>
      </c>
      <c r="T150" s="73">
        <f t="shared" si="27"/>
        <v>2700</v>
      </c>
      <c r="U150" s="73">
        <f t="shared" si="27"/>
        <v>-2200</v>
      </c>
    </row>
    <row r="151" spans="1:21" ht="12">
      <c r="A151" s="47">
        <v>1</v>
      </c>
      <c r="B151" s="48" t="s">
        <v>111</v>
      </c>
      <c r="C151" s="49">
        <v>2239</v>
      </c>
      <c r="D151" s="50">
        <v>900</v>
      </c>
      <c r="E151" s="50"/>
      <c r="F151" s="50"/>
      <c r="G151" s="50"/>
      <c r="H151" s="51"/>
      <c r="I151" s="52"/>
      <c r="J151" s="53"/>
      <c r="K151" s="53"/>
      <c r="L151" s="53"/>
      <c r="M151" s="53"/>
      <c r="N151" s="53"/>
      <c r="O151" s="53"/>
      <c r="P151" s="53"/>
      <c r="Q151" s="54">
        <f>SUM(E151:P151)</f>
        <v>0</v>
      </c>
      <c r="R151" s="45"/>
      <c r="S151" s="55">
        <f>D151-Q151</f>
        <v>900</v>
      </c>
      <c r="T151" s="55">
        <f>S151-R151</f>
        <v>900</v>
      </c>
      <c r="U151" s="49">
        <v>-900</v>
      </c>
    </row>
    <row r="152" spans="1:21" ht="12">
      <c r="A152" s="47">
        <v>2</v>
      </c>
      <c r="B152" s="48" t="s">
        <v>112</v>
      </c>
      <c r="C152" s="49">
        <v>2239</v>
      </c>
      <c r="D152" s="50">
        <v>400</v>
      </c>
      <c r="E152" s="50"/>
      <c r="F152" s="50"/>
      <c r="G152" s="50"/>
      <c r="H152" s="51"/>
      <c r="I152" s="52"/>
      <c r="J152" s="53"/>
      <c r="K152" s="53"/>
      <c r="L152" s="53"/>
      <c r="M152" s="53"/>
      <c r="N152" s="53"/>
      <c r="O152" s="53"/>
      <c r="P152" s="53"/>
      <c r="Q152" s="54">
        <f>SUM(E152:P152)</f>
        <v>0</v>
      </c>
      <c r="R152" s="45"/>
      <c r="S152" s="55">
        <f>D152-Q152</f>
        <v>400</v>
      </c>
      <c r="T152" s="55">
        <f>S152-R152</f>
        <v>400</v>
      </c>
      <c r="U152" s="49">
        <v>-400</v>
      </c>
    </row>
    <row r="153" spans="1:21" ht="12">
      <c r="A153" s="47">
        <v>3</v>
      </c>
      <c r="B153" s="48" t="s">
        <v>113</v>
      </c>
      <c r="C153" s="49">
        <v>2239</v>
      </c>
      <c r="D153" s="50">
        <v>1400</v>
      </c>
      <c r="E153" s="50"/>
      <c r="F153" s="50"/>
      <c r="G153" s="50"/>
      <c r="H153" s="51"/>
      <c r="I153" s="52"/>
      <c r="J153" s="53"/>
      <c r="K153" s="53"/>
      <c r="L153" s="53"/>
      <c r="M153" s="53"/>
      <c r="N153" s="53"/>
      <c r="O153" s="53"/>
      <c r="P153" s="53"/>
      <c r="Q153" s="54">
        <f>SUM(E153:P153)</f>
        <v>0</v>
      </c>
      <c r="R153" s="45"/>
      <c r="S153" s="55">
        <f>D153-Q153</f>
        <v>1400</v>
      </c>
      <c r="T153" s="55">
        <f>S153-R153</f>
        <v>1400</v>
      </c>
      <c r="U153" s="49">
        <v>-900</v>
      </c>
    </row>
    <row r="154" ht="11.25"/>
    <row r="155" ht="11.25" hidden="1"/>
    <row r="156" ht="11.25">
      <c r="A156" s="2" t="s">
        <v>114</v>
      </c>
    </row>
    <row r="157" spans="1:21" ht="11.25">
      <c r="A157" s="98" t="s">
        <v>2</v>
      </c>
      <c r="B157" s="98" t="s">
        <v>3</v>
      </c>
      <c r="C157" s="128" t="s">
        <v>4</v>
      </c>
      <c r="D157" s="98" t="s">
        <v>5</v>
      </c>
      <c r="E157" s="130" t="s">
        <v>6</v>
      </c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2"/>
      <c r="S157" s="96" t="s">
        <v>7</v>
      </c>
      <c r="T157" s="96" t="s">
        <v>8</v>
      </c>
      <c r="U157" s="98" t="s">
        <v>131</v>
      </c>
    </row>
    <row r="158" spans="1:21" ht="45">
      <c r="A158" s="98"/>
      <c r="B158" s="98"/>
      <c r="C158" s="129"/>
      <c r="D158" s="98"/>
      <c r="E158" s="7" t="s">
        <v>9</v>
      </c>
      <c r="F158" s="7" t="s">
        <v>10</v>
      </c>
      <c r="G158" s="7" t="s">
        <v>11</v>
      </c>
      <c r="H158" s="7" t="s">
        <v>12</v>
      </c>
      <c r="I158" s="7" t="s">
        <v>13</v>
      </c>
      <c r="J158" s="7" t="s">
        <v>14</v>
      </c>
      <c r="K158" s="7" t="s">
        <v>15</v>
      </c>
      <c r="L158" s="7" t="s">
        <v>16</v>
      </c>
      <c r="M158" s="7" t="s">
        <v>17</v>
      </c>
      <c r="N158" s="7" t="s">
        <v>18</v>
      </c>
      <c r="O158" s="7" t="s">
        <v>19</v>
      </c>
      <c r="P158" s="7" t="s">
        <v>20</v>
      </c>
      <c r="Q158" s="7" t="s">
        <v>104</v>
      </c>
      <c r="R158" s="7" t="s">
        <v>22</v>
      </c>
      <c r="S158" s="127"/>
      <c r="T158" s="127"/>
      <c r="U158" s="98"/>
    </row>
    <row r="159" spans="1:21" s="56" customFormat="1" ht="12.75" customHeight="1">
      <c r="A159" s="58"/>
      <c r="B159" s="84" t="s">
        <v>108</v>
      </c>
      <c r="C159" s="85"/>
      <c r="D159" s="85">
        <f>SUM(D160:D167)</f>
        <v>17442</v>
      </c>
      <c r="E159" s="85">
        <f aca="true" t="shared" si="28" ref="E159:U159">SUM(E160,E167)</f>
        <v>0</v>
      </c>
      <c r="F159" s="85">
        <f t="shared" si="28"/>
        <v>0</v>
      </c>
      <c r="G159" s="85">
        <f t="shared" si="28"/>
        <v>0</v>
      </c>
      <c r="H159" s="85">
        <f t="shared" si="28"/>
        <v>0</v>
      </c>
      <c r="I159" s="85">
        <f t="shared" si="28"/>
        <v>0</v>
      </c>
      <c r="J159" s="85">
        <f t="shared" si="28"/>
        <v>0</v>
      </c>
      <c r="K159" s="85">
        <f t="shared" si="28"/>
        <v>3104.58</v>
      </c>
      <c r="L159" s="85">
        <f t="shared" si="28"/>
        <v>0</v>
      </c>
      <c r="M159" s="85">
        <f t="shared" si="28"/>
        <v>0</v>
      </c>
      <c r="N159" s="85">
        <f t="shared" si="28"/>
        <v>0</v>
      </c>
      <c r="O159" s="85">
        <f t="shared" si="28"/>
        <v>0</v>
      </c>
      <c r="P159" s="85">
        <f t="shared" si="28"/>
        <v>0</v>
      </c>
      <c r="Q159" s="85">
        <f t="shared" si="28"/>
        <v>3104.58</v>
      </c>
      <c r="R159" s="85">
        <f t="shared" si="28"/>
        <v>4521</v>
      </c>
      <c r="S159" s="85">
        <f t="shared" si="28"/>
        <v>14337.42</v>
      </c>
      <c r="T159" s="85">
        <f t="shared" si="28"/>
        <v>9816.42</v>
      </c>
      <c r="U159" s="85">
        <f t="shared" si="28"/>
        <v>-6600</v>
      </c>
    </row>
    <row r="160" spans="1:21" s="56" customFormat="1" ht="22.5" customHeight="1">
      <c r="A160" s="116">
        <v>8</v>
      </c>
      <c r="B160" s="86" t="s">
        <v>115</v>
      </c>
      <c r="C160" s="85">
        <v>2279</v>
      </c>
      <c r="D160" s="85">
        <f>10500-1129-1000-2318</f>
        <v>6053</v>
      </c>
      <c r="E160" s="61">
        <f aca="true" t="shared" si="29" ref="E160:P160">SUM(E161:E166)</f>
        <v>0</v>
      </c>
      <c r="F160" s="61">
        <f t="shared" si="29"/>
        <v>0</v>
      </c>
      <c r="G160" s="61">
        <f t="shared" si="29"/>
        <v>0</v>
      </c>
      <c r="H160" s="61">
        <f t="shared" si="29"/>
        <v>0</v>
      </c>
      <c r="I160" s="61">
        <f t="shared" si="29"/>
        <v>0</v>
      </c>
      <c r="J160" s="61">
        <f t="shared" si="29"/>
        <v>0</v>
      </c>
      <c r="K160" s="61">
        <f t="shared" si="29"/>
        <v>1250</v>
      </c>
      <c r="L160" s="61">
        <f t="shared" si="29"/>
        <v>0</v>
      </c>
      <c r="M160" s="61">
        <f t="shared" si="29"/>
        <v>0</v>
      </c>
      <c r="N160" s="61">
        <f t="shared" si="29"/>
        <v>0</v>
      </c>
      <c r="O160" s="61">
        <f t="shared" si="29"/>
        <v>0</v>
      </c>
      <c r="P160" s="61">
        <f t="shared" si="29"/>
        <v>0</v>
      </c>
      <c r="Q160" s="61">
        <f aca="true" t="shared" si="30" ref="Q160:Q166">SUM(E160:P160)</f>
        <v>1250</v>
      </c>
      <c r="R160" s="87">
        <f>SUM(R161:R166)</f>
        <v>4521</v>
      </c>
      <c r="S160" s="61">
        <f>D160-Q160</f>
        <v>4803</v>
      </c>
      <c r="T160" s="87">
        <f>D160-SUM(Q160:R160)</f>
        <v>282</v>
      </c>
      <c r="U160" s="87"/>
    </row>
    <row r="161" spans="1:21" s="56" customFormat="1" ht="11.25">
      <c r="A161" s="117"/>
      <c r="B161" s="57" t="s">
        <v>116</v>
      </c>
      <c r="C161" s="58"/>
      <c r="D161" s="59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1">
        <f t="shared" si="30"/>
        <v>0</v>
      </c>
      <c r="R161" s="62">
        <f>500-Q161</f>
        <v>500</v>
      </c>
      <c r="S161" s="60"/>
      <c r="T161" s="62"/>
      <c r="U161" s="58"/>
    </row>
    <row r="162" spans="1:21" s="56" customFormat="1" ht="11.25">
      <c r="A162" s="117"/>
      <c r="B162" s="20" t="s">
        <v>117</v>
      </c>
      <c r="C162" s="58"/>
      <c r="D162" s="59"/>
      <c r="E162" s="60"/>
      <c r="F162" s="60"/>
      <c r="G162" s="60"/>
      <c r="H162" s="60"/>
      <c r="I162" s="60"/>
      <c r="J162" s="60"/>
      <c r="K162" s="60">
        <v>250</v>
      </c>
      <c r="L162" s="60"/>
      <c r="M162" s="60"/>
      <c r="N162" s="60"/>
      <c r="O162" s="60"/>
      <c r="P162" s="60"/>
      <c r="Q162" s="61">
        <f t="shared" si="30"/>
        <v>250</v>
      </c>
      <c r="R162" s="12">
        <f>500-Q162</f>
        <v>250</v>
      </c>
      <c r="S162" s="60"/>
      <c r="T162" s="62"/>
      <c r="U162" s="58"/>
    </row>
    <row r="163" spans="1:21" s="56" customFormat="1" ht="11.25">
      <c r="A163" s="117"/>
      <c r="B163" s="64" t="s">
        <v>118</v>
      </c>
      <c r="C163" s="58"/>
      <c r="D163" s="59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1">
        <f t="shared" si="30"/>
        <v>0</v>
      </c>
      <c r="R163" s="12">
        <f>660-Q163</f>
        <v>660</v>
      </c>
      <c r="S163" s="60"/>
      <c r="T163" s="62"/>
      <c r="U163" s="58"/>
    </row>
    <row r="164" spans="1:21" s="56" customFormat="1" ht="22.5">
      <c r="A164" s="117"/>
      <c r="B164" s="20" t="s">
        <v>119</v>
      </c>
      <c r="C164" s="58"/>
      <c r="D164" s="59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1">
        <f t="shared" si="30"/>
        <v>0</v>
      </c>
      <c r="R164" s="12">
        <f>2111-Q164</f>
        <v>2111</v>
      </c>
      <c r="S164" s="60"/>
      <c r="T164" s="62"/>
      <c r="U164" s="58"/>
    </row>
    <row r="165" spans="1:21" s="56" customFormat="1" ht="11.25">
      <c r="A165" s="117"/>
      <c r="B165" s="20" t="s">
        <v>120</v>
      </c>
      <c r="C165" s="58"/>
      <c r="D165" s="59"/>
      <c r="E165" s="60"/>
      <c r="F165" s="60"/>
      <c r="G165" s="60"/>
      <c r="H165" s="60"/>
      <c r="I165" s="60"/>
      <c r="J165" s="60"/>
      <c r="K165" s="60">
        <v>1000</v>
      </c>
      <c r="L165" s="60"/>
      <c r="M165" s="60"/>
      <c r="N165" s="60"/>
      <c r="O165" s="60"/>
      <c r="P165" s="60"/>
      <c r="Q165" s="61">
        <f t="shared" si="30"/>
        <v>1000</v>
      </c>
      <c r="R165" s="12">
        <f>2000-Q165</f>
        <v>1000</v>
      </c>
      <c r="S165" s="60"/>
      <c r="T165" s="62"/>
      <c r="U165" s="58"/>
    </row>
    <row r="166" spans="1:21" s="56" customFormat="1" ht="11.25">
      <c r="A166" s="118"/>
      <c r="B166" s="57"/>
      <c r="C166" s="58"/>
      <c r="D166" s="59"/>
      <c r="E166" s="60"/>
      <c r="F166" s="60"/>
      <c r="G166" s="60"/>
      <c r="H166" s="60"/>
      <c r="I166" s="60"/>
      <c r="J166" s="60"/>
      <c r="K166" s="60" t="s">
        <v>121</v>
      </c>
      <c r="L166" s="60"/>
      <c r="M166" s="60"/>
      <c r="N166" s="60"/>
      <c r="O166" s="60"/>
      <c r="P166" s="60"/>
      <c r="Q166" s="61">
        <f t="shared" si="30"/>
        <v>0</v>
      </c>
      <c r="R166" s="62"/>
      <c r="S166" s="60"/>
      <c r="T166" s="62"/>
      <c r="U166" s="58"/>
    </row>
    <row r="167" spans="1:21" s="56" customFormat="1" ht="22.5" customHeight="1">
      <c r="A167" s="88">
        <v>9</v>
      </c>
      <c r="B167" s="86" t="s">
        <v>122</v>
      </c>
      <c r="C167" s="85">
        <v>2239</v>
      </c>
      <c r="D167" s="85">
        <f>SUM(D168:D176)</f>
        <v>11389</v>
      </c>
      <c r="E167" s="85">
        <f aca="true" t="shared" si="31" ref="E167:U167">SUM(E168:E176)</f>
        <v>0</v>
      </c>
      <c r="F167" s="85">
        <f t="shared" si="31"/>
        <v>0</v>
      </c>
      <c r="G167" s="85">
        <f t="shared" si="31"/>
        <v>0</v>
      </c>
      <c r="H167" s="85">
        <f t="shared" si="31"/>
        <v>0</v>
      </c>
      <c r="I167" s="85">
        <f t="shared" si="31"/>
        <v>0</v>
      </c>
      <c r="J167" s="85">
        <f t="shared" si="31"/>
        <v>0</v>
      </c>
      <c r="K167" s="85">
        <f t="shared" si="31"/>
        <v>1854.58</v>
      </c>
      <c r="L167" s="85">
        <f t="shared" si="31"/>
        <v>0</v>
      </c>
      <c r="M167" s="85">
        <f t="shared" si="31"/>
        <v>0</v>
      </c>
      <c r="N167" s="85">
        <f t="shared" si="31"/>
        <v>0</v>
      </c>
      <c r="O167" s="85">
        <f t="shared" si="31"/>
        <v>0</v>
      </c>
      <c r="P167" s="85">
        <f t="shared" si="31"/>
        <v>0</v>
      </c>
      <c r="Q167" s="85">
        <f t="shared" si="31"/>
        <v>1854.58</v>
      </c>
      <c r="R167" s="89">
        <f t="shared" si="31"/>
        <v>0</v>
      </c>
      <c r="S167" s="85">
        <f t="shared" si="31"/>
        <v>9534.42</v>
      </c>
      <c r="T167" s="89">
        <f t="shared" si="31"/>
        <v>9534.42</v>
      </c>
      <c r="U167" s="89">
        <f t="shared" si="31"/>
        <v>-6600</v>
      </c>
    </row>
    <row r="168" spans="1:21" s="56" customFormat="1" ht="11.25">
      <c r="A168" s="65">
        <v>1</v>
      </c>
      <c r="B168" s="66" t="s">
        <v>52</v>
      </c>
      <c r="C168" s="60"/>
      <c r="D168" s="60">
        <f>2300</f>
        <v>2300</v>
      </c>
      <c r="E168" s="63"/>
      <c r="F168" s="59"/>
      <c r="G168" s="59"/>
      <c r="H168" s="59"/>
      <c r="I168" s="52"/>
      <c r="J168" s="63"/>
      <c r="K168" s="63">
        <f>24.2+186.22+522.12+127.05+23.6+110.72+36.3+177.87+333.96+312.54</f>
        <v>1854.58</v>
      </c>
      <c r="L168" s="63"/>
      <c r="M168" s="63"/>
      <c r="N168" s="52"/>
      <c r="O168" s="63"/>
      <c r="P168" s="63"/>
      <c r="Q168" s="60">
        <f aca="true" t="shared" si="32" ref="Q168:Q176">SUM(E168:P168)</f>
        <v>1854.58</v>
      </c>
      <c r="R168" s="62"/>
      <c r="S168" s="67">
        <f aca="true" t="shared" si="33" ref="S168:S176">D168-Q168</f>
        <v>445.4200000000001</v>
      </c>
      <c r="T168" s="62">
        <f aca="true" t="shared" si="34" ref="T168:T176">S168-R168</f>
        <v>445.4200000000001</v>
      </c>
      <c r="U168" s="60">
        <v>-445</v>
      </c>
    </row>
    <row r="169" spans="1:21" s="56" customFormat="1" ht="11.25">
      <c r="A169" s="65">
        <v>2</v>
      </c>
      <c r="B169" s="66" t="s">
        <v>123</v>
      </c>
      <c r="C169" s="60"/>
      <c r="D169" s="60">
        <f>800</f>
        <v>800</v>
      </c>
      <c r="E169" s="63"/>
      <c r="F169" s="59"/>
      <c r="G169" s="59"/>
      <c r="H169" s="59"/>
      <c r="I169" s="52"/>
      <c r="J169" s="63"/>
      <c r="K169" s="63"/>
      <c r="L169" s="63"/>
      <c r="M169" s="63"/>
      <c r="N169" s="52"/>
      <c r="O169" s="63"/>
      <c r="P169" s="63"/>
      <c r="Q169" s="60">
        <f t="shared" si="32"/>
        <v>0</v>
      </c>
      <c r="R169" s="62"/>
      <c r="S169" s="63">
        <f t="shared" si="33"/>
        <v>800</v>
      </c>
      <c r="T169" s="62">
        <f t="shared" si="34"/>
        <v>800</v>
      </c>
      <c r="U169" s="60">
        <v>-400</v>
      </c>
    </row>
    <row r="170" spans="1:21" s="56" customFormat="1" ht="11.25">
      <c r="A170" s="65">
        <v>3</v>
      </c>
      <c r="B170" s="66" t="s">
        <v>124</v>
      </c>
      <c r="C170" s="60"/>
      <c r="D170" s="60">
        <f>3600</f>
        <v>3600</v>
      </c>
      <c r="E170" s="63"/>
      <c r="F170" s="59"/>
      <c r="G170" s="59"/>
      <c r="H170" s="59"/>
      <c r="I170" s="52"/>
      <c r="J170" s="63"/>
      <c r="K170" s="63"/>
      <c r="L170" s="63"/>
      <c r="M170" s="63"/>
      <c r="N170" s="52"/>
      <c r="O170" s="63"/>
      <c r="P170" s="63"/>
      <c r="Q170" s="60">
        <f t="shared" si="32"/>
        <v>0</v>
      </c>
      <c r="R170" s="62"/>
      <c r="S170" s="63">
        <f t="shared" si="33"/>
        <v>3600</v>
      </c>
      <c r="T170" s="62">
        <f t="shared" si="34"/>
        <v>3600</v>
      </c>
      <c r="U170" s="60">
        <v>-3000</v>
      </c>
    </row>
    <row r="171" spans="1:21" s="56" customFormat="1" ht="11.25">
      <c r="A171" s="65">
        <v>4</v>
      </c>
      <c r="B171" s="66" t="s">
        <v>58</v>
      </c>
      <c r="C171" s="60"/>
      <c r="D171" s="60">
        <f>500</f>
        <v>500</v>
      </c>
      <c r="E171" s="63"/>
      <c r="F171" s="59"/>
      <c r="G171" s="59"/>
      <c r="H171" s="59"/>
      <c r="I171" s="52"/>
      <c r="J171" s="63"/>
      <c r="K171" s="63"/>
      <c r="L171" s="63"/>
      <c r="M171" s="63"/>
      <c r="N171" s="52"/>
      <c r="O171" s="63"/>
      <c r="P171" s="63"/>
      <c r="Q171" s="60">
        <f t="shared" si="32"/>
        <v>0</v>
      </c>
      <c r="R171" s="62"/>
      <c r="S171" s="63">
        <f t="shared" si="33"/>
        <v>500</v>
      </c>
      <c r="T171" s="62">
        <f t="shared" si="34"/>
        <v>500</v>
      </c>
      <c r="U171" s="60">
        <v>-250</v>
      </c>
    </row>
    <row r="172" spans="1:21" s="56" customFormat="1" ht="11.25">
      <c r="A172" s="65">
        <v>5</v>
      </c>
      <c r="B172" s="66" t="s">
        <v>59</v>
      </c>
      <c r="C172" s="60"/>
      <c r="D172" s="60">
        <f>909</f>
        <v>909</v>
      </c>
      <c r="E172" s="63"/>
      <c r="F172" s="59"/>
      <c r="G172" s="59"/>
      <c r="H172" s="59"/>
      <c r="I172" s="52"/>
      <c r="J172" s="63"/>
      <c r="K172" s="63"/>
      <c r="L172" s="63"/>
      <c r="M172" s="63"/>
      <c r="N172" s="52"/>
      <c r="O172" s="63"/>
      <c r="P172" s="63"/>
      <c r="Q172" s="60">
        <f t="shared" si="32"/>
        <v>0</v>
      </c>
      <c r="R172" s="62"/>
      <c r="S172" s="63">
        <f t="shared" si="33"/>
        <v>909</v>
      </c>
      <c r="T172" s="62">
        <f t="shared" si="34"/>
        <v>909</v>
      </c>
      <c r="U172" s="60">
        <v>-300</v>
      </c>
    </row>
    <row r="173" spans="1:21" s="56" customFormat="1" ht="11.25">
      <c r="A173" s="65">
        <v>6</v>
      </c>
      <c r="B173" s="66" t="s">
        <v>125</v>
      </c>
      <c r="C173" s="60"/>
      <c r="D173" s="60">
        <v>900</v>
      </c>
      <c r="E173" s="63"/>
      <c r="F173" s="59"/>
      <c r="G173" s="59"/>
      <c r="H173" s="59"/>
      <c r="I173" s="52"/>
      <c r="J173" s="63"/>
      <c r="K173" s="63"/>
      <c r="L173" s="63"/>
      <c r="M173" s="63"/>
      <c r="N173" s="52"/>
      <c r="O173" s="63"/>
      <c r="P173" s="63"/>
      <c r="Q173" s="60">
        <f t="shared" si="32"/>
        <v>0</v>
      </c>
      <c r="R173" s="62"/>
      <c r="S173" s="63">
        <f t="shared" si="33"/>
        <v>900</v>
      </c>
      <c r="T173" s="62">
        <f t="shared" si="34"/>
        <v>900</v>
      </c>
      <c r="U173" s="60">
        <v>-500</v>
      </c>
    </row>
    <row r="174" spans="1:21" s="56" customFormat="1" ht="22.5">
      <c r="A174" s="65">
        <v>7</v>
      </c>
      <c r="B174" s="66" t="s">
        <v>126</v>
      </c>
      <c r="C174" s="60"/>
      <c r="D174" s="60">
        <f>880</f>
        <v>880</v>
      </c>
      <c r="E174" s="63"/>
      <c r="F174" s="59"/>
      <c r="G174" s="59"/>
      <c r="H174" s="59"/>
      <c r="I174" s="52"/>
      <c r="J174" s="63"/>
      <c r="K174" s="63"/>
      <c r="L174" s="63"/>
      <c r="M174" s="63"/>
      <c r="N174" s="52"/>
      <c r="O174" s="63"/>
      <c r="P174" s="63"/>
      <c r="Q174" s="60">
        <f t="shared" si="32"/>
        <v>0</v>
      </c>
      <c r="R174" s="62"/>
      <c r="S174" s="63">
        <f t="shared" si="33"/>
        <v>880</v>
      </c>
      <c r="T174" s="62">
        <f t="shared" si="34"/>
        <v>880</v>
      </c>
      <c r="U174" s="60">
        <v>-880</v>
      </c>
    </row>
    <row r="175" spans="1:21" s="56" customFormat="1" ht="11.25">
      <c r="A175" s="65">
        <v>8</v>
      </c>
      <c r="B175" s="66" t="s">
        <v>127</v>
      </c>
      <c r="C175" s="60"/>
      <c r="D175" s="60">
        <f>850</f>
        <v>850</v>
      </c>
      <c r="E175" s="63"/>
      <c r="F175" s="59"/>
      <c r="G175" s="59"/>
      <c r="H175" s="59"/>
      <c r="I175" s="52"/>
      <c r="J175" s="63"/>
      <c r="K175" s="63"/>
      <c r="L175" s="63"/>
      <c r="M175" s="63"/>
      <c r="N175" s="52"/>
      <c r="O175" s="63"/>
      <c r="P175" s="63"/>
      <c r="Q175" s="60">
        <f t="shared" si="32"/>
        <v>0</v>
      </c>
      <c r="R175" s="62"/>
      <c r="S175" s="63">
        <f t="shared" si="33"/>
        <v>850</v>
      </c>
      <c r="T175" s="62">
        <f t="shared" si="34"/>
        <v>850</v>
      </c>
      <c r="U175" s="60">
        <v>-825</v>
      </c>
    </row>
    <row r="176" spans="1:21" s="56" customFormat="1" ht="22.5">
      <c r="A176" s="65">
        <v>9</v>
      </c>
      <c r="B176" s="66" t="s">
        <v>128</v>
      </c>
      <c r="C176" s="60"/>
      <c r="D176" s="60">
        <f>650</f>
        <v>650</v>
      </c>
      <c r="E176" s="63"/>
      <c r="F176" s="59"/>
      <c r="G176" s="59"/>
      <c r="H176" s="59"/>
      <c r="I176" s="52"/>
      <c r="J176" s="63"/>
      <c r="K176" s="63"/>
      <c r="L176" s="63"/>
      <c r="M176" s="63"/>
      <c r="N176" s="52"/>
      <c r="O176" s="63"/>
      <c r="P176" s="63"/>
      <c r="Q176" s="60">
        <f t="shared" si="32"/>
        <v>0</v>
      </c>
      <c r="R176" s="62"/>
      <c r="S176" s="63">
        <f t="shared" si="33"/>
        <v>650</v>
      </c>
      <c r="T176" s="62">
        <f t="shared" si="34"/>
        <v>650</v>
      </c>
      <c r="U176" s="60"/>
    </row>
  </sheetData>
  <sheetProtection/>
  <mergeCells count="151">
    <mergeCell ref="U138:U141"/>
    <mergeCell ref="U142:U144"/>
    <mergeCell ref="U147:U148"/>
    <mergeCell ref="U157:U158"/>
    <mergeCell ref="U104:U105"/>
    <mergeCell ref="U112:U115"/>
    <mergeCell ref="U118:U120"/>
    <mergeCell ref="U135:U136"/>
    <mergeCell ref="U30:U32"/>
    <mergeCell ref="U47:U49"/>
    <mergeCell ref="U99:U100"/>
    <mergeCell ref="U101:U102"/>
    <mergeCell ref="U8:U9"/>
    <mergeCell ref="U16:U17"/>
    <mergeCell ref="U20:U23"/>
    <mergeCell ref="U27:U29"/>
    <mergeCell ref="T47:T49"/>
    <mergeCell ref="C47:C49"/>
    <mergeCell ref="D47:D49"/>
    <mergeCell ref="Q47:Q49"/>
    <mergeCell ref="S47:S49"/>
    <mergeCell ref="A123:B123"/>
    <mergeCell ref="A147:A148"/>
    <mergeCell ref="B147:B148"/>
    <mergeCell ref="C147:C148"/>
    <mergeCell ref="A138:A141"/>
    <mergeCell ref="B138:B141"/>
    <mergeCell ref="A137:B137"/>
    <mergeCell ref="A135:A136"/>
    <mergeCell ref="B135:B136"/>
    <mergeCell ref="C135:C136"/>
    <mergeCell ref="E157:R157"/>
    <mergeCell ref="S157:S158"/>
    <mergeCell ref="T157:T158"/>
    <mergeCell ref="A157:A158"/>
    <mergeCell ref="B157:B158"/>
    <mergeCell ref="C157:C158"/>
    <mergeCell ref="D157:D158"/>
    <mergeCell ref="T147:T148"/>
    <mergeCell ref="D147:D148"/>
    <mergeCell ref="T142:T144"/>
    <mergeCell ref="T135:T136"/>
    <mergeCell ref="S135:S136"/>
    <mergeCell ref="S138:S141"/>
    <mergeCell ref="T138:T141"/>
    <mergeCell ref="S142:S144"/>
    <mergeCell ref="E147:R147"/>
    <mergeCell ref="S147:S148"/>
    <mergeCell ref="B87:B88"/>
    <mergeCell ref="D112:D115"/>
    <mergeCell ref="Q112:Q115"/>
    <mergeCell ref="D142:D144"/>
    <mergeCell ref="E135:R135"/>
    <mergeCell ref="D135:D136"/>
    <mergeCell ref="D138:D141"/>
    <mergeCell ref="D118:D120"/>
    <mergeCell ref="C101:C102"/>
    <mergeCell ref="A121:B121"/>
    <mergeCell ref="A30:A32"/>
    <mergeCell ref="B30:B32"/>
    <mergeCell ref="C30:C32"/>
    <mergeCell ref="B112:B115"/>
    <mergeCell ref="B99:B106"/>
    <mergeCell ref="A99:A106"/>
    <mergeCell ref="C99:C100"/>
    <mergeCell ref="C104:C105"/>
    <mergeCell ref="A108:B108"/>
    <mergeCell ref="A111:B111"/>
    <mergeCell ref="A118:A120"/>
    <mergeCell ref="B118:B120"/>
    <mergeCell ref="C118:C120"/>
    <mergeCell ref="A112:A114"/>
    <mergeCell ref="C112:C115"/>
    <mergeCell ref="A142:A144"/>
    <mergeCell ref="B142:B144"/>
    <mergeCell ref="C142:C144"/>
    <mergeCell ref="C138:C141"/>
    <mergeCell ref="Q30:Q32"/>
    <mergeCell ref="S30:S32"/>
    <mergeCell ref="T30:T32"/>
    <mergeCell ref="Q118:Q120"/>
    <mergeCell ref="S118:S120"/>
    <mergeCell ref="S112:S115"/>
    <mergeCell ref="T118:T120"/>
    <mergeCell ref="T112:T115"/>
    <mergeCell ref="T95:T96"/>
    <mergeCell ref="Q95:Q96"/>
    <mergeCell ref="A15:B15"/>
    <mergeCell ref="A26:B26"/>
    <mergeCell ref="T8:T9"/>
    <mergeCell ref="C8:C9"/>
    <mergeCell ref="E8:R8"/>
    <mergeCell ref="A20:A23"/>
    <mergeCell ref="B20:B23"/>
    <mergeCell ref="C20:C23"/>
    <mergeCell ref="A16:A17"/>
    <mergeCell ref="S8:S9"/>
    <mergeCell ref="A12:B12"/>
    <mergeCell ref="A11:B11"/>
    <mergeCell ref="A8:A9"/>
    <mergeCell ref="B8:B9"/>
    <mergeCell ref="D8:D9"/>
    <mergeCell ref="A37:B37"/>
    <mergeCell ref="A41:B41"/>
    <mergeCell ref="A34:B34"/>
    <mergeCell ref="D30:D32"/>
    <mergeCell ref="B16:B17"/>
    <mergeCell ref="C16:C17"/>
    <mergeCell ref="D16:D17"/>
    <mergeCell ref="A27:A29"/>
    <mergeCell ref="B27:B29"/>
    <mergeCell ref="A43:B43"/>
    <mergeCell ref="A50:B50"/>
    <mergeCell ref="A64:A66"/>
    <mergeCell ref="B64:B66"/>
    <mergeCell ref="A47:A49"/>
    <mergeCell ref="B47:B49"/>
    <mergeCell ref="C27:C29"/>
    <mergeCell ref="D27:D29"/>
    <mergeCell ref="D20:D23"/>
    <mergeCell ref="Q16:Q17"/>
    <mergeCell ref="Q91:Q94"/>
    <mergeCell ref="D95:D96"/>
    <mergeCell ref="S16:S17"/>
    <mergeCell ref="T16:T17"/>
    <mergeCell ref="Q27:Q29"/>
    <mergeCell ref="S27:S29"/>
    <mergeCell ref="T27:T29"/>
    <mergeCell ref="Q20:Q23"/>
    <mergeCell ref="S20:S23"/>
    <mergeCell ref="T20:T23"/>
    <mergeCell ref="T91:T94"/>
    <mergeCell ref="A160:A166"/>
    <mergeCell ref="D87:D88"/>
    <mergeCell ref="Q87:Q88"/>
    <mergeCell ref="A91:A94"/>
    <mergeCell ref="A95:A96"/>
    <mergeCell ref="A87:A88"/>
    <mergeCell ref="B95:B96"/>
    <mergeCell ref="B91:B94"/>
    <mergeCell ref="D91:D94"/>
    <mergeCell ref="D99:D106"/>
    <mergeCell ref="T99:T106"/>
    <mergeCell ref="A59:B63"/>
    <mergeCell ref="D64:D66"/>
    <mergeCell ref="T64:T66"/>
    <mergeCell ref="D89:D90"/>
    <mergeCell ref="T89:T90"/>
    <mergeCell ref="Q89:Q90"/>
    <mergeCell ref="A89:A90"/>
    <mergeCell ref="B89:B90"/>
  </mergeCells>
  <printOptions horizontalCentered="1"/>
  <pageMargins left="0.7874015748031497" right="0" top="0.7874015748031497" bottom="0.3937007874015748" header="0.1968503937007874" footer="0.11811023622047245"/>
  <pageSetup horizontalDpi="600" verticalDpi="600" orientation="portrait" paperSize="9" scale="8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</dc:creator>
  <cp:keywords/>
  <dc:description/>
  <cp:lastModifiedBy>Daina.Leinarte</cp:lastModifiedBy>
  <cp:lastPrinted>2009-08-14T12:42:14Z</cp:lastPrinted>
  <dcterms:created xsi:type="dcterms:W3CDTF">2009-08-06T08:49:00Z</dcterms:created>
  <dcterms:modified xsi:type="dcterms:W3CDTF">2009-08-14T12:43:21Z</dcterms:modified>
  <cp:category/>
  <cp:version/>
  <cp:contentType/>
  <cp:contentStatus/>
</cp:coreProperties>
</file>