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61" firstSheet="14" activeTab="20"/>
  </bookViews>
  <sheets>
    <sheet name="3_pielikums" sheetId="1" r:id="rId1"/>
    <sheet name="4_pielikums" sheetId="2" r:id="rId2"/>
    <sheet name="5_pielikums" sheetId="3" r:id="rId3"/>
    <sheet name="6_pielikums" sheetId="4" r:id="rId4"/>
    <sheet name="7_pielikums" sheetId="5" r:id="rId5"/>
    <sheet name="8_pielikums" sheetId="6" r:id="rId6"/>
    <sheet name="9_pielikums" sheetId="7" r:id="rId7"/>
    <sheet name="10_pielikums" sheetId="8" r:id="rId8"/>
    <sheet name="11_pielikums" sheetId="9" r:id="rId9"/>
    <sheet name="12_pielikums" sheetId="10" r:id="rId10"/>
    <sheet name="13_pielikums" sheetId="11" r:id="rId11"/>
    <sheet name="14_pielikums" sheetId="12" r:id="rId12"/>
    <sheet name="15_pielikums" sheetId="13" r:id="rId13"/>
    <sheet name="16_pielikums" sheetId="14" r:id="rId14"/>
    <sheet name="17_pielikums" sheetId="15" r:id="rId15"/>
    <sheet name="18_pielikums" sheetId="16" r:id="rId16"/>
    <sheet name="19_pielikums" sheetId="17" r:id="rId17"/>
    <sheet name="20_pielikums" sheetId="18" r:id="rId18"/>
    <sheet name="21_pielikums" sheetId="19" r:id="rId19"/>
    <sheet name="22_pielikums" sheetId="20" r:id="rId20"/>
    <sheet name="23_pielikums" sheetId="21" r:id="rId21"/>
    <sheet name="24_pielikums" sheetId="22" r:id="rId22"/>
    <sheet name="25_pielikums" sheetId="23" r:id="rId23"/>
  </sheets>
  <definedNames>
    <definedName name="_xlnm.Print_Area" localSheetId="7">'10_pielikums'!$A$4:$H$18</definedName>
    <definedName name="_xlnm.Print_Area" localSheetId="8">'11_pielikums'!$A$4:$H$14</definedName>
    <definedName name="_xlnm.Print_Area" localSheetId="9">'12_pielikums'!$A$4:$H$166</definedName>
    <definedName name="_xlnm.Print_Area" localSheetId="10">'13_pielikums'!$A$4:$H$45</definedName>
    <definedName name="_xlnm.Print_Area" localSheetId="11">'14_pielikums'!$A$4:$H$38</definedName>
    <definedName name="_xlnm.Print_Area" localSheetId="12">'15_pielikums'!$A$4:$H$60</definedName>
    <definedName name="_xlnm.Print_Area" localSheetId="13">'16_pielikums'!$A$4:$I$286</definedName>
    <definedName name="_xlnm.Print_Area" localSheetId="14">'17_pielikums'!$A$4:$H$19</definedName>
    <definedName name="_xlnm.Print_Area" localSheetId="15">'18_pielikums'!$A$4:$H$108</definedName>
    <definedName name="_xlnm.Print_Area" localSheetId="16">'19_pielikums'!$A$4:$H$48</definedName>
    <definedName name="_xlnm.Print_Area" localSheetId="17">'20_pielikums'!$A$4:$H$96</definedName>
    <definedName name="_xlnm.Print_Area" localSheetId="18">'21_pielikums'!$A$4:$K$282</definedName>
    <definedName name="_xlnm.Print_Area" localSheetId="19">'22_pielikums'!$A$4:$H$72</definedName>
    <definedName name="_xlnm.Print_Area" localSheetId="20">'23_pielikums'!$A$4:$H$40</definedName>
    <definedName name="_xlnm.Print_Area" localSheetId="21">'24_pielikums'!$A$4:$H$61</definedName>
    <definedName name="_xlnm.Print_Area" localSheetId="22">'25_pielikums'!$A$4:$H$31</definedName>
    <definedName name="_xlnm.Print_Area" localSheetId="0">'3_pielikums'!$A$1:$K$43</definedName>
    <definedName name="_xlnm.Print_Area" localSheetId="1">'4_pielikums'!$A$1:$I$60</definedName>
    <definedName name="_xlnm.Print_Area" localSheetId="2">'5_pielikums'!$A$1:$D$24</definedName>
    <definedName name="_xlnm.Print_Area" localSheetId="3">'6_pielikums'!$A$4:$I$257</definedName>
    <definedName name="_xlnm.Print_Area" localSheetId="6">'9_pielikums'!$A$4:$H$245</definedName>
  </definedNames>
  <calcPr fullCalcOnLoad="1"/>
</workbook>
</file>

<file path=xl/sharedStrings.xml><?xml version="1.0" encoding="utf-8"?>
<sst xmlns="http://schemas.openxmlformats.org/spreadsheetml/2006/main" count="3158" uniqueCount="1656">
  <si>
    <t>Budžeta finansēta institūcija:</t>
  </si>
  <si>
    <t>Jūrmalas pilsētas dome</t>
  </si>
  <si>
    <t xml:space="preserve">2012.gada budžeta projekta atšifrējums pa programmām </t>
  </si>
  <si>
    <t>Struktūrvienība</t>
  </si>
  <si>
    <t>Programma:</t>
  </si>
  <si>
    <t xml:space="preserve">Funkcionālās klasifikācijas kods: </t>
  </si>
  <si>
    <t>06.600.</t>
  </si>
  <si>
    <t>Nr.</t>
  </si>
  <si>
    <t>Pasākums/ aktivitāte/ projekts/ pakalpojuma nosaukums/ objekts</t>
  </si>
  <si>
    <t>2011.gada precizētais budžets</t>
  </si>
  <si>
    <t>2012.gada budžeta pieprasījums</t>
  </si>
  <si>
    <t>Aizpilda Centralizētā grāmatvedība</t>
  </si>
  <si>
    <t>Aizpilda Budžeta nodaļa</t>
  </si>
  <si>
    <t>Piezīmes</t>
  </si>
  <si>
    <t>Ekonomiskās klasifikācijas kodi</t>
  </si>
  <si>
    <t>2012.gada budžeta projekts</t>
  </si>
  <si>
    <t>KOPĀ (Ls):</t>
  </si>
  <si>
    <t>Kopā finansējums pa programmām (Ls):</t>
  </si>
  <si>
    <t xml:space="preserve">Budžeta finansēta institūcija: </t>
  </si>
  <si>
    <t xml:space="preserve">Programma: </t>
  </si>
  <si>
    <t>Funkcionālās klasifikācijas kods:</t>
  </si>
  <si>
    <t>01.110.</t>
  </si>
  <si>
    <t>Maksas pakalpojumi</t>
  </si>
  <si>
    <t>Būvniecības nodaļa</t>
  </si>
  <si>
    <t>1</t>
  </si>
  <si>
    <t>Ēkas Dubultu prospektā 1 lit 2 būvniecība</t>
  </si>
  <si>
    <t>2</t>
  </si>
  <si>
    <t>Domes administratīvo ēku remonts</t>
  </si>
  <si>
    <t>3</t>
  </si>
  <si>
    <t>Aukstumapgādes sistēmas izbūve Jūrmalas pilsētas domē Jomas ielā 1/5</t>
  </si>
  <si>
    <t>4</t>
  </si>
  <si>
    <t>Labklājības pārvalde Mellužu prospektā 83</t>
  </si>
  <si>
    <t>Skursteņa remonts Ls 3000</t>
  </si>
  <si>
    <t>03.200.</t>
  </si>
  <si>
    <t>Glābšanas staciju remonts</t>
  </si>
  <si>
    <t>Ceļu infrastruktūras remonti</t>
  </si>
  <si>
    <t>04.510.</t>
  </si>
  <si>
    <t>Tallinas, Satiksmes un Artilērijas ielu rekonstrukcija</t>
  </si>
  <si>
    <t>Gala norēķins par projektēšnanas darbiem Ls 3660 saskaņā ar noslēgtiem publisko pakalpojumu līgumuiem nr.1.1-16.4.3/1158 no 19.12.2007, nr.1.1-16.4.3/533 no 09.05.2008 un nr.1.1-16.4.3/203 no 13.03.2009.</t>
  </si>
  <si>
    <t>Dubultu satiksmes mezgla rekonstrukcija</t>
  </si>
  <si>
    <t>Raiņa ielas rekonstrukcija</t>
  </si>
  <si>
    <t>Saskaņā ar publisko būvdarbu līgumu nr.1.1-16.4.2/1067 no 13.11.2007. Ls 190000 garantijas laika garantijas ieturējums, kas jāizmaksā pret uzņēmēja iesniegtu apdrošināšanas sabiedrības polisi vai garantijas laika termiņa beigām, kas ir līdz 25.02.2014. Ls 190000 pārejošais finansējums no 2011.gada.</t>
  </si>
  <si>
    <t>Jaunu ielu izbūve</t>
  </si>
  <si>
    <t>23.līnijas posms u.c.</t>
  </si>
  <si>
    <t>Kapitālais remonts</t>
  </si>
  <si>
    <t>5</t>
  </si>
  <si>
    <t>Ielu asfalta seguma kapitālais remonts</t>
  </si>
  <si>
    <t>6</t>
  </si>
  <si>
    <t>Grantēto ielu asfaltēšana</t>
  </si>
  <si>
    <t>Tērbatas ielas u.c. ielu asfaltēšana</t>
  </si>
  <si>
    <t>Kārtējais remonts</t>
  </si>
  <si>
    <t>7</t>
  </si>
  <si>
    <t>Grantēto ielu uzturēšana</t>
  </si>
  <si>
    <t>8</t>
  </si>
  <si>
    <t>Ceļu seguma remonti (t.sk. bedrīšu remonts)</t>
  </si>
  <si>
    <t>9</t>
  </si>
  <si>
    <t>Asfalta seguma remonts iekškvartālos</t>
  </si>
  <si>
    <t>Ceļu infrastruktūra</t>
  </si>
  <si>
    <t>10</t>
  </si>
  <si>
    <t>Ceļa zīmju ekspluatācijas izdevumi</t>
  </si>
  <si>
    <t>11</t>
  </si>
  <si>
    <t>Ceļa horizontālo apzīmējumu uzklāšana</t>
  </si>
  <si>
    <t>12</t>
  </si>
  <si>
    <t>Barjeru remonts</t>
  </si>
  <si>
    <t>13</t>
  </si>
  <si>
    <t>Luksofora remonts</t>
  </si>
  <si>
    <t>14</t>
  </si>
  <si>
    <t>Ceļa zīmju nomaiņa</t>
  </si>
  <si>
    <t>15</t>
  </si>
  <si>
    <t>Satiksmes drošības uzlabošana Jūrmalas pilsētā</t>
  </si>
  <si>
    <t>Regulējamu gājēju pāreju izbūve Strēlnieku un Dubultu pr. krustojumos ar Lielupes ielu un Skolas ielā.</t>
  </si>
  <si>
    <t>16</t>
  </si>
  <si>
    <t>Jaunu autostāvvietu izbūve</t>
  </si>
  <si>
    <t>Autostāvvietas izbūve Rīgas ielā 6a.</t>
  </si>
  <si>
    <t>Sabiedriskā transporta organizēšanas pasākumi</t>
  </si>
  <si>
    <t>Braukšanas maksas atlaides un zaudējumu kompensēšana Jūrmalas pilsētas maršrutu tīkla pilsētas nozīmes maršrutos</t>
  </si>
  <si>
    <t>Audits (SIA "Autotransporta firma Jūrmala SV")</t>
  </si>
  <si>
    <t>Licenču kartiņu pasūtīšana</t>
  </si>
  <si>
    <t>05.200.</t>
  </si>
  <si>
    <t>Lietus ūdens novadsistēmas rekonstrukcija (projektēšana)</t>
  </si>
  <si>
    <t>05.300.</t>
  </si>
  <si>
    <t>Sabiedrisko tualešu remonts, iekonservēšana</t>
  </si>
  <si>
    <t>05.400.</t>
  </si>
  <si>
    <t>Vecslocenes upes tiltiņa un ceļa daļas rekonstrukcija Bažciemā (t.sk. meža meliorācijas sistēmas grāvja iztekas atjaunošana)</t>
  </si>
  <si>
    <t>Slocenes upes padziļināšana pie dzelzceļa tilta Slokā</t>
  </si>
  <si>
    <t>Infrastruktūras kapitālā celtniecība, kapitālie un kārtējie remonti</t>
  </si>
  <si>
    <t>Jaunas kapsētas projektēšana , izbūve un labiekārtošana (Slokā)</t>
  </si>
  <si>
    <t>Projekta 3.kārtas izbūvei (t.sk. kapličas izbūve ar iekšējiem tīkliem, teritorijas iekšējais apgaismojums, elektroapgāde līdz ēkām un ūdensvads, kanalizācija līdz ēkām).</t>
  </si>
  <si>
    <t>Sabiedriskā kompleksa Strēlnieku prospektā 30 būve (mākslas un mūzikas skola, centrālās bibliotēkas ēka), (projektēšana)</t>
  </si>
  <si>
    <t>Ls 54881 saskaņā ar 04.11.2011. publisko pakalpojumu līgumu nr.1.1-16.4.3/816 par tehniskā projekta izstrādi. T.sk. Ls 45777 pārejošais finansējums no 2011.gada.</t>
  </si>
  <si>
    <t>Pašvaldības dzīvojamā fonda remonts</t>
  </si>
  <si>
    <t>Ēku nojaukšana</t>
  </si>
  <si>
    <t>Ēku nojaukšana Lienes ielā 1, Sēravotu ielā 5, Konkordijas ielā 66.</t>
  </si>
  <si>
    <t>Vienkāršotās renovācijas/rekonstrukcijas projektu izstrāde patvaļīgās būvniecības legalizēšanai pašvaldībai piekrītošajos īpašumos</t>
  </si>
  <si>
    <t>Edinburgas prospekts 33 un Piestātnes iela 18 un citi.</t>
  </si>
  <si>
    <t>Dzīvojamās mājas Raiņa ielā 62 vienkāršotās rekonstrukcijas projekta izstrāde</t>
  </si>
  <si>
    <t>Garāžas rekonstrukcijas projekta izstrāde Smilšu ielā 12, k-1-6.</t>
  </si>
  <si>
    <t>Telpu pielāgošana aptiekas vajadzībām Ķemeros</t>
  </si>
  <si>
    <t>08.100.</t>
  </si>
  <si>
    <t>Dzintaru mežaparka garantijas ieturējuma līdzekļi</t>
  </si>
  <si>
    <t>Iespējamā maksātnespējīgās SIA "Taders" administratora prasība attiecībā uz neizlietoto garantijas laika garantijas ieturējumu saskaņā ar 21.12.2006. līgumu Nr.1.1-16.4.2/1139. Ls 69877 pārejošais finansējums no 2011.gada.</t>
  </si>
  <si>
    <t>Slokas sporta kompleksa būvniecība (hokeja halles un multihalles projekta pārskaņošana)</t>
  </si>
  <si>
    <t>Slokas sporta kompleksa stadiona skrējceļa sintētiskā seguma remonts</t>
  </si>
  <si>
    <r>
      <t>Orientējoši 100 m</t>
    </r>
    <r>
      <rPr>
        <vertAlign val="superscript"/>
        <sz val="9"/>
        <rFont val="Times New Roman"/>
        <family val="1"/>
      </rPr>
      <t>2</t>
    </r>
    <r>
      <rPr>
        <sz val="9"/>
        <rFont val="Times New Roman"/>
        <family val="1"/>
      </rPr>
      <t>.</t>
    </r>
  </si>
  <si>
    <t>Ķemeru parka ar parka arhitektūru rekonstrukcija un renovācija</t>
  </si>
  <si>
    <t>Ķemeru parka paviljona rotondas neatliekamu glābšanas dabu veikšanai</t>
  </si>
  <si>
    <t>Projekta līdzekļi</t>
  </si>
  <si>
    <t>08.210.</t>
  </si>
  <si>
    <t>Bibliotēku remonts</t>
  </si>
  <si>
    <t>Bibliotēku apvienības iesniegtie pieprasījumi: uzbrauktuvju ierīkošana Asaru, Centrālajā, Dubultu bērnu un Bulduru bibliotēkās Ls 10000, Asaru bibliotēkas ēkas fasādes un jumta seguma renovācija Ls 12000, Centrālās bibliotēkas telpu remonts Ls 83500, Bulduru bibliotēkas telpu remonts 133000.</t>
  </si>
  <si>
    <t>08.220.</t>
  </si>
  <si>
    <t>Aspazijas mājas restaurācija Z.Meierovica prospektā 18/20</t>
  </si>
  <si>
    <t>Ls 15509 par tehniskā projekta izstrādi saskaņā ar 27.06.2011. noslēgto publisko pakalpojuma līgumu nr.1.1-16.4.3/543. T.sk. Ls 6122 pārejošais finansējums no 2011.gada.</t>
  </si>
  <si>
    <t>08.230.</t>
  </si>
  <si>
    <t>Majoru kultūras nama rekonstrukcija Jomas ielā 35</t>
  </si>
  <si>
    <t>Kultūras, izklaides un sporta iestāžu kapitālais un kārtējais remonts</t>
  </si>
  <si>
    <t>Ugunsdrošības signalizācijas sistēmas izbūve Aspazijas mājā Z.Meierovica pr.18/20 Ls ~3098</t>
  </si>
  <si>
    <t>Elektrolīniju rekonstrukcija un izbūve Jūrmalas brīvdabas muzejā Tīklu ielā 1a Ls ~5800</t>
  </si>
  <si>
    <t>Kosmētiskais remonts sarīkojumu zālē Jūrmalas muzeja ēkā Tirgoņu ielā 29 Ls ~9344</t>
  </si>
  <si>
    <t>Citi kārtējie remontdarbi Ls ~11656.</t>
  </si>
  <si>
    <t>08.240.</t>
  </si>
  <si>
    <t>Dzintaru koncertzāles Mazās (slēgtās) zāles restaurācija Turaidas ielā 1</t>
  </si>
  <si>
    <t>Mellužu estrādes restaurācija</t>
  </si>
  <si>
    <t>T.sk. Ls 3385 pārejošais finansējums no 2011.gada par tehniskā projekta izstrādi saskaņā ar 24.10.2011. noslēgto publisko pakalpojuma līgumu nr.1.1-16.4.3/707. Ls 50000 tualetes ēkas rekonstrukcijas būvdarbiem.</t>
  </si>
  <si>
    <t>Strūklakas  bruģakmens seguma ārējās joslas pārbruģēšana pie Dzintaru koncertzāles</t>
  </si>
  <si>
    <t>09.100.</t>
  </si>
  <si>
    <t>Bērnudārza celtniecība un inženiertīklu ierīkošana Tukuma ielā 9, Ķemeri</t>
  </si>
  <si>
    <t>P.i.i. "Pienenīte" avārijas remonta darbi</t>
  </si>
  <si>
    <t>P.i.i. "Katrīna" rekonstrukcijas garantijas ieturējumi</t>
  </si>
  <si>
    <t>Kanalizācijas rekonstrucijas darbi bērnudārzā "Katrīna"</t>
  </si>
  <si>
    <t>Rotaļu nojumju nojaukšana un izbūve pirmskolas izglītības iestādēs</t>
  </si>
  <si>
    <t>Nojumju nojaukšanas projekta izstrāde Ls 1000 un 7 nojumju būvniecība p.i.i. "Bitīte" Ls 68000</t>
  </si>
  <si>
    <t>09.210.</t>
  </si>
  <si>
    <t xml:space="preserve">Ls 138592 - nepieciešamie līdzekļi 12.09.2008. noslēgtā projektēšanas līguma Nr.1.1-16.4.3/1021 apmaksai. </t>
  </si>
  <si>
    <t>Pumpuru vidusskolas ēkas rekonstrukcijas 2.kārta, Kronvalda 8</t>
  </si>
  <si>
    <t>Nepieciešams precizēt 2011.gada gaidāmo izpildi un pārejošo finansējumu.</t>
  </si>
  <si>
    <t>Jaundubultu vidusskolas rekonstrukcijas 1.,2.kārta</t>
  </si>
  <si>
    <t>Lielupes vidusskolas rekonstrukcija (t.sk. sporta zāles būvniecība)</t>
  </si>
  <si>
    <t>Izglītības iestāžu kapitālie un kārtējie remontdarbi</t>
  </si>
  <si>
    <t>Pārējās izglītības iestādes</t>
  </si>
  <si>
    <t>Jumta siltināšana Mežmalas vidusskolā Ls 118 000</t>
  </si>
  <si>
    <t>Logu nomaiņa Mežmalas vidusskolā Ls 147 000</t>
  </si>
  <si>
    <t>Ķemeru vidusskolas renovācija</t>
  </si>
  <si>
    <t>Kauguru vidusskolas sporta laukuma labiekārtošana Raiņa ielā 118 (t.sk. sporta laukuma ģērbtuvju ierīkošana)</t>
  </si>
  <si>
    <t>Remontdarbi Vaivaru pamatskolā</t>
  </si>
  <si>
    <t>Jūrmalas Valsts ģimnāzijas rekonstrukcija</t>
  </si>
  <si>
    <t>Sākumskolas "Taurenītis" kārtējais remonts</t>
  </si>
  <si>
    <t>09.510.</t>
  </si>
  <si>
    <t>Jūrmalas mūzikas skolas Smilšu ielā 7 bēniņu pārseguma siltināšana</t>
  </si>
  <si>
    <t>10.200.</t>
  </si>
  <si>
    <t>Jaunas nakts patversmes projektēšana un celtniecība Ķeguma ielā 7, Sloka</t>
  </si>
  <si>
    <t>10.600.</t>
  </si>
  <si>
    <t>Pašvaldības palīdzība dzīvojamā fonda remontam</t>
  </si>
  <si>
    <t>Ēkas Valkas ielā 3 renovācija</t>
  </si>
  <si>
    <t>10.700.</t>
  </si>
  <si>
    <t>Guļamkorpusa jumta rekonstrukcija Ls 120000</t>
  </si>
  <si>
    <t>Ēdnīcas bloka jumta rekonstrukcija Ls 70500</t>
  </si>
  <si>
    <t>Virslogu bloku nomaiņa guļamkorpusa 3.st. un foajē Ls 6100</t>
  </si>
  <si>
    <t>Virsgaismas logu bloku noamiņa Ls 4700</t>
  </si>
  <si>
    <t>Telpu renovācija grupu dzīvokļos Ls 17000</t>
  </si>
  <si>
    <t>Pašvaldības iestādes "Sprīdītis" ēkas Sēravotu ielā 9 bēniņu pārseguma siltināšana</t>
  </si>
  <si>
    <t>Telpu rekonstrukcija (pielāgošana LBN prasībām) Ls 530000</t>
  </si>
  <si>
    <t>Ēdināšanas bloka kapitālais remonts Ls 106000</t>
  </si>
  <si>
    <t>Divu dušas telpu un tualetes remonts Ls 20000</t>
  </si>
  <si>
    <t>01.330.</t>
  </si>
  <si>
    <t>Sludinājumi</t>
  </si>
  <si>
    <t>2012.gada budžeta projekta atšifrējums pa programmām</t>
  </si>
  <si>
    <t>Ekonomikas un attīstības nodaļa</t>
  </si>
  <si>
    <t>Pilsētas attīstības pasākumi</t>
  </si>
  <si>
    <t>01.320.</t>
  </si>
  <si>
    <t>Jūrmalas attīstības plānošanas darbi</t>
  </si>
  <si>
    <t>Plānotā līgumsumma Ls 24 400 (t.sk.PVN), līgums tiks slēgts 2011.gadā</t>
  </si>
  <si>
    <t>Ekonomikas un attīstības plānošanas darbiem</t>
  </si>
  <si>
    <t>Projektu pieteikumu izstrāde u.c.dokumenti</t>
  </si>
  <si>
    <t>Vides novērtējums (150 Ls)</t>
  </si>
  <si>
    <t>Sadarbība ar Jūrmalas uzņēmējiem</t>
  </si>
  <si>
    <t>Ēdināšana (vērtēšana,noslēguma pasākums) - tiek plānots palielināt vērtētāju skaitu</t>
  </si>
  <si>
    <t>Dalības maksa "Latvijas Labākais Tirgotājs 2012"</t>
  </si>
  <si>
    <t>Ēdin.konkursa balvas, ziedi</t>
  </si>
  <si>
    <t>iespieddarbi - ielūgumi, diplomi,dalība</t>
  </si>
  <si>
    <t>Statistikas iepirkšana</t>
  </si>
  <si>
    <t>Tūrisms</t>
  </si>
  <si>
    <t>Izdevumi izglītības pasākumiem</t>
  </si>
  <si>
    <t>Karjeras dienas</t>
  </si>
  <si>
    <t>Semināri iedzīvotājiem</t>
  </si>
  <si>
    <t>Jūrmalas pilsētas investīciju un nekustamo īpašumu attīstības ceļveža sagatavošana un izdošana</t>
  </si>
  <si>
    <t>Vizītes pie potenciālajiem sadarbības projektu partneriem  (komandējumu izdevumi)</t>
  </si>
  <si>
    <t>Dienas nauda (t.sk.Soči, MIPIM)</t>
  </si>
  <si>
    <t>Transports, viesnīca - Soči (3 cilvx4dienas), MIPIM(5cilvx6dienas)+citi komandējumi pie potenciāliem partneriem/vizītēm</t>
  </si>
  <si>
    <t>Dienas nauda LV teritorijā</t>
  </si>
  <si>
    <t>Uzturēšanās izmaksas</t>
  </si>
  <si>
    <t>MIPIM stends</t>
  </si>
  <si>
    <t>reklāma MIPIM bukletā</t>
  </si>
  <si>
    <t>MIPIM/Soči dalības maksa</t>
  </si>
  <si>
    <t>Budžeta iestāžu dabas resursu nodokļa maksājumi</t>
  </si>
  <si>
    <t>PII "Katrīna" ūdens resursu nodoklis</t>
  </si>
  <si>
    <t>Uzlīmes informatīvajiem stendiem pludmalē</t>
  </si>
  <si>
    <t>Projektu pieteikumu un citu dokumentu tulkošanas darbiem</t>
  </si>
  <si>
    <t>Tulkojumi projektiem, sadarbības līgumiem, utml.</t>
  </si>
  <si>
    <t>Mežsaimniecības un vides aizsardzības pasākumi</t>
  </si>
  <si>
    <t>04.220. Zveju tiesību noma</t>
  </si>
  <si>
    <t>Zivju resursu papildināšana Jūrmalas ūdenstilpēs</t>
  </si>
  <si>
    <t>30% no ieņēmumiem</t>
  </si>
  <si>
    <t>RJL ūdens kvalitātes mikrobioloģiskās un fizikāli ķīmiskās analīzes</t>
  </si>
  <si>
    <t>Lielupes, Slokas karjera, noteku uz jūru ūdens kvalitātes mikrobioloģiskās un fizikāli ķīmiskās analīzes</t>
  </si>
  <si>
    <t xml:space="preserve">Lielupes ekspluatācijas un apsaimniekošanas noteikumu aktualizācija </t>
  </si>
  <si>
    <t>Lielupes grīvas pļavu apsaimniekošana</t>
  </si>
  <si>
    <t>Vides aizsardzības politikas plāna aktualizācija</t>
  </si>
  <si>
    <t>Vides aizsardzības politikas rīcības plāna aktualizācija</t>
  </si>
  <si>
    <t xml:space="preserve">Pasākumu realizēšana sadarbības līguma ar ĶNP ietvaros </t>
  </si>
  <si>
    <t>Ķemeru hidroloģisko režīma uzlabošana. Pasākumu organizēšana, tai skaitā Zilā karoga ietvaros Jaunķemeru pludmalē. Koka infrastruktūras uzlabošana un uzturēšana ĶNP, Ķemeros.</t>
  </si>
  <si>
    <t>05.600.</t>
  </si>
  <si>
    <t>Zilā karoga aktivitātes</t>
  </si>
  <si>
    <t>Biedru nauda Zilā Karoga programmai</t>
  </si>
  <si>
    <t>T-krekli,cepurītis utml Zilā karoga koordinatoriem</t>
  </si>
  <si>
    <t>Atalgojums zilā karoga koordinatoriem</t>
  </si>
  <si>
    <t>Sociālais nodoklis</t>
  </si>
  <si>
    <t>Struktūrvienība:</t>
  </si>
  <si>
    <t>Inženierbūvju un ģeodēzijas nodaļa</t>
  </si>
  <si>
    <t>06.200.</t>
  </si>
  <si>
    <t>Meliorācijas sistēmu tehniskā apsekošana</t>
  </si>
  <si>
    <t>Ģeogrāfiskās informācijas sistēmas programmas izstrāde</t>
  </si>
  <si>
    <t>Administratīvās robežas uzmērīšana</t>
  </si>
  <si>
    <t>04.900.</t>
  </si>
  <si>
    <t>Izglītības nodaļa</t>
  </si>
  <si>
    <t xml:space="preserve">Pilsoniskās un patriotiskās  audzināšanas pasākumu cikls </t>
  </si>
  <si>
    <t>1.1</t>
  </si>
  <si>
    <t>Komunistiskā genocīda upuru piemiņas dienas</t>
  </si>
  <si>
    <t>1.2</t>
  </si>
  <si>
    <t>Kapteiņa  P. Zolta piemiņas pasākums un NBS diena Jūrmalā  „Augsim Latvijai!”</t>
  </si>
  <si>
    <t>balvas</t>
  </si>
  <si>
    <t>1.3</t>
  </si>
  <si>
    <t>Vidusskolēnu militārās spēles</t>
  </si>
  <si>
    <t>1.4</t>
  </si>
  <si>
    <t>Tautas dziesmu dziedāšanas sacensības "Lakstīgalai-10"</t>
  </si>
  <si>
    <t>1.5</t>
  </si>
  <si>
    <t xml:space="preserve">Vēstures zinību konkurss </t>
  </si>
  <si>
    <t>Kultūrizglītība</t>
  </si>
  <si>
    <t>2.1</t>
  </si>
  <si>
    <t>Konkursi un skates</t>
  </si>
  <si>
    <t>2.1.1</t>
  </si>
  <si>
    <t>Konkurss „Mani pienākumi un tiesības”</t>
  </si>
  <si>
    <t>2.1.2</t>
  </si>
  <si>
    <t>Teātra un literāro uzvedumu skate "Labais"</t>
  </si>
  <si>
    <t>telpu noma</t>
  </si>
  <si>
    <t>2.1.3</t>
  </si>
  <si>
    <t>Teātra skate</t>
  </si>
  <si>
    <t>2.1.4</t>
  </si>
  <si>
    <t xml:space="preserve">Zēnu koru un 1.- 4. klašu koru skate pilsētā </t>
  </si>
  <si>
    <t>2.1.5</t>
  </si>
  <si>
    <t>Jaukto koru un 5.-9. klašu koru skate</t>
  </si>
  <si>
    <t>2.1.6</t>
  </si>
  <si>
    <t>Vizuālās un lietišķās mākslas konkurss "Toņi un pustoņi"</t>
  </si>
  <si>
    <t>2.1.7</t>
  </si>
  <si>
    <t>Vizuālās un lietišķās mākslas konkurss "Lietas un tēli"</t>
  </si>
  <si>
    <t>2.1.8</t>
  </si>
  <si>
    <t xml:space="preserve">Mazo vokālistu konkurss "Cālis-2012" </t>
  </si>
  <si>
    <t>2.1.9</t>
  </si>
  <si>
    <t>Mazo mūzikas kolektīvu un solistu-vokālistu konkurss "Balsis"</t>
  </si>
  <si>
    <t>2.1.10</t>
  </si>
  <si>
    <t xml:space="preserve">Tautisko deju kolektīvu skate pilsētā </t>
  </si>
  <si>
    <t>2.1.11</t>
  </si>
  <si>
    <t>Skatuves runas konkurss "Jūras malā"</t>
  </si>
  <si>
    <t>2.1.12</t>
  </si>
  <si>
    <t>Mūsdienu deju kolektīvu skate</t>
  </si>
  <si>
    <t>2.1.13</t>
  </si>
  <si>
    <t>Jūrmalas pilsētas Vizuālās mākslas olimpiāde 5.-12.klasēm</t>
  </si>
  <si>
    <t>materiāli (papīrs, krāsas , darba instrumenti)</t>
  </si>
  <si>
    <t>2.2</t>
  </si>
  <si>
    <t>Pilsētas mēroga pasākumi</t>
  </si>
  <si>
    <t>2.2.1</t>
  </si>
  <si>
    <t xml:space="preserve">Starptautiskā skolēnu zinātnisko darbu lasījumu konference "Es dzīvoju pie jūras" </t>
  </si>
  <si>
    <t>ēdināšana</t>
  </si>
  <si>
    <t>apskaņošanas un multimediju tehnikas īre</t>
  </si>
  <si>
    <t>2.2.2</t>
  </si>
  <si>
    <t>Skolēnu zinātnisko darbu lasījumi "Es savai Jūrmalai" sadarbībā ar Liepājas un Ventspils izglītības pārvaldēm (Jūrmalas pilsētas domes rīkojums 1.1-14/513 no 26.10.2010.)</t>
  </si>
  <si>
    <t>2.2.3</t>
  </si>
  <si>
    <t xml:space="preserve">Noslēguma pasākums Pilsētas Skolēnu bērnu tiesību aizsardzības komisijas dalībniekiem  un skolēnu pašpārvaldes vadītājiem.( 2012. maijs) </t>
  </si>
  <si>
    <t>2.2.4</t>
  </si>
  <si>
    <t>Pārskata "Bērnu stāvoklis Jūrmalā 2011"prezentācija (2012. septembris)</t>
  </si>
  <si>
    <t>kafijas galds</t>
  </si>
  <si>
    <t>Bērnu Jauniešu interešu centrs</t>
  </si>
  <si>
    <t>2.2.5</t>
  </si>
  <si>
    <t>Jauniešu diena Jūrmalā ,02.06.2012.</t>
  </si>
  <si>
    <t>kancelejas preces</t>
  </si>
  <si>
    <t>balvas un kafijas pauze</t>
  </si>
  <si>
    <t>aparatūras noma</t>
  </si>
  <si>
    <t>saimniecības pr.</t>
  </si>
  <si>
    <t>pakalpojumu apmaksa mūziķiem</t>
  </si>
  <si>
    <t>Mākslas skola</t>
  </si>
  <si>
    <t>2.2.6</t>
  </si>
  <si>
    <t>Māklsas dienas "Putna lidojums"</t>
  </si>
  <si>
    <t>materiāli radošajām darbnīcām</t>
  </si>
  <si>
    <t>2.2.7</t>
  </si>
  <si>
    <t>Ziemassvētku mākslas akcija "Bērnu egle Horna dārzā-Eņģeļi pār Latviju"</t>
  </si>
  <si>
    <t>2.2.8</t>
  </si>
  <si>
    <t>Vides mākslas akcija "Mūzikas krāsas"</t>
  </si>
  <si>
    <t>Sporta skola</t>
  </si>
  <si>
    <t>2.2.9</t>
  </si>
  <si>
    <t>Skolēnu olimpiādes sacensības spēlē "Tautas bumba"</t>
  </si>
  <si>
    <t>2.2.10</t>
  </si>
  <si>
    <t>Skolēnu olimpiādes sacensības dambretē un šahā</t>
  </si>
  <si>
    <t>līgumdarbs</t>
  </si>
  <si>
    <t>2.2.11</t>
  </si>
  <si>
    <t xml:space="preserve">Skolēnu olimpiādes sacensības florbolā </t>
  </si>
  <si>
    <t>2.2.12</t>
  </si>
  <si>
    <t>Skolēnu olimpiādes sacensības volejbolā</t>
  </si>
  <si>
    <t>2.2.13</t>
  </si>
  <si>
    <t>Skolēnu olimpiādes sacensības vieglatlētikā "Jūrmalas pavasaris 2012"</t>
  </si>
  <si>
    <t>2.2.14</t>
  </si>
  <si>
    <t>Sporta svētki pirmsskolas vecuma bērniem "Jautrie starti 2012"</t>
  </si>
  <si>
    <t>2.2.15</t>
  </si>
  <si>
    <t>Bērnu sporta svētki  "Pirmais solis"</t>
  </si>
  <si>
    <t>2.2.16</t>
  </si>
  <si>
    <t>Skolēnu olimpiādes sacensības basketbolā</t>
  </si>
  <si>
    <t>2.2.17</t>
  </si>
  <si>
    <t>Skolēnu olimpiādes sacensības stafetēs "Drošie un veiklie"</t>
  </si>
  <si>
    <t>Peldēšanas un futbola skola</t>
  </si>
  <si>
    <t>2.2.18</t>
  </si>
  <si>
    <t>Jūrmalas skolēnu pavasara čempionāts futbolā</t>
  </si>
  <si>
    <t>2.2.19</t>
  </si>
  <si>
    <t>Jūrmalas skolēnu rudens čempionāts futbolā</t>
  </si>
  <si>
    <t>2.2.20</t>
  </si>
  <si>
    <t xml:space="preserve">Jūrmalas skolēnu peldēšanas čempionāts </t>
  </si>
  <si>
    <t>2.2.21</t>
  </si>
  <si>
    <t>Futbola sacensības "Zelta buča"</t>
  </si>
  <si>
    <t>transporta pakalpojumi</t>
  </si>
  <si>
    <t>2.2.22</t>
  </si>
  <si>
    <t>Skolotāju dienai veltīts pasākums</t>
  </si>
  <si>
    <t>2.2.23</t>
  </si>
  <si>
    <t>Olimpiāžu uzvarētāju apbalvošana</t>
  </si>
  <si>
    <t>2.2.24</t>
  </si>
  <si>
    <t>Skolēnu dziesmu un deju lielkoncerts</t>
  </si>
  <si>
    <t>2.2.25</t>
  </si>
  <si>
    <t>Mākslas dienas Muižas ielā</t>
  </si>
  <si>
    <t>2.2.26</t>
  </si>
  <si>
    <t>Atdarināšanas mākslas konkurss "Popiela"</t>
  </si>
  <si>
    <t>2.2.27</t>
  </si>
  <si>
    <t>Teātra un deju svētki pirmsskolas vecuma bērniem</t>
  </si>
  <si>
    <t>2.2.29</t>
  </si>
  <si>
    <t>Jūrmalas mūzikas vidusskolas zonas skolu klavierspēles audzēkņu koncerti</t>
  </si>
  <si>
    <t>kafijas pauzes</t>
  </si>
  <si>
    <t>2.2.30</t>
  </si>
  <si>
    <t>Latvijas kokļu dienas Jūrmalā</t>
  </si>
  <si>
    <t>kafijas pauze 250 dalībniekiem</t>
  </si>
  <si>
    <t>2.3</t>
  </si>
  <si>
    <t>Radošā darba izstādes un skates</t>
  </si>
  <si>
    <t>2.3.1</t>
  </si>
  <si>
    <t>Fotokonkurss - izstāde "Skrien laiks"</t>
  </si>
  <si>
    <t>2.3.2</t>
  </si>
  <si>
    <t>Plenērs "Es zīmēju Jūrmalu"</t>
  </si>
  <si>
    <t>mācību materiāli</t>
  </si>
  <si>
    <t>2.3.3</t>
  </si>
  <si>
    <t>Izstāde "Izglītība Jūrmalā"</t>
  </si>
  <si>
    <t>bukletu izgatavošana</t>
  </si>
  <si>
    <t>Vides un veselības izglītība</t>
  </si>
  <si>
    <t>3.1</t>
  </si>
  <si>
    <t>Vides izziņu spēļu konkurss, pilsētas kārta, 1.-12.klasēm, 01.02.2012</t>
  </si>
  <si>
    <t>3.2</t>
  </si>
  <si>
    <t>Vides pētniecisko darbu konkurss 1.-9.klasēm</t>
  </si>
  <si>
    <t>3.3</t>
  </si>
  <si>
    <t>Vides pētniecisko darbu konkurss "Skolēni eksperimentē"1.-12.klasēm, 29.02.2012</t>
  </si>
  <si>
    <t>3.4</t>
  </si>
  <si>
    <t>Konkurss "Vides erudīts" 5.-6.klasēm, 18.04.2012.</t>
  </si>
  <si>
    <t>3.5</t>
  </si>
  <si>
    <t>Vides pētnieku konkurss 8.klasēm, 26.09.2012.</t>
  </si>
  <si>
    <t>Tehniskās jaunrades un sporta pasākumi</t>
  </si>
  <si>
    <t>4.1</t>
  </si>
  <si>
    <t>Jūrmalas balva skeitbordā 1.etaps</t>
  </si>
  <si>
    <t>4.2</t>
  </si>
  <si>
    <t>Jūrmalas balva skeitbordā 2.etaps</t>
  </si>
  <si>
    <t>4.3</t>
  </si>
  <si>
    <t>Jūrmalas atklātais čempionāts skeitbordā</t>
  </si>
  <si>
    <t>4.4</t>
  </si>
  <si>
    <t>Jūrmalas Bērnu un Jauniešu interešu centra balva skeitbordā un skrituļošanā</t>
  </si>
  <si>
    <t>4.5</t>
  </si>
  <si>
    <t>Jūrmalas fingerborda sacensības</t>
  </si>
  <si>
    <t>Novada un valsts mēroga skates, konkursi, sacensības</t>
  </si>
  <si>
    <t>5.1</t>
  </si>
  <si>
    <t>IV Latvijas skolu teātru festivāls "Kustības turpinājums"</t>
  </si>
  <si>
    <t>5.2</t>
  </si>
  <si>
    <t>II latvijas jaukto koru salidojums "Mēs lidosim"Saldū</t>
  </si>
  <si>
    <t>dalības maksa</t>
  </si>
  <si>
    <t>transporta noma</t>
  </si>
  <si>
    <t>5.3</t>
  </si>
  <si>
    <t>Tautas deju festivāls "Latvju bērni danci veda"Ventspilī</t>
  </si>
  <si>
    <t>5.4</t>
  </si>
  <si>
    <t>II Latvijas 2.-4.klašu koru salidojums "Tauriņu balsis"</t>
  </si>
  <si>
    <t>5.5</t>
  </si>
  <si>
    <t>Mūsdienu deju lieluzvedums Madonā</t>
  </si>
  <si>
    <t>5.6</t>
  </si>
  <si>
    <t>Jaukto koru reģionālā skate Jelgavā</t>
  </si>
  <si>
    <t>autotransporta īre</t>
  </si>
  <si>
    <t>5.7</t>
  </si>
  <si>
    <t>Skatuves runas mākslas konkurss reģionā</t>
  </si>
  <si>
    <t>5.8</t>
  </si>
  <si>
    <t>Reģionālais zinātniski pētniecisko darbu konkurss</t>
  </si>
  <si>
    <t>5.9</t>
  </si>
  <si>
    <t>Autodaudzcīņa ar kartingiem Jūrmalas posms, sadarbībā ar LAF kartingu komisiju</t>
  </si>
  <si>
    <t>5.10</t>
  </si>
  <si>
    <t>Biedrības "Latvijas Mazpulki" 16.sporta spēles Jūrmalā</t>
  </si>
  <si>
    <t>5.11</t>
  </si>
  <si>
    <t>Republikas mākslas konkurss "Kompozīcija"</t>
  </si>
  <si>
    <t>degviela</t>
  </si>
  <si>
    <t>5.12</t>
  </si>
  <si>
    <t>XII Starptautiskais vizuāli plastiskās mākslas izstāde-konkurss "Es dzīvoju pie jūras"</t>
  </si>
  <si>
    <t>pasta izdevumi</t>
  </si>
  <si>
    <t>diplomi, afišas, balvas</t>
  </si>
  <si>
    <t>Mūzikas vsk.</t>
  </si>
  <si>
    <t>5.13</t>
  </si>
  <si>
    <t>XIII Starptautiskais Akadēmiskās mūzikas konkurss " Jurmala 2012",mūzikas skolu un vidusskolu audzēkņiem</t>
  </si>
  <si>
    <t>atalgojums starptautiskajai žūrijai</t>
  </si>
  <si>
    <t>afišas, diplomi, bukleti</t>
  </si>
  <si>
    <t>5.14</t>
  </si>
  <si>
    <t>Jauno dziedātāju konkurss skolas vecuma bērniem</t>
  </si>
  <si>
    <t>kafijas pauze</t>
  </si>
  <si>
    <t>5.15</t>
  </si>
  <si>
    <t>Divi konkursi mūzikas teorijā latvijas mūzikas skolu audzēkņiem</t>
  </si>
  <si>
    <t>5.16</t>
  </si>
  <si>
    <t xml:space="preserve">Rietumlatvijas Koklētāju ansambļu skate </t>
  </si>
  <si>
    <t>Futbola un peldēšanas skola</t>
  </si>
  <si>
    <t>5.17</t>
  </si>
  <si>
    <t>Starptautiskās peldēšanas sacensības "Medūzas kauss"</t>
  </si>
  <si>
    <t>organizatoriski izdevumi</t>
  </si>
  <si>
    <t>5.18</t>
  </si>
  <si>
    <t>Peldēšanas sacensības "Jūrmalas domes kauss"</t>
  </si>
  <si>
    <t>5.19</t>
  </si>
  <si>
    <t>Peldēšanas sezonas atklāšanas sacensības "Rudens kauss"</t>
  </si>
  <si>
    <t>5.20</t>
  </si>
  <si>
    <t>Peldēšanas sacensības "Ziemassvētku čempionāts"</t>
  </si>
  <si>
    <t>5.21</t>
  </si>
  <si>
    <t>Futbola sacensības  "Domes kauss"</t>
  </si>
  <si>
    <t>5.22</t>
  </si>
  <si>
    <t>Futbola sacensības  "Zelta rudens"</t>
  </si>
  <si>
    <t>Konferences, semināri</t>
  </si>
  <si>
    <t>6.1</t>
  </si>
  <si>
    <t>Izglītības darbinieku augusta konference, ietverot izbraukuma semināru izglītības iestāžu vadītājiem, viņu vietniekiem un metodisko apvienību vadītājiem</t>
  </si>
  <si>
    <t>līgums ar lektoriem</t>
  </si>
  <si>
    <t>koncerts</t>
  </si>
  <si>
    <t>naktsmītne - 80 pers.</t>
  </si>
  <si>
    <t>6.2</t>
  </si>
  <si>
    <t>Latvijas Izglītības Forums</t>
  </si>
  <si>
    <t>6.3</t>
  </si>
  <si>
    <t>Semināri un kursi metodiskajām apvienībām</t>
  </si>
  <si>
    <t>līgumi ar lektoriem</t>
  </si>
  <si>
    <t>6.4</t>
  </si>
  <si>
    <t>Semināri un kursi izglītības iestāžu tehniskajam personālam</t>
  </si>
  <si>
    <t>6.5</t>
  </si>
  <si>
    <t xml:space="preserve">Kursi un praktiskās apmācības mūžizglītības kontekstā </t>
  </si>
  <si>
    <t>6.6</t>
  </si>
  <si>
    <t>Radošuma pils mācību programma - 16 personas divas grupas</t>
  </si>
  <si>
    <t>mācību maksa</t>
  </si>
  <si>
    <t>6.7</t>
  </si>
  <si>
    <t>E-apmācības sistēma e-apmācības sistēma efektivitātes, kvalitātes un kontroles uzlabošanai</t>
  </si>
  <si>
    <t>6.8</t>
  </si>
  <si>
    <t>Jūrmalas pašvaldībā organizēto bērnu nometņu kursi</t>
  </si>
  <si>
    <t>6.9</t>
  </si>
  <si>
    <t>Izglītības nodaļas darbinieku dalība konferencēs un semināros</t>
  </si>
  <si>
    <t xml:space="preserve">dalības maksa </t>
  </si>
  <si>
    <t>6.10</t>
  </si>
  <si>
    <t>Jūrmalas pilsētas mācību priekšmetu metodisko apvienību vadītāju un izglītības nodaļas speciālistu dalības lielo pilsētu pašvaldību asociācijas rīkotajā Zinātniski praktiskajā konferencē Daugavpilī "Praktiskās darbības aspekti jaunāko zinātnisko atziņu ieviešanai izglītības procesā"</t>
  </si>
  <si>
    <t>dalības maksa konferencē</t>
  </si>
  <si>
    <t>naktsmītnes</t>
  </si>
  <si>
    <t>Izglītības programmu akreditācija Jūrmalas Alternatīvā skolā un Jūrmalas sporta skolā</t>
  </si>
  <si>
    <t>Izglītības programmu akreditācija Lielupes vidusskolā</t>
  </si>
  <si>
    <t>Atestāti un apliecības</t>
  </si>
  <si>
    <t>Budžeta finansēta institūcija: Jūrmalas pilsētas dome</t>
  </si>
  <si>
    <t>Juridiskā nodaļa</t>
  </si>
  <si>
    <t>Juridiskie pakalpojumi</t>
  </si>
  <si>
    <t>Juridiskie pārstāvniecība</t>
  </si>
  <si>
    <t>Tiesas spriedumu izpilde</t>
  </si>
  <si>
    <t>Nodevas un nodokļi</t>
  </si>
  <si>
    <t xml:space="preserve">Struktūrvienība </t>
  </si>
  <si>
    <t>Kapitāla daļu pārvaldīšanas nodaļa</t>
  </si>
  <si>
    <t>Konsultatīvo pakalpojumu piesaiste</t>
  </si>
  <si>
    <t>Juridiskie pakalpojumi(konsultācijas saistībā ar uzņēmumu saimniecisko darbību, reorganizāciju, likvidāciju un tml.)</t>
  </si>
  <si>
    <t>Budžeta finansēta institūcija</t>
  </si>
  <si>
    <t>Atalgojums fiziskajām personām</t>
  </si>
  <si>
    <t>04.730.</t>
  </si>
  <si>
    <t>08.300.</t>
  </si>
  <si>
    <t>Pilsētsaimniecības un labiekārtošanas nodaļa</t>
  </si>
  <si>
    <t>04.220.</t>
  </si>
  <si>
    <t>Avārijas, nokaltušo un ainaviski mazvērtīgo koku nociršana ielu nodalījuma joslās un pašvaldības īpašumos</t>
  </si>
  <si>
    <t>Bezdarbnieku mežos un pludmales kārklu joslā savākto sadzīves atkritumu aizvešana</t>
  </si>
  <si>
    <t>Vienotā atkritumu apsaimniekotāja tarifa pieaugums pret 2011.gadu 187 %</t>
  </si>
  <si>
    <t xml:space="preserve">Atvasāju nopļaušana mežos, kuros veikta ainavu kopšanas cirte </t>
  </si>
  <si>
    <t>Atvasāju nopļaušana  ~150 ha meža, lai nepieļautu mežu aizaugšanu ar lapu koku sējeņiem.</t>
  </si>
  <si>
    <t>Celmu izfrēzēšana uz ietvēm un apstādījumos</t>
  </si>
  <si>
    <t>Uz ietvēm vai zaļājās zonās, kur ir nozāģēti sausie vai  avārijas koki</t>
  </si>
  <si>
    <t>Ielu apstādījumu koku vainagu kopšana</t>
  </si>
  <si>
    <t>Turaidas ielā, Horna dārzā, Lāčplēša skvērā, Z.Meierovica pr., Raiņa ielā</t>
  </si>
  <si>
    <t>Meža stādījumu kopšana</t>
  </si>
  <si>
    <t>Priežu stādījumu kopšana ~ 7 ha platībā 4 vietās kāpu zonā un Krastciema meža kvartālā</t>
  </si>
  <si>
    <t>Meža stādu iegāde</t>
  </si>
  <si>
    <t>Citi maksājumi</t>
  </si>
  <si>
    <t>Koka laipu atjaunošana atpūtas vietā "Raiņa priedes"</t>
  </si>
  <si>
    <t>Labiekārtošanas pasākumi</t>
  </si>
  <si>
    <t>05.100.</t>
  </si>
  <si>
    <t>Ielu, ietvju un zaļo zonu mehanizētā un nemehanizētā tīrīšana, t.sk.</t>
  </si>
  <si>
    <t>Ielu braucamās daļas mehanizēta un nemehanizēta tīrīsana (visu gadu)</t>
  </si>
  <si>
    <t>Pilsētas ietvju mehanizēta un nemehanizēta tīrīšana</t>
  </si>
  <si>
    <t>Izmaksās iekļauti 1.3, 1.4, 1.6 punkti</t>
  </si>
  <si>
    <t xml:space="preserve">Autobusu pieturu tīrīšana </t>
  </si>
  <si>
    <t>Izeju uz jūru mehanizēta un nemehanizēta tīrīšana</t>
  </si>
  <si>
    <t>Sadzīves atkritumu savākšana gar ielu malām esošajās zaļajās zonās</t>
  </si>
  <si>
    <t>Darbu izpildi nodrošināja Darba praktizēšanas stipendiāti</t>
  </si>
  <si>
    <t>Gājēju celiņu un veloceliņu tīrīšana</t>
  </si>
  <si>
    <t>Ar 2012.gadu iekļauts Dārzkopības pakalpojumu  līgumā</t>
  </si>
  <si>
    <t>Lapu savākšana pilsētas ielu zaļajās zonās un pašvaldību īpašumos un aizvešana uz Slokas pārkraušanas - šķirošanas staciju</t>
  </si>
  <si>
    <t>B un C kategorijas ielu tīrīšana ziemā</t>
  </si>
  <si>
    <t>Jomas, Turaidas, Aizkraukles un Rembates ielu kopšana</t>
  </si>
  <si>
    <t>Pretendenta ar zemāko cenu piedāvājums iepirkumā</t>
  </si>
  <si>
    <t>Parku un apstādījumu kopšana, zaļo zonu gar ielu malām un pašvaldībai piederošu īpašumu pļaušana no Priedaines līdz Ķemeriem</t>
  </si>
  <si>
    <t>Dārzkopības pakalpojumi Jūrmalas pilsētā (parku, skvēru, meža parku, ielu zaļo zonu kopšana)</t>
  </si>
  <si>
    <t>Aprēķins, piemērojot 2012.gada līgumadrabu cenas un faktiski izpildīto darbu apjomu 2011.gadā</t>
  </si>
  <si>
    <t>Dzintaru mežaparka apsaimniekošana</t>
  </si>
  <si>
    <t>Atlikusī līguma summa 2012. gadam - 186835 ls. Finansējumā paredzēta skatu torņa apsaimniekošana, kas 2011.gadā bija kā atsevišķs līgums, jo uz parka nodošanu ekspluatācijā, skatu tornis nebija pabeigts.</t>
  </si>
  <si>
    <t>Pludmales sakopšana (pludmales tīrīšana,celiņu no kārklu stādījumiem līdz mitrajām smiltīm tīrīšana, solu izvietošana)</t>
  </si>
  <si>
    <t>2012.gada līgumā nav paredzēta sadzīves atkritumu konteineru izvietošana pludmalē</t>
  </si>
  <si>
    <t>Sadzīves atkritumu konteineru izvietošana pludalē un izejās uz jūru un atkritumu izvešana</t>
  </si>
  <si>
    <t>Noslēgts līgums par vienoto sadzīves atkritumu apsaimniekošanu Jūrmalas pilsētā</t>
  </si>
  <si>
    <t>2012.gadā paredzēta 2 sab.tualešu apsaimniekošana</t>
  </si>
  <si>
    <t>Sabiedriskā tualete Jomas ielā 35a apsaimniekošana un komunālo pakalpojumu apmaksa</t>
  </si>
  <si>
    <t>Tualetes apsaimniekošanas un komunālo un apsardzes pakalpojumu izmaksas</t>
  </si>
  <si>
    <t>Sabiedriskās tualetes Baznīcas ielā 2a apsaimniekošana un komunālo pakalpojumu apmaksa</t>
  </si>
  <si>
    <t xml:space="preserve">Tualešu konteineru noma un apsaimniekošana </t>
  </si>
  <si>
    <t>Sabiedrisko tualešu konteineru darbības nodrošināšanai un apsaimniekošanai</t>
  </si>
  <si>
    <t>Upes ielā, Dzimtenes ielā, pludmalē pret Kaiju ielu, Ķemeros pie Pareizticīgo baznīcas</t>
  </si>
  <si>
    <t xml:space="preserve">Konteinertipa sanitārā mezgla noma un apsaimniekošana  Vaivaru policijas postenī </t>
  </si>
  <si>
    <t>Stacionāro sabiedrisko tualešu konteineru apsaimniekošana</t>
  </si>
  <si>
    <t>Ja tiks izbūvētas tualetes krustojumos ar Jauno ielu un Viktorijas ielu</t>
  </si>
  <si>
    <t>Beazdarbnieku savākto sadzīves atkritumu izvešana, Spodrības mēneša laikā Lielgabarīta atkritumu izvešna, Vislatvijas Lielās talkas laikā savākto atkritumu izvešana</t>
  </si>
  <si>
    <t>Pašvaldībai piederošo zemes īpašumu kopšana</t>
  </si>
  <si>
    <t>Sadzīves atkritumu aizvešana no dalīto atkritumu vietām</t>
  </si>
  <si>
    <t>Remontmateriālu iegāde</t>
  </si>
  <si>
    <t>Dzīvnieku uzturēšanās izmaksas patversmē</t>
  </si>
  <si>
    <t>Dzīvnieku sterilizāciju un dzīvnieku reģistrācija vienotā datu bāzē</t>
  </si>
  <si>
    <t>Klejojošu dzīvnieku izķeršana</t>
  </si>
  <si>
    <t>No jūras izskaloto dzīvnieku un putnu līķu savākšana un apglabāšana</t>
  </si>
  <si>
    <t>2011.gadā tika apmaksāti rēķini no pludmales sakopšanas darbiem</t>
  </si>
  <si>
    <t>Viengadīgo puķu stādu iegāde stādīšanai puķu piramīdās, puķu sienā un puķu traukos un kastēs</t>
  </si>
  <si>
    <t>Viengadīgo puķu dobju izveidošana Z.Meierovica pr. sadalošā joslā</t>
  </si>
  <si>
    <t>Viengadīgo puķu kastu izvietošana uz Dzintaru viadukta margām - 81 kaste (3 pie katra apgaismes staba</t>
  </si>
  <si>
    <t>Viengadīgo puķu stādu kopšana piramīdās, puķu sienā un puķu traukos un kastēs</t>
  </si>
  <si>
    <t>Ielu nosaukumu plāksnīšu un to stiprinājuma stabiņu   izgatavošana</t>
  </si>
  <si>
    <t>Sask. ar investīciju plānu</t>
  </si>
  <si>
    <t>Ielu nosaukumu plāksnīšu un to stiprinājuma stabiņu  komplektu apsaimniekošana</t>
  </si>
  <si>
    <t>Autobusu pieturu nojumju, soliņu un atkritumu urnu remonts, krāsošana un bojāto autobusu pieturu remonts</t>
  </si>
  <si>
    <t>Daudzdzīvokļu māju iekšpagalmu labiekārtošana</t>
  </si>
  <si>
    <t xml:space="preserve">Daudzdzīvokļu māju iekšpagalmos esošā rotaļu aprīkojuma remonts </t>
  </si>
  <si>
    <t>Jaunu solu un atkritumu urnu izvietošana Mellužu parkā</t>
  </si>
  <si>
    <t>Bērnu rotaļu aprīkojuma izvietošana daudzdzīvokļu māju iekšpagalmos un pilsētas parkos</t>
  </si>
  <si>
    <t>Sintētiskā seguma izbūve bērnu rotaļu laukumiem, atbilstoši EN 1177 prasībām</t>
  </si>
  <si>
    <t>2011.gadā un 2012.gadā izbūvēto laukumu pamatnes ieklāšana ar sintētisko segumu ~ 2200 m2</t>
  </si>
  <si>
    <t>Pašvaldības uzstādītā  rotaļu aprīkojuma remonts (iekšpagalmos, parkos, pludmalē)</t>
  </si>
  <si>
    <t>Bērnu rotaļu laukumu regulāra apsekošana, iespējamo bojājumu un defektu konstatācijai un nelielu remontdarbu izpilde</t>
  </si>
  <si>
    <t>Atbilstoši EN 1176 un EN 1177 prasībām</t>
  </si>
  <si>
    <t>Solu sēdvirsmu atjaunošana un remonts</t>
  </si>
  <si>
    <t>Solu sēdvirsmu atjaunošana Jomas ielā, Lāčplēša skvērā un Horna dārzā - ~96 soli. Sask.ar invest.plānu</t>
  </si>
  <si>
    <t xml:space="preserve">Jaunu solu un atkritumu urnu komplektu izvietošana parkos un uz ielām </t>
  </si>
  <si>
    <t>Jaunu solu un urnu izvietošana Represēto parkā, skvērā pie Bulduru stacijas, tallinas ielā un Tērbatas ielā - 16 komplekti. Sask.ar invest.plānu</t>
  </si>
  <si>
    <t>Divu stacionāro sabiedrisko tualešu konteineru izvietošana Jomas ielā</t>
  </si>
  <si>
    <t>Krustojumos ar Jauno ielu un Viktorijas ielu. Sask.ar invest.plānu</t>
  </si>
  <si>
    <t>Inženiertīklu izbūve uz stacionāriem tualešu konteineriem</t>
  </si>
  <si>
    <t>Krustojumos ar Jauno ielu un Viktorijas ielu</t>
  </si>
  <si>
    <t>Kāpņu un koka laipu atjaunošana "Raga kāpas" dabas takā</t>
  </si>
  <si>
    <t>Dzeramā ūdens strūklakas iegāde un uzstādīšana</t>
  </si>
  <si>
    <t>Balvu iegāde konkursa "Jūrmalas sakoptākais īpašums" laureātiem</t>
  </si>
  <si>
    <t>Informatīvo norāžu izgatavošana un izvietošana</t>
  </si>
  <si>
    <t>Autobusu pieturu atkritumu urnu iegāde</t>
  </si>
  <si>
    <t>BLOOX rotaļu aprīkojuma remonts un pārvietošana</t>
  </si>
  <si>
    <t xml:space="preserve">Pārējie izdevumi pilsētas apsaimniekošanā </t>
  </si>
  <si>
    <t>Strūklakas apsaimniekošana Jomas ielā pie Omnibusa ielas</t>
  </si>
  <si>
    <t>Strūklakas apsaimniekošana Turaidas ielā pie koncertzāles</t>
  </si>
  <si>
    <t>Strūklaku remonts</t>
  </si>
  <si>
    <r>
      <t>Pludmales labiekārtošana,</t>
    </r>
    <r>
      <rPr>
        <sz val="9"/>
        <color indexed="61"/>
        <rFont val="Times New Roman"/>
        <family val="1"/>
      </rPr>
      <t xml:space="preserve"> </t>
    </r>
    <r>
      <rPr>
        <sz val="9"/>
        <rFont val="Times New Roman"/>
        <family val="1"/>
      </rPr>
      <t xml:space="preserve">tai skaitā rotaļu aprīkojuma, sporta aprīkojuma,  informatīvo norāžu un koka laipu remonts, izvietošana, demontāža, atjaunošana </t>
    </r>
  </si>
  <si>
    <t>Koka laipu izgatavošana pludmales izejās uz jūru</t>
  </si>
  <si>
    <t>Satrunējušo laipu nomaiņa ~ 22 izejas uz jūru. Sask.ar invest.plānu</t>
  </si>
  <si>
    <t>Betona plākšņu izvietošana izejās uz jūru, lai nodrošinātu cilvēku ar kustības traucējumiem nokļūšanu pludmalē</t>
  </si>
  <si>
    <t>Papildus plākšņu novietošana Jaunķemeros, Vēju ielā, Pilsoņu ielā u.c.</t>
  </si>
  <si>
    <t>Kāpņu atjaunošana izejās uz jūru</t>
  </si>
  <si>
    <t>Tirgoņu ielā un Viktorijas ielā. Sask.ar invest.plānu</t>
  </si>
  <si>
    <t>Sporta aprīkojuma (trenažieru) uzstādīšana pludmalē un Dzintaru mežaparkā</t>
  </si>
  <si>
    <t>2 komplekti. Sask.ar invest.plānu</t>
  </si>
  <si>
    <t>Pludmales ģērbtuvju uzglabāšana ziemas sezonā</t>
  </si>
  <si>
    <t>Distanču slēpošanas trases izveide un uzturēšana pludmalē un Dzintaru mežaparka keittrasē</t>
  </si>
  <si>
    <t>Sporta nodaļas ierosinājums</t>
  </si>
  <si>
    <t xml:space="preserve">Jaunu pārģērbšanās kabīņu izgatavošana </t>
  </si>
  <si>
    <t>Pašvaldības īpašumu pārvaldīšanas nodaļa</t>
  </si>
  <si>
    <t>Pašvaldības īpašumu pārvaldīšana</t>
  </si>
  <si>
    <t>Vērtēšana</t>
  </si>
  <si>
    <t>Objektiem, kas paredzēti atsavināšnai, atpirkšanai.(Sask.ar iepirkuma līg.)</t>
  </si>
  <si>
    <t>18 objekti x 100</t>
  </si>
  <si>
    <t>Informatīvie stendi</t>
  </si>
  <si>
    <t xml:space="preserve">Zemes  noma </t>
  </si>
  <si>
    <t>Skat.Zemes_noma t.sk.V.Leiškalne</t>
  </si>
  <si>
    <t>Īpašumu apsaimniekošana</t>
  </si>
  <si>
    <t>Skat.Apsaimniekošana</t>
  </si>
  <si>
    <t>Parādu segšana par pašvaldības neizīrēto dzīvokļu apsaimniekošanu</t>
  </si>
  <si>
    <t>Kapitālie ieguldījumi pašvaldībai piederošos īpašumos</t>
  </si>
  <si>
    <t>Līdzfinansējums apsaimniekotājam pirms renovācijas</t>
  </si>
  <si>
    <t>Īpašumu apdrošināšana</t>
  </si>
  <si>
    <t>Skat.Apdrošināšana</t>
  </si>
  <si>
    <t>Ēku tehniskā stāvokļa novērtēšana</t>
  </si>
  <si>
    <t>Ģertrūdes pr.31, P.Brieža iela 46</t>
  </si>
  <si>
    <t>VZD kadastra izziņa</t>
  </si>
  <si>
    <t>Vērtību salīdzināšanai</t>
  </si>
  <si>
    <t>Nekustamā īpašuma iegāde</t>
  </si>
  <si>
    <t>Īpašumu iegāde</t>
  </si>
  <si>
    <t>Skat.Pirk_izdev</t>
  </si>
  <si>
    <t>Valsts nodeva īpašumu pirkšanai</t>
  </si>
  <si>
    <t>6 objekti</t>
  </si>
  <si>
    <t>Izdevumi juridiskās palīdzības sniedzējiem</t>
  </si>
  <si>
    <t>6 objekti (notāra pakalpojumi)</t>
  </si>
  <si>
    <t>Telpu noma</t>
  </si>
  <si>
    <t>Skat.Telpu_noma  t.sk. Ķemeru pasts</t>
  </si>
  <si>
    <t>Pilsētplānošanas nodaļa</t>
  </si>
  <si>
    <t xml:space="preserve">Teritorijas plānojums un apbūves noteikumi </t>
  </si>
  <si>
    <t>SIA "Grupa 93" līgums Nr.1.1-16.4.3/1137, vienošanās 1.1-16.4.3/156; 1.1-16.4.3/187; 1.1-16.4.3/724. 11000Ls - mērķdotācija.</t>
  </si>
  <si>
    <t>RTU projekts</t>
  </si>
  <si>
    <t>Līgums vēl na noslēgts</t>
  </si>
  <si>
    <t>Brīzes iela 1</t>
  </si>
  <si>
    <t xml:space="preserve">SIVN teritorijai starp Jaunķemeru ceļu, Kolkas ielu un Mežciema ielu </t>
  </si>
  <si>
    <t>"Vides konsultāciju birojs" Līgums 1.1-16.4/1062, vienošanās 1.1-16.4.3/3, v.1.1-16.4.3/881</t>
  </si>
  <si>
    <t>Bažciems 0112</t>
  </si>
  <si>
    <t>Līgums ar AS "Mērniecības centrs MC" Nr.1.1-16.4.3/778, v.1.1-16.4.3/689; 1.1-16.4.3/654</t>
  </si>
  <si>
    <t>R.Blaumaņa iela 15</t>
  </si>
  <si>
    <t>Līgums ar SIA "Sestais stils" Nr.1.1-16.4.3/4, v.1.1-16.4.3/949, v. 1.1-16.4.3/765</t>
  </si>
  <si>
    <t>Jauns detālplānojums/lokālplānojums un/vai izpētes darbi saskaņā ar jauno TP</t>
  </si>
  <si>
    <t>Atsevišķu kultūrvēsturisko objektu izvērtējums un aizsardzības pakāpes noteikšana</t>
  </si>
  <si>
    <t>Vietējā ģeodēziskā tīkla apsekošana un atjaunošanas procesa uzsākšana</t>
  </si>
  <si>
    <t>Applūduma riska izpēte un prognozēšana</t>
  </si>
  <si>
    <t>Plānotā izpilde 2011.gadā 11468Ls</t>
  </si>
  <si>
    <t>Jūrmalas pilsētas administratīvās robežas uzmērīšana</t>
  </si>
  <si>
    <t>08.290.</t>
  </si>
  <si>
    <t>Vēsturisko kokgriezumu un būvdetaļu attīrīšana un konservācija</t>
  </si>
  <si>
    <t>Jūrmalas vēsturisko ēku kokamatniecības izpēte, fiksācija un materiālu apkopošana</t>
  </si>
  <si>
    <t>Foto materiālu apzināšana par Jūrmalas kultūrvēsturi Latvijas kinofotofono dokumentu arhīvā (20.gs sāk. līdz 1940. gads)</t>
  </si>
  <si>
    <t>Tematiskās izstādes "Jūrmalas vēsturiskie interjeri" sagatavošana, uzstādīšana, demontāža</t>
  </si>
  <si>
    <t>Majoru muižas kompleksa Konkordijas ielā 66 izmantošanas ideju konkursa organizēšana, ēku projektēšana, remonts-restaurācija</t>
  </si>
  <si>
    <t>Ziedojumi</t>
  </si>
  <si>
    <t xml:space="preserve">Struktūrvienība: </t>
  </si>
  <si>
    <t>Sabiedrisko attiecību nodaļa</t>
  </si>
  <si>
    <t>Sabiedrisko attiecību veidošanas pasākumi</t>
  </si>
  <si>
    <t>Tipogrāfiju un publikāciju pakalpojumi</t>
  </si>
  <si>
    <t>Pašvaldības informācijas ievietošana bukletos, grāmatās, katalogos un citos prezentatīvos materilāos</t>
  </si>
  <si>
    <t>Pašvaldības informācijas tulkošanas pakalpojumi</t>
  </si>
  <si>
    <t>Maketēšanas pakalpojumi</t>
  </si>
  <si>
    <t>Maketu izgatavošana Jūrmalas pašvaldības informatīvā biļetena izdošanai</t>
  </si>
  <si>
    <t>Tipogrāfijas un maketēšanas pakalpojumi Jūrmalas pašvaldības informatīvā biļetena izdošanai</t>
  </si>
  <si>
    <t>Grāmatas "Černobiļa, arvien mūsu atmiņā" iegāde</t>
  </si>
  <si>
    <t>Pašvaldības stila grāmatas izveidošana</t>
  </si>
  <si>
    <t>Sadarbība ar masu medijiem</t>
  </si>
  <si>
    <t>Sadarbībai ar nacionālo TV, radio, presi</t>
  </si>
  <si>
    <t>Informācijas izvietošana vietējā laikrakstā, sadarbībā ar reģionālo TV, radio</t>
  </si>
  <si>
    <t>Informācijas izvietošana medijos par pašvaldības pasākumiem</t>
  </si>
  <si>
    <t>Interneta pakalpojumi</t>
  </si>
  <si>
    <t>Online ziņu abonements</t>
  </si>
  <si>
    <t>Sadarbība ar interneta portāliem</t>
  </si>
  <si>
    <t>Periodikas pasūtīšana</t>
  </si>
  <si>
    <t>Laikrakstu, žurnālu, rokasgrāmatu abonents</t>
  </si>
  <si>
    <t>Pasta pakalpojumi</t>
  </si>
  <si>
    <t>Publisko attiecību veicināšanas pasākumi</t>
  </si>
  <si>
    <t>Ārvalstu delegāciju viesu uzņemšana</t>
  </si>
  <si>
    <t>Publisko attiecību kampaņas</t>
  </si>
  <si>
    <t>Citi pakalpojumi</t>
  </si>
  <si>
    <t>Preses konferenču sarīkošanas izdevumi</t>
  </si>
  <si>
    <t>Pilsētas tēla veidošanas un mārketinga pasākumi</t>
  </si>
  <si>
    <t>Apspriežu, konferenču, kongresu un citu pasākumu organizēšanas izdevumi</t>
  </si>
  <si>
    <t>Latvijas jaunatnes olimpiāde</t>
  </si>
  <si>
    <t>Teritorijas plānojuma publicitātes pasākumi</t>
  </si>
  <si>
    <t>Pašvaldības atzinības izteikšana par īpašiem sasniegumiem un rezultātiem</t>
  </si>
  <si>
    <t>08.620.</t>
  </si>
  <si>
    <t>Konkursa "Jaunais Vilnis" līdzfinansēšana</t>
  </si>
  <si>
    <t>Pārējie pakalpojumi</t>
  </si>
  <si>
    <t>Sporta nodaļa</t>
  </si>
  <si>
    <t>Sporta pasākumi</t>
  </si>
  <si>
    <t>I Jūrmalas pilsētas sporta pasākumi</t>
  </si>
  <si>
    <t>SPORTA PASĀKUMI</t>
  </si>
  <si>
    <t>Latvijas Jaunatnes olimpiāde</t>
  </si>
  <si>
    <t>inventāra īre</t>
  </si>
  <si>
    <t>Gada balva sportā 2012</t>
  </si>
  <si>
    <t>apskaņ.</t>
  </si>
  <si>
    <t>org. Izd.</t>
  </si>
  <si>
    <t>afišas</t>
  </si>
  <si>
    <t>Olimpiskā diena</t>
  </si>
  <si>
    <t>formas</t>
  </si>
  <si>
    <t>FUTBOLS</t>
  </si>
  <si>
    <t>Atklātās sacensības "Jūrmalas domes kauss" 5.posmos 3 vecuma grupās pludmales futbolā</t>
  </si>
  <si>
    <t>līdzfinan.</t>
  </si>
  <si>
    <t>inventārs</t>
  </si>
  <si>
    <t>transports</t>
  </si>
  <si>
    <t>Jūrmalas pilsētas atklātais čempionāts pieaugušiem</t>
  </si>
  <si>
    <t>org. izd.</t>
  </si>
  <si>
    <t>Jūrmalas Domes kauss futbolā</t>
  </si>
  <si>
    <t>Bērnu futbola sacensības Lielupē</t>
  </si>
  <si>
    <t>SKEITBORDS UN ŠAUTRIŅAS</t>
  </si>
  <si>
    <t xml:space="preserve">"World Baltic Sea cup" starptautiskās  sacensības skeitbordā </t>
  </si>
  <si>
    <t>org.izd.</t>
  </si>
  <si>
    <t>apskaņoš.</t>
  </si>
  <si>
    <t>invent. īre</t>
  </si>
  <si>
    <t xml:space="preserve">Jūrmalas pilsētas domes kauss skeitbordā </t>
  </si>
  <si>
    <t>organ. izd.</t>
  </si>
  <si>
    <t>ŪDENSMOTOSPORTS</t>
  </si>
  <si>
    <t>"Pasaules kausa"sacensības ūdensmotosportā JT250 laivu klasē</t>
  </si>
  <si>
    <t>Līdzfinan.</t>
  </si>
  <si>
    <t>Latvijas čempionāts ūdensmotosportā</t>
  </si>
  <si>
    <t>AUSTRUMCĪŅAS</t>
  </si>
  <si>
    <t>"Jūrmalas kauss 2012" Starptautiskais karatē čempionāts</t>
  </si>
  <si>
    <t>zāles īre</t>
  </si>
  <si>
    <t>INVALĪDU SPORTS</t>
  </si>
  <si>
    <t>Invalīdu spēles "Uzdrošinies, nāc līdz!"</t>
  </si>
  <si>
    <t>Sporta svētki "Pepija " bērniem invalīdiem</t>
  </si>
  <si>
    <t>Invalīdu sporta spēles</t>
  </si>
  <si>
    <t>Orientēšanās invalīdiem "Tu vari!"</t>
  </si>
  <si>
    <t>GALDA TENISS</t>
  </si>
  <si>
    <t>Jūrm.atklātais čemp. Galda tenisā</t>
  </si>
  <si>
    <t>telpu īre</t>
  </si>
  <si>
    <t>Jūrmalas atkl. sac. galda tenisā senioriem</t>
  </si>
  <si>
    <t>Ziemassvētku -Jaungada turnīrs galda tenisā</t>
  </si>
  <si>
    <t>AIRĒŠANA</t>
  </si>
  <si>
    <t>Baltijas valstu čempionāts airēšanā</t>
  </si>
  <si>
    <t>līdzfinansējums</t>
  </si>
  <si>
    <t>Jūrmalas pilsētas atklātais čempionāts smaiļošanā</t>
  </si>
  <si>
    <t>materiāli</t>
  </si>
  <si>
    <t>Jūrmalas pilsētas čempionāts akadēmiskā airēšanā</t>
  </si>
  <si>
    <t>Dalībai Pasaules airēšanas čempionātos</t>
  </si>
  <si>
    <t>BURĀŠANA</t>
  </si>
  <si>
    <t>2 stundu regates sezonas sacensību seriāls</t>
  </si>
  <si>
    <t>Jūrmalas pilsētas burāšanas sezonas atklāšanas regate</t>
  </si>
  <si>
    <t>Maija regate</t>
  </si>
  <si>
    <t>Optimist asociācijas kauss. Baltic Optimist Cup posms</t>
  </si>
  <si>
    <t>Jūrmalas kausa regate</t>
  </si>
  <si>
    <t>Beach Regatta</t>
  </si>
  <si>
    <t xml:space="preserve">Atklātais LR čempionāts </t>
  </si>
  <si>
    <t>Priedaines Jahtkluba sezonas slēgšanas regate</t>
  </si>
  <si>
    <t>BASKETBOLS</t>
  </si>
  <si>
    <t>Jūrmalas basketbola čempionāts 11/12</t>
  </si>
  <si>
    <t>Jūrmalas čempionāts basketbolā vīriešiem 12/13</t>
  </si>
  <si>
    <t>"Pirtnieka kauss"</t>
  </si>
  <si>
    <t>PLUDMALES VOLEJBOLS</t>
  </si>
  <si>
    <t>Latvija Open starpt. sac. 4.p. vīriešiem</t>
  </si>
  <si>
    <t>Latvijas pludmales volejbola līgas līdzfinansējums</t>
  </si>
  <si>
    <t>Latvija Open starpt. sac. 3.posmos sievietēm</t>
  </si>
  <si>
    <t xml:space="preserve">Atkl. sac. "Jūrmalas domes kauss" </t>
  </si>
  <si>
    <t>Jaunatnes čempionāts pludmales  volejbolā</t>
  </si>
  <si>
    <t>Kauguri Open 2012</t>
  </si>
  <si>
    <t>"Dzintari Open" turnīrs</t>
  </si>
  <si>
    <t>Kauguri Night</t>
  </si>
  <si>
    <t>HANDBOLS</t>
  </si>
  <si>
    <t>Starptautiskais turnīrs  "Nemo-2012"</t>
  </si>
  <si>
    <t>ŠAHS</t>
  </si>
  <si>
    <t>Starptautiskais šaha festivāls "Latvian Open" 2012</t>
  </si>
  <si>
    <t>Jūrmalas bērnu šaha turnīri(6 reizes gadā)</t>
  </si>
  <si>
    <t>ORIENTĒŠANĀS</t>
  </si>
  <si>
    <t>"Magnēts-Jūrmalas balvas izcīņa"četrās kārtās</t>
  </si>
  <si>
    <t>Tautas orientēšanās sacensības"Ķemermiestiņa mazās Anniņas lielā balva"</t>
  </si>
  <si>
    <t>organizēšanas izd.</t>
  </si>
  <si>
    <t>ŪDENSSLĒPOŠANA</t>
  </si>
  <si>
    <t xml:space="preserve">Jūrmalas pilsētas atklātais čempionāts "Jūrmalas Domes kauss " </t>
  </si>
  <si>
    <t>inven. īre</t>
  </si>
  <si>
    <t>BOKSS/KIKBOKS</t>
  </si>
  <si>
    <t>Latvijas čempionāts boksā</t>
  </si>
  <si>
    <t>org.izdevumi</t>
  </si>
  <si>
    <t xml:space="preserve">Kūrorta sezonas sacensības boksā </t>
  </si>
  <si>
    <t>VIEGLATLĒTIKA</t>
  </si>
  <si>
    <t>Skrējiens "Dzintaru apļi" 7 kārtās</t>
  </si>
  <si>
    <t>Jūrmalas čempionāts vieglatlētikā 2012</t>
  </si>
  <si>
    <t>Vieglatlētikas sacensību seriāls Slokas stadionā 4 posmos</t>
  </si>
  <si>
    <t xml:space="preserve">Pludmales skrējiens "Bruņurupucis 2012" </t>
  </si>
  <si>
    <t>Jūrmalas čempionāts 50 km soļošanā</t>
  </si>
  <si>
    <t>biotualete</t>
  </si>
  <si>
    <t>Sporta maratonu sērija</t>
  </si>
  <si>
    <t>TENISS</t>
  </si>
  <si>
    <t>LR ziemas jaunatnes čempionāts</t>
  </si>
  <si>
    <t>līdzfinans.</t>
  </si>
  <si>
    <t>LR ziemas pieaugušo čempionāts</t>
  </si>
  <si>
    <t>CITI</t>
  </si>
  <si>
    <t>Spēka vīri pludmalē</t>
  </si>
  <si>
    <t>Mazā stiprinieka piedzīvojumi</t>
  </si>
  <si>
    <t>Jūrmalas pilsētas atklātais aerobikas festivāls</t>
  </si>
  <si>
    <t>Ielu basketbola turnīrs "Ghetto basket" 3 posmos</t>
  </si>
  <si>
    <t>Jūrmalas atklātās slēpošanas sacensības</t>
  </si>
  <si>
    <t>Autorallijs "Latvija 2012"</t>
  </si>
  <si>
    <t>I Novusa Olimpiāde</t>
  </si>
  <si>
    <t>Ziemas peldēšanā čempionāts</t>
  </si>
  <si>
    <t>Starptautiskais bridža turnīrs</t>
  </si>
  <si>
    <t>lidzfinansējums</t>
  </si>
  <si>
    <t>2 treneru likmes E. Vasiļjeva hokeja skolai</t>
  </si>
  <si>
    <t>pēc sadarbības līguma</t>
  </si>
  <si>
    <t>Daiļslidošanas sacensības</t>
  </si>
  <si>
    <t>Riteņbraukšanas sacensības</t>
  </si>
  <si>
    <t>Tenisa sacensības</t>
  </si>
  <si>
    <t xml:space="preserve">Latvijas veterānu sacensības Jūrmalā </t>
  </si>
  <si>
    <t>org. Izdevumi(atklāšana)</t>
  </si>
  <si>
    <t>Jūrmalas UŠU-KUNGFU atklātais pilsētas kauss</t>
  </si>
  <si>
    <t>FLORBOLS</t>
  </si>
  <si>
    <t>Jūrmalas atklātais vasaras čempionāts florbolā jauniešiem</t>
  </si>
  <si>
    <t>apskaņošana</t>
  </si>
  <si>
    <t>Jūrmalas atklātais ziemas čempionāts florbolā jauniešiem</t>
  </si>
  <si>
    <t>HOKEJS</t>
  </si>
  <si>
    <t>Jūrmalas čempionāts hokejā</t>
  </si>
  <si>
    <t>Skolēnu sacensības hokejā "Zelta ripa"</t>
  </si>
  <si>
    <t>organiz. Izdevumi</t>
  </si>
  <si>
    <t>MĀKSLAS VINGROŠANA</t>
  </si>
  <si>
    <t>Starptautiskais festivāls"Mazā-lielā grācija"</t>
  </si>
  <si>
    <t>līdzfin.</t>
  </si>
  <si>
    <t>Ziemassvētku turnīrs</t>
  </si>
  <si>
    <t>Jūrmalas atklātās jaunatnes meistarsacīkstes</t>
  </si>
  <si>
    <t>Jūrmalas čempionāts</t>
  </si>
  <si>
    <t xml:space="preserve">II  Jūrmalas pilsētas finansētie sporta klubu komandu piedalīšanās izdevumi starptautiskās sacensībās un Latvijas čempionātu sacensībās 2012.g. </t>
  </si>
  <si>
    <t>LBL basketbola komandas "Jūrmala/ Fēnikss" atbalstam</t>
  </si>
  <si>
    <t>Handbola virslīgas komandas atbalstam</t>
  </si>
  <si>
    <t>Futbola virslīgas komandas ''Jūrmala VV" atbalstam</t>
  </si>
  <si>
    <t>Dalība LSVS 48. sporta spēlēs</t>
  </si>
  <si>
    <t>Dalība Latvijas olimpiādē Liepājā 2012</t>
  </si>
  <si>
    <t>tērpi</t>
  </si>
  <si>
    <t>Jurmala Racing Team</t>
  </si>
  <si>
    <t>Jūrmalas sporta veterānu atbalstam. SSB Jūrmala</t>
  </si>
  <si>
    <t>Latvijas"Optimists" klasesburātāju asociācija</t>
  </si>
  <si>
    <t>Florbola klubs "Jūrmala"</t>
  </si>
  <si>
    <t>Futbola klubs"Kauguri-PBLC"</t>
  </si>
  <si>
    <t>Futbola centrs "Jūrmala"</t>
  </si>
  <si>
    <t>Futbola kluba "Spartaks" atbalstam</t>
  </si>
  <si>
    <t>Dambretes klubs "Pumpuri"</t>
  </si>
  <si>
    <t>Biedrība "Hokeja skola Jūrmala"</t>
  </si>
  <si>
    <t>Specializētā Airēšanas sporta skola</t>
  </si>
  <si>
    <t>Jūrmalas smaiļotāju un kanoistu atbalstam</t>
  </si>
  <si>
    <t>Galda tenisa klubs "Sloka"</t>
  </si>
  <si>
    <t>FK Dinamo Rīga</t>
  </si>
  <si>
    <t>Motosportistu atbalstam</t>
  </si>
  <si>
    <t>Hokeja klubs "Kauguri"</t>
  </si>
  <si>
    <t>Līdzfinans.</t>
  </si>
  <si>
    <t>Hokeja klubs "Jūrmala"</t>
  </si>
  <si>
    <t>Sporta klubs "Neguss"</t>
  </si>
  <si>
    <t xml:space="preserve"> Jūrmalas Karsējmeiteņu komandai</t>
  </si>
  <si>
    <t>Dalība sacensībās SK "DEVRO"</t>
  </si>
  <si>
    <t>Daiļslidošanas klubs "Stils"</t>
  </si>
  <si>
    <t>Biedrība  Sporta klubs "MSL"</t>
  </si>
  <si>
    <t>Jūrmalas kartingista dalība sacensībās</t>
  </si>
  <si>
    <t>Invalīdu sporta atbalstam</t>
  </si>
  <si>
    <t>Skautu un gaidu dalība burāšanas sacensībās</t>
  </si>
  <si>
    <t>Boksa kluba "Jūrmala" dalība sacensībās</t>
  </si>
  <si>
    <t xml:space="preserve">Dalība Pasaules kausa sacensībās pludmales volejbolā </t>
  </si>
  <si>
    <t>Jāņa Roviča boksa klubs</t>
  </si>
  <si>
    <t>Jūrmalas ātrslidotāja dalība sacensībās</t>
  </si>
  <si>
    <t>Dalība vieglatlētikas treniņnometnēs</t>
  </si>
  <si>
    <t>Sporta klubs "Jūrmalas slidas"</t>
  </si>
  <si>
    <t>Dalība sacensībās džudo klubam Lido</t>
  </si>
  <si>
    <t>Volejbola klubs Jūrmala</t>
  </si>
  <si>
    <t>Jūrmalnieka hokejista A.V. Vasiļonoka atbalstam</t>
  </si>
  <si>
    <t>Pludmales futbola komandai "VBFK"</t>
  </si>
  <si>
    <t>ProfBoksa klubs Jūrmala</t>
  </si>
  <si>
    <t>jūrmalnieka -orientierista atbalstam</t>
  </si>
  <si>
    <t>Jūrmalas bērnu ūdensslēpotāju atbalstam</t>
  </si>
  <si>
    <t>Līdzfinan</t>
  </si>
  <si>
    <t>Jūrmalas smaiļotājas dalības Pasaules junioru čempionātā</t>
  </si>
  <si>
    <t>Atbalsts Jūrmalas sporta skolas audzēkņu dalībai starptautiskajās sacensībās</t>
  </si>
  <si>
    <t>Komandējums uz Turciju</t>
  </si>
  <si>
    <t>2012.gada Pasaules ziemas peldēšanas čempionāts</t>
  </si>
  <si>
    <t>līdzfinans. pēc domes rīkojuma</t>
  </si>
  <si>
    <t>SSB basketbola komanda</t>
  </si>
  <si>
    <t>Jūrmalas karatista dalība sacensībās</t>
  </si>
  <si>
    <t>Jūrmalas boulinga spēlētāju (latvijas izlases dalībnieku) atbalstam</t>
  </si>
  <si>
    <t>III</t>
  </si>
  <si>
    <t>Rezerve sportam</t>
  </si>
  <si>
    <t>rezerve sportam</t>
  </si>
  <si>
    <t>Pašvaldības īpašumu tiesiskās reģistrācijas un datu bāzes nodaļa</t>
  </si>
  <si>
    <t>Kadastrālā uzmērīšana objektiem, kas ierakstāmi zemesgrāmatā uz Jūrmalas pilsētas pašvaldības vārda, zemes ierīcības projektu pasūtīšana</t>
  </si>
  <si>
    <t>Inventarizācijas lietu pasūtīšana Valsts zemes dienestam, dzīvokļu tehniskās pases objektiem, kas ierakstāmi zemesgrāmatā uz Jūrmalas pilsētas pašvaldības vārda</t>
  </si>
  <si>
    <t>Arhīva izziņu pasūtīšana no LVVA , LVA objektiem, kas ierakstāmi zemesgrāmatā uz Jūrmalas pilsētas pašvaldības vārda</t>
  </si>
  <si>
    <t>Kancelejas nodevas, valsts nodevas (kadastra izziņas)</t>
  </si>
  <si>
    <t>Izdevumi juridiskās palīdzības sniedzējiem - notāra pakalpojumi</t>
  </si>
  <si>
    <t>Zvērināta revidenta pakalpojumi</t>
  </si>
  <si>
    <t>Tūrisma un ārējo sakaru nodaļa</t>
  </si>
  <si>
    <t>Tūrisma attīstības nodrošināšanas pasākumi</t>
  </si>
  <si>
    <t>Dalība tūrisma izstādēs un gadatirgos</t>
  </si>
  <si>
    <t>Dalība tūrisma izstādē Rīgā, Latvijā - Baltour</t>
  </si>
  <si>
    <t>Dalība tūrisma gadatirgū Helsinkos, Somijā - Matka</t>
  </si>
  <si>
    <t>Dalība tūrisma gadatirgū Somijā, Zviedrijā</t>
  </si>
  <si>
    <t>Jūrmalas dienas Maskavā un Somijā(lielveikalā)</t>
  </si>
  <si>
    <t>Vizītes</t>
  </si>
  <si>
    <t>Dalība tūrisma darba semināros, dienās, prezentācijās un to rīkošana (Norvēģija, Somija, Polija, Zviedrija, Krievija, Ukraina, Baltkrrievija, Izraēla u.c.)</t>
  </si>
  <si>
    <t>Vizīte uz Gruziju</t>
  </si>
  <si>
    <t>Vizīte uz Izraēlu un Beļģiju</t>
  </si>
  <si>
    <t>Vizīte uz Anādiju (Portugāli)</t>
  </si>
  <si>
    <t>Dalība Eiropas tūrisma medicīnas konferencē, dalība ESPA ikgaddējā kongresā, veselības tūrisma semināros</t>
  </si>
  <si>
    <t>Informatīvie materiāli par Jūrmalu</t>
  </si>
  <si>
    <t>Tūrisma brošūra Jūrmala (lv,ru, eng, de, nor, fin, swe, de, lt, ee)</t>
  </si>
  <si>
    <t>Info pasākumu bukleti</t>
  </si>
  <si>
    <t>Jūrmalas buklets(plēšamā un lokāmā karte)</t>
  </si>
  <si>
    <t>Bukleti Pony Express kurjerpastam un Ecolines par Jūrmalu</t>
  </si>
  <si>
    <t>Veselības tūrisma brošūra (ru, eng)</t>
  </si>
  <si>
    <t>Darījumu tūrisma brošūra (lv,ru)</t>
  </si>
  <si>
    <t>Kultūras tūrisma maršruta karte "Rainis&amp;Aspazija"</t>
  </si>
  <si>
    <t>Tūrisma avīze (lt, ee)</t>
  </si>
  <si>
    <t>Jumavas ceļvedis "Jūrmala TOP 10"</t>
  </si>
  <si>
    <t>Jūrmalas buklets Tallink prāmjiem</t>
  </si>
  <si>
    <t>Dalības maksa</t>
  </si>
  <si>
    <t>Dalības maksa UBC "Baltijas pilsētu savienība"</t>
  </si>
  <si>
    <t>Dalības maksa ECAD(Eiropas pilsētu kustība pret narkotikām)</t>
  </si>
  <si>
    <t>Dalības maksa ESPA(Eiropas kūrortu asociācija)</t>
  </si>
  <si>
    <t>Dalība Latvijas kūrortpilsētu asocācijā</t>
  </si>
  <si>
    <t>Dalība EDEN asociācijā</t>
  </si>
  <si>
    <t>Jūrmalas card/kartes ieviešana</t>
  </si>
  <si>
    <t>Tūrisma stratēģijas vides stratēģiskais monitorings</t>
  </si>
  <si>
    <t xml:space="preserve">www.jurmala.lv reklāmas banera izgatavošana, reklāmu ievietošana Latvijas un ārvalstu ziņu portalos, radio, vilcienos, lidostās, žurnālos, tv </t>
  </si>
  <si>
    <t>2400 - Postimees; 3200 - Lietuvas Rytas; 1250,83 Radio Skonto; 1700 - Russkoje Radio; 400-Eiropa.lv; 400-meeting.lv; 5250 -Soversheno Sekretno; 800-Inyour pocket; 2000-openlatvia.lv</t>
  </si>
  <si>
    <t>Sadraudzības līgumu notariālie tulkojumi, tulkojumi</t>
  </si>
  <si>
    <t>Sadraudzības pilsētu tikšanās Jūrmalā, Portugāļu dienas Jūrmalā, Sanktpēterburgas dienas Jūrmalā, citu sadr.pilsētu dienas</t>
  </si>
  <si>
    <t>Ārvalstu tūrisma aģentu un žurnālistu, citu delegāciju uzņemšana Jūrmalā</t>
  </si>
  <si>
    <t>Tūrisma informatīvo ceļa zīmju kājāamgājējiem un autottransportam finansējums</t>
  </si>
  <si>
    <t>Pasākumu organizēšanas izdevumu apmaksa pilsētas pasākumu programmas ietvaros, veselības dienas, tūrisma uzņēmēju gadatirgus</t>
  </si>
  <si>
    <t>Jūrmalas TIC reklāmas pilona atjauanošana</t>
  </si>
  <si>
    <t>Suvenīru monētu pārdošanas automāts, monētas</t>
  </si>
  <si>
    <t>Fotogrāfiju iegāde par Jūrmalu(aerofoto, prof.foto)+plakātu izstrāde</t>
  </si>
  <si>
    <t>Tūrisma stenda noformējuma tūrisma izstādēs (Krāsainā drukātā līmplēve u.c.) +Latvijas izstādes stends</t>
  </si>
  <si>
    <t>Live Riga</t>
  </si>
  <si>
    <t>Dalība ar reklāmu par Jūrmalu - tūrisma karte "Enjoy Map Riga/Jurmala"</t>
  </si>
  <si>
    <t>www.jurmala.lv mājas lapas uzlabošana(virtuālās eksursijas 360grādi), info Live Riga portālā</t>
  </si>
  <si>
    <t>www.jurmala.lv reklāmas banera ievietošana Latvijas un ārvalstu tūrisma un ziņu portālos, reklāma Live Riga portālā</t>
  </si>
  <si>
    <t>Dalība tūrisma darbsemināros Live Riga</t>
  </si>
  <si>
    <t>Dalība MICE tūrisma gadatirgū Frankfurtē</t>
  </si>
  <si>
    <t>Dalība MICE tūrisma gadatirgū Frankfurtē un Barselonā</t>
  </si>
  <si>
    <t>Jūrmalas reklāma MEET Riga brošūrā</t>
  </si>
  <si>
    <t>Informatīvie materiāli Rīga/Jūrmala (tranzītflaieeri, buklets Rīga/Jūrmala ķīniešu vadloā)</t>
  </si>
  <si>
    <t>Dalība tūrisma darba semināros un to rīkošana (Norvēģija, Somija, Polija, Zviedrija, Krievija, Francija)</t>
  </si>
  <si>
    <t>Ķemeru teritorijas tūrisma objektu buklets</t>
  </si>
  <si>
    <t>Reklāmas, media kartiņas par Jūrmalu</t>
  </si>
  <si>
    <t>Realizācijas līgumi</t>
  </si>
  <si>
    <t>PVN</t>
  </si>
  <si>
    <t>Stikla vitrīna ar atslēgu</t>
  </si>
  <si>
    <t>ESPA kongresa Jūrmalā rīkošana</t>
  </si>
  <si>
    <t>Jūrmalas suvenīru izstrāde un iepirkšana pārdošanai TICĀ</t>
  </si>
  <si>
    <t>Jūrmalas suvenīru monētu iegāde</t>
  </si>
  <si>
    <t>03.110.</t>
  </si>
  <si>
    <t>2011.gada  izpilde</t>
  </si>
  <si>
    <t>Sabiedriskās vietās mirušo personu transporta izdevumu segšana</t>
  </si>
  <si>
    <t>Līgums ar LR IeM Valsts policijas Rīgas reģiona pārvaldi</t>
  </si>
  <si>
    <t>Integrācijas projektu īstenošana</t>
  </si>
  <si>
    <t>Sabiedrības integrācijas programmas realizācija</t>
  </si>
  <si>
    <t>Sociālā aizsardzība invaliditātes gadījumā</t>
  </si>
  <si>
    <t>10.120.</t>
  </si>
  <si>
    <t>2011.gada izpilde</t>
  </si>
  <si>
    <t xml:space="preserve">viena bērna uzturēšana specializētā aprūpes iestādē Liepājā </t>
  </si>
  <si>
    <t xml:space="preserve"> Līgums ar Bērnu sociālās aprūpes centru ''Liepāja''(LR Labklājības ministrijas VSAC''Kurzeme'') nr.2005/20 14.02.2005. 9.50 Ls dienā, pamatojums - Sociālo pakalpojumu un sociālās palīdzības likuma 9.panta 4.daļa un cenrādis MK not.nr.254/04.04.2006. Bērns pārvests uz PI ''Sprīdītis''</t>
  </si>
  <si>
    <t xml:space="preserve">Dienas centrs personām ar garīga rakstura traucējumiem </t>
  </si>
  <si>
    <t xml:space="preserve"> Iepirkuma procedūra - 7.97 Ls darba dienā 35 personām līgums ar SIVA</t>
  </si>
  <si>
    <t xml:space="preserve">pabalsts personām ar funkcionāliem traucējumiem </t>
  </si>
  <si>
    <t>JPD Saistošie noteikumi nr. 7. 26.02.2009.</t>
  </si>
  <si>
    <t>Pabalsts mājokļa vides pieejamības nodrošināšanai</t>
  </si>
  <si>
    <t>Pabalsts tiek piešķirts invalīdiem (I ; II grupa vai bērni invalīdi), kuri pārvietojas riteņkrēslā mājokļa vides pieejamības nodrošināšanai. Vienai personai līdz Ls 2000</t>
  </si>
  <si>
    <t>Ergoterapeita vides novērtējumam, ja prasītājs ir trūcīga persona</t>
  </si>
  <si>
    <t>Saistošo noteikumu izpildes nodrošinājuma kontroles funkciju veikšanai - Eksperta ergoterapeita novērtējuma apmaksai ~ Ls 30 par gadījumu.</t>
  </si>
  <si>
    <t>Vienreizējs pabalsts ekonomiskās krīzes situācijā</t>
  </si>
  <si>
    <t xml:space="preserve">Speciāli pielāgota autotransporta degvielas iegādes apmaksa </t>
  </si>
  <si>
    <t>JPD Saistošie noteikumi nr. 12. 26.02.2009.(līdz 150 Ls personai gadā 7 personas)</t>
  </si>
  <si>
    <t>Atbalsts gados veciem cilvēkiem</t>
  </si>
  <si>
    <t>SIA''Pansionāts Dzimtene'' līdz 1998.gada 1.janvārim ievietotajiem iemītniekiem paredzētie līdzekļi</t>
  </si>
  <si>
    <t xml:space="preserve">Veselības aprūpes pabalsts </t>
  </si>
  <si>
    <t>JPD Saistošie noteikumi nr. 7. 26.02.2009.(līdz 60 Ls personai gadā)</t>
  </si>
  <si>
    <t>Atbalsts ģimenēm ar bērniem</t>
  </si>
  <si>
    <t>10.400.</t>
  </si>
  <si>
    <t>Sociālā projekta līdzfinansējums</t>
  </si>
  <si>
    <t>Pabalsts audžu  ģimenei</t>
  </si>
  <si>
    <t xml:space="preserve">Pabalsts garentētā minimālā ienākumu GMI līmeņa nodrošināšanai </t>
  </si>
  <si>
    <t>Sociālo pakalpojumu un sociālās palīdzības likuma 35. pants un MK not.nr. 550 nosaka GMI apmēru un izmaksas kārtību</t>
  </si>
  <si>
    <t>JPD Saistošie noteikumi nr. 7. un 8. 26.02.2009.(līdz 60 Ls personai gadā)</t>
  </si>
  <si>
    <t xml:space="preserve">Pabalsts jaundzimušā aprūpei </t>
  </si>
  <si>
    <t>JPD Saistošie noteikumi nr. 4. 17.01.2008.(100 Ls par katru jaundzimušo)</t>
  </si>
  <si>
    <t>Pabalsts izglītības ieguves atbalstam</t>
  </si>
  <si>
    <t>Pabalsts aizbildņiem</t>
  </si>
  <si>
    <t>JPD Saistošie noteikumi nr. 9. 26.02.2009.(38 Ls mēnesī par bērnu par aizbildņa pienākumu veikšanu aprūpējot divus un vairāk bērnus (15 aizbildņi)</t>
  </si>
  <si>
    <t>Ziemassvētku apsveikums aizbildnībā esošiem bērniem un bērniem no sociālā riska ģimenēm</t>
  </si>
  <si>
    <t>Ikgadējais Ziemassvētku pasākums bērniem</t>
  </si>
  <si>
    <t>Mājokļa atbalsts</t>
  </si>
  <si>
    <t xml:space="preserve">Dzīvokļa pabalsts apkures sezonai </t>
  </si>
  <si>
    <t>īres maksa par īrētiem dzīvokļiem bāreņiem un bez vecāku gādības palikušiem bērniem pēc ārpusģimenes aprūpes beigšanās, līdz pašvaldība nodrošina ar dzīvojamo platību</t>
  </si>
  <si>
    <t xml:space="preserve">MK noteikumi Nr. 857 (15.11.2005) nosaka sociālās garantijas bārenim un bez vecāku gādības palikušam bērnam, kurš ir ārpusģimenes aprūpē, kā arī pēc ārpusģimenes aprūpes beigšanās (63 personas Ls 45 mēnesī) </t>
  </si>
  <si>
    <t>sociālie dzīvokļi un mājas</t>
  </si>
  <si>
    <t>Likums Par sociālajiem dzīvokļiem un sociālajām dzīvojamām mājām (12.pants) nosaka, ka pašvaldība daļēji sedz īres maksas šajis dzīvokļos, Jūrmalas pašvaldība ir lēmusi, ka tiek apmaksāts 2/3 īres maksas, apkures izdevumi koplietošanas telpās</t>
  </si>
  <si>
    <t xml:space="preserve">Pašvaldības palīdzība dzīvojamā fonda remontam </t>
  </si>
  <si>
    <t xml:space="preserve">JPD saistošie noteikumi Nr.6.  25.01.2007. </t>
  </si>
  <si>
    <t xml:space="preserve">Pārējais citur neklasificēts atbalsts sociāli atstumtām personām </t>
  </si>
  <si>
    <t xml:space="preserve">Bezpiederīgo apglabāšana </t>
  </si>
  <si>
    <t xml:space="preserve">MK not. Nr.186 ''Kremācijas noteikumi'' ; JPD lēmums nr.1291. 21.12.2006.Līgums ar SIA ''Černovs &amp; Co.'' </t>
  </si>
  <si>
    <t>Sociālo pakalpojumu un sociālās palīdzības likuma 35. pants un MK not.nr.550 nosaka GMI apmēru un izmaksas kārtību</t>
  </si>
  <si>
    <t>Pabalsts garā slimo rīcības nespējīgo personu aizgādnim</t>
  </si>
  <si>
    <t>JPD Saistošie noteikumi nr.10. 26.02.2009.(Ls 50 mēnesī 11 personas)</t>
  </si>
  <si>
    <t xml:space="preserve">Pabalsts aprūpes mājās nodrošināšanai </t>
  </si>
  <si>
    <t>JPD Saistošie noteikumi nr.7. 26.02.2009.(attiecībā no aprūpes līmeņa Ls 10/20/30/40 mēnesī) 5 personas ar IV aprūpes līmeni</t>
  </si>
  <si>
    <t>Pabalsts sociālās rehabilitācijas mērķu sasniegšanai</t>
  </si>
  <si>
    <t>JPD Saistošie noteikumi nr. 7. un 8. 26.02.2009.(līdz 400 Ls personai gadā)</t>
  </si>
  <si>
    <t>Apbedīšanas pabalsts</t>
  </si>
  <si>
    <t>JPD Saistošie noteikumi nr. 7. 26.02.2009.(līdz 200 Ls par personu)</t>
  </si>
  <si>
    <t xml:space="preserve">Vienreizējie pabalsti krīzes situācijās, kā arī stihiskas nelaimes gadījumiem un ugunsgrēka gadījumiem   </t>
  </si>
  <si>
    <t xml:space="preserve">JPD Saistošie noteikumi nr. 7. un 8. 26.02.2009.(pabalsts tiek piešķirts, saskaņā ar Labklājības pārvaldes pabalstu piešķiršanas komisijas lēmumu) </t>
  </si>
  <si>
    <t>pabalsts bāreņiem un bez vecāku gādības palikušiem bērniem pēc ārpusģimenes aprūpes beigšanās (vsk mācību laikā)</t>
  </si>
  <si>
    <t xml:space="preserve">MK noteikumi Nr. 857 (15.11.2005) nosaka sociālās garantijas bārenim un bez vecāku gādības palikušam bērnam, kurš ir ārpusģimenes aprūpē, kā arī pēc ārpusģimenes aprūpes beigšanās (Ls 45 mēnesī  ir 62 personas) </t>
  </si>
  <si>
    <t xml:space="preserve">Bērnu namu audzēkņiem un aizbildnībā esošiem bērniem sasniedzot pilngadību </t>
  </si>
  <si>
    <t>MK noteikumi Nr. 857 (15.11.2005) nosaka sociālās garantijas bārenim un bez vecāku gādības palikušam bērnam, kurš ir ārpusģimenes aprūpē, kā arī pēc ārpusģimenes aprūpes beigšanās (Ls 175 un Ls 90 katram pilngadniekam - aizbildnībā esošie - 12, no ''Sprīdīša'' - 10)</t>
  </si>
  <si>
    <t>Pārējie citur neklasificētie sociālās aizsardzības pasākumi</t>
  </si>
  <si>
    <t>10.920.</t>
  </si>
  <si>
    <t>Jūrmalas pašvaldības pabalsts politiski represētām personām</t>
  </si>
  <si>
    <t>Jūrmalas pilsētas Labklājības pārvalde</t>
  </si>
  <si>
    <t>Specializēto medicīnisko pakalpjumu līdzfinansējums</t>
  </si>
  <si>
    <t>07.220.</t>
  </si>
  <si>
    <t>Bērnu ortodontija un sakodiena anomāliju izdevumu segšana</t>
  </si>
  <si>
    <t>Iepirkuma procedūras rezultātā noslēgts līgums ar SIA ''Modus Invest'' - mēnesī ~ 520 apmekl. (Ls 1.6-3 par vienu apmeklējumu) t.sk. ~26 palīglīdzekļu izgatavošana mēnesī, katrs ~ Ls 9-25</t>
  </si>
  <si>
    <t>Eksperta-ortodonta novērtējuma apmaksa</t>
  </si>
  <si>
    <t>Saistošo noteikumu izpildes nodrošinājuma kontroles funkcijas veikšanai pieaicināta eksperta-konsultanta apmaksa</t>
  </si>
  <si>
    <t>Atkarību profilakses programmu finansējums</t>
  </si>
  <si>
    <t>07.410.</t>
  </si>
  <si>
    <t>šofera darba samaksa</t>
  </si>
  <si>
    <t xml:space="preserve">šofera darba samaksa  </t>
  </si>
  <si>
    <t>šofera darba samaksas soc.nodoklis</t>
  </si>
  <si>
    <t>transporta līdz uzturēšana un remonts</t>
  </si>
  <si>
    <t>Mikroautobusa stāvvietas īre Ls 42 mēnesī, mikrautobusa remontdarbi (tehniskā apkope u.c.) Ls 300</t>
  </si>
  <si>
    <t>transporta līdz. apdrošināšanas izmaksas</t>
  </si>
  <si>
    <t>OCTA polise</t>
  </si>
  <si>
    <t>pārējie nodokļi</t>
  </si>
  <si>
    <t>Transportlīdzekļa ikgadējā nodeva</t>
  </si>
  <si>
    <t>Ielu sociālo darbinieku un konsultanta sniegto pakalpojumu apmaksa mobilajā atkarības profilakses punktā</t>
  </si>
  <si>
    <t xml:space="preserve">Iepirkums ar ID LP 2009/04 ''Par pakalpojumu sniegšanu mobilajā atkarību profilakses punktā un atkarību centrā Jūrmalas pilsētā'' - publisko iepirkumu līgums ar biedrību ''Vecāki Jūrmalai'' uz 24 mēnešiem (no 2009.gada 1.aprīļa - 2011.gada 31.martam) </t>
  </si>
  <si>
    <t>telpu īre centram</t>
  </si>
  <si>
    <t>Atkarību profilakses centra telpas Nometņu 2a apsaimniekošanas izdevumi</t>
  </si>
  <si>
    <t>Kancelejas preces Atkarību profilakses centram Nometņu 2a</t>
  </si>
  <si>
    <t>Šļirču utilizācija</t>
  </si>
  <si>
    <t>ECAD projektiem</t>
  </si>
  <si>
    <t xml:space="preserve">ECAD projektiem Ls 800 </t>
  </si>
  <si>
    <t>Pārējo veselības aprūpes pakalpojumu līdzfinansējums</t>
  </si>
  <si>
    <t>07.620.</t>
  </si>
  <si>
    <t>Protezēšanas izdevumi</t>
  </si>
  <si>
    <t>25% atlaide pensionāriem 7-12 cilv.mēnesī, atlaide Ls 30-50</t>
  </si>
  <si>
    <t>Zobu ekstrakcija, plaušu caurskate trūcīgiem un bezpajumtniekiem</t>
  </si>
  <si>
    <t>bezpajumtniekiem un trūcīgām personām</t>
  </si>
  <si>
    <t>Starptautiski projekti(dalības maksa)</t>
  </si>
  <si>
    <r>
      <t xml:space="preserve">Healthy city </t>
    </r>
    <r>
      <rPr>
        <sz val="9"/>
        <rFont val="Times New Roman"/>
        <family val="1"/>
      </rPr>
      <t xml:space="preserve">projekta dalības maksa </t>
    </r>
  </si>
  <si>
    <t>Tuberkulozes slimnieku veselības programmas atbalsts</t>
  </si>
  <si>
    <t xml:space="preserve">7-9 cilv.mēnesī - mēnešbiļetes apmaksa Ls 15 mēnesī personai un katram pusdienas Ls 1.00 apmērā darba dienās </t>
  </si>
  <si>
    <t>Diennakts aptiekas darba nodrošinājums</t>
  </si>
  <si>
    <t>2011.gadā līguma pārtraukums no oktobra</t>
  </si>
  <si>
    <t>Līdzfinansējums veselības aprūpes projektu īstenošanai</t>
  </si>
  <si>
    <t>Projekts Krūts vēža saslimstības samazināšanai un profilaktiska diagnostika Jūrmalā. JPD lēmums nr. 760 (08.09.2007.) Projekts beidzies 2011.gadā</t>
  </si>
  <si>
    <t>Projektam Glaukomas profilakse JPD lēmums nr. 839 (10.10.2008.) Projekts beidzies 2011.gadā</t>
  </si>
  <si>
    <t xml:space="preserve">Pret kariesa programma </t>
  </si>
  <si>
    <t>Veselības veicināšanas un veselības aprūpes pieejamības attīstības plāns</t>
  </si>
  <si>
    <t>Nozarē nepieciešams izstrādāt plānošanas dokumentu pašvaldības patstāvīgās funkcijas realizēšanai</t>
  </si>
  <si>
    <t>Līdzfinansējums jaunu veselības aprūpes projektu īstenošanai</t>
  </si>
  <si>
    <t>Jaunu Veselības aprūpes projektu atbalstam konkursa kārtībā -  Jautājums saskaņots ar Veselības un socilālo jautājumu komitejas vadītāju un tiks skatīts decembra Sociālo un veselības jautājumu komitejā (2011.gadā - Jūrmalas diabēta biedrība - Ls 2142;''Sarkanais krusts'' - Ls 1516.10; SAC - Ls 5408; ''Veselības un sociālās aprūpes centrs - Sloka''- Ls 934)</t>
  </si>
  <si>
    <t>Aprūpējamā vienas dienas uzturēšanās izmaksas (no pašvaldības budžeta) 2012.gadā</t>
  </si>
  <si>
    <r>
      <t xml:space="preserve">  </t>
    </r>
    <r>
      <rPr>
        <b/>
        <sz val="12"/>
        <rFont val="Times New Roman"/>
        <family val="1"/>
      </rPr>
      <t>Jūrmalas pilsētas pašvaldības SIA</t>
    </r>
    <r>
      <rPr>
        <b/>
        <sz val="14"/>
        <rFont val="Times New Roman"/>
        <family val="1"/>
      </rPr>
      <t xml:space="preserve"> "Veselības un sociālās aprūpes centrs - Sloka" </t>
    </r>
  </si>
  <si>
    <t>EKK kods</t>
  </si>
  <si>
    <t>Rādītāju nosaukumi</t>
  </si>
  <si>
    <t>tajā skaitā pa nodaļām:</t>
  </si>
  <si>
    <t>Vienas dienas uzturēšanās izmaksas 2011.g.  no pašvaldības budžeta (latos)</t>
  </si>
  <si>
    <t>Sociālās aprūpes nodaļa</t>
  </si>
  <si>
    <t>Sociālās aprūpes un sociālās rehabilitācijas nodaļa</t>
  </si>
  <si>
    <t>Veselības un sociālās aprūpes nodaļa</t>
  </si>
  <si>
    <t>Nodaļas gultasdienu skaits gadā (gultas/dienas)</t>
  </si>
  <si>
    <t>IZDEVUMI, t.sk.:</t>
  </si>
  <si>
    <t>Atlīdzība</t>
  </si>
  <si>
    <t>Darba samaksa</t>
  </si>
  <si>
    <t xml:space="preserve">Piemaksas </t>
  </si>
  <si>
    <t>Piemaksa par nakts darbu</t>
  </si>
  <si>
    <t xml:space="preserve">Piemaksa par darbu paaugstinātas  intensitātes apstākļos </t>
  </si>
  <si>
    <t>Piemaksas pārējās</t>
  </si>
  <si>
    <t>Darba devēja valsts sociālās apdrošināšanas obligātās iemaksas</t>
  </si>
  <si>
    <t>Preces un pakalpojumi</t>
  </si>
  <si>
    <t>Pakalpojumi</t>
  </si>
  <si>
    <t>Telefona abonēšanas maksa, vietējo un tālsarunu apmaksa, interneta pakalpojumu sniedzēju apmaksa</t>
  </si>
  <si>
    <t>Mobilā telefona abonēšanas maksas un sarunu apmaksa</t>
  </si>
  <si>
    <t>Izdevumi par ūdeni un kanalizāciju</t>
  </si>
  <si>
    <t>Maksa par elektroenerģiju</t>
  </si>
  <si>
    <t>Izdevumi par atkritumu izvešanu</t>
  </si>
  <si>
    <t>Uz līguma pamata pieaicināto ekspertu izdevumi</t>
  </si>
  <si>
    <t>Semināru, kursu un konferenču apmaksa</t>
  </si>
  <si>
    <t>Ēku, būvju un telpu remonts</t>
  </si>
  <si>
    <t>Transportlīdzekļu uzturēšana un remonts</t>
  </si>
  <si>
    <t>Ēku, būvju un telpu uzturēšana</t>
  </si>
  <si>
    <t>Pārējie remontdarbu un iestāžu uzturēšanas pakalpojumi</t>
  </si>
  <si>
    <t>Krājumi, materiāli, energoresursi, preces, biroja preces un inventārs</t>
  </si>
  <si>
    <t>Kurināmais</t>
  </si>
  <si>
    <t>Degviela</t>
  </si>
  <si>
    <t>Zāles, ķimikālijas, laboratorijas preces</t>
  </si>
  <si>
    <t>Remontmateriāli</t>
  </si>
  <si>
    <t>Saimniecības materiāli</t>
  </si>
  <si>
    <t xml:space="preserve">Datortehnikas remonts un uzturēšana </t>
  </si>
  <si>
    <t>Ēdināšanas izdevumi</t>
  </si>
  <si>
    <t>Veselības pasākumu apmaksa</t>
  </si>
  <si>
    <t>Personīgās higiēnas preces</t>
  </si>
  <si>
    <t>Budžeta iestāžu nodokļu maksājumi</t>
  </si>
  <si>
    <t>Budžeta iestāžu dabas resursu nodoklis</t>
  </si>
  <si>
    <r>
      <t xml:space="preserve">Pārējie nodokļi un nodevas - </t>
    </r>
    <r>
      <rPr>
        <sz val="8"/>
        <rFont val="Times New Roman"/>
        <family val="1"/>
      </rPr>
      <t>UDRVN</t>
    </r>
  </si>
  <si>
    <r>
      <t xml:space="preserve">Paula Stradiņa Klīniskās Universitātes slimnīcas Zobārstniecības un sejas ķirurģijas centra kariesa profilakses programma Jūrmalas bērniem </t>
    </r>
    <r>
      <rPr>
        <b/>
        <sz val="10"/>
        <rFont val="Times New Roman"/>
        <family val="1"/>
      </rPr>
      <t>(uzskatāms kā līdzfinansējums veselības aprūpes projektu īstenošanai)</t>
    </r>
  </si>
  <si>
    <t>Mobilā atkarību profilakses punkta darba nodrošinājums</t>
  </si>
  <si>
    <t>MK noteikumi Nr.1036 (19.12.2006.)'' Audžuģimeņu noteikumi'' . Jūrmalā - Štrauhmanes ģimene - 5 bērni, Dūšu ģimene 1 bērns, Augstkalnu ģimene 3 bērni, Pilmanes ģimene 1 bērns, Prijana ģimene 1 bērns. Kopā 11 bērni Ls 120 mēnesī; kā arī atlīdzība vecākiem dzīvojošiem Jūrmalā Ls 80 no otrā bērna, par katru nākošo JPD saistošie noteikumi nr.11 (2009.26.02.)(120x11x12=15840; 320(5 bērni)x12=3840; 160(3 bērni)x12=1920)</t>
  </si>
  <si>
    <r>
      <t>Sociālo pakalpojumu un sociālās palīdzības likuma 35. pants nosaka dzīvokļa pabalstu izmaksas, JPD Saistošie noteikumi nr. 7. un 8. 26.02.2009. (</t>
    </r>
    <r>
      <rPr>
        <b/>
        <sz val="10"/>
        <rFont val="Times New Roman"/>
        <family val="1"/>
      </rPr>
      <t>pārskaitījumi pakalpojumu sniedzējorganizācijām)</t>
    </r>
  </si>
  <si>
    <r>
      <t xml:space="preserve">Sociālo pakalpojumu un sociālās palīdzības likuma 35. pants nosaka dzīvokļa pabalstu izmaksas, JPD Saistošie noteikumi nr. 7. un 8. 26.02.2009. </t>
    </r>
    <r>
      <rPr>
        <b/>
        <sz val="10"/>
        <rFont val="Times New Roman"/>
        <family val="1"/>
      </rPr>
      <t>(pabalsts naudā)</t>
    </r>
  </si>
  <si>
    <t>Pabalsts tiek piešķirts ģimenēm ar invalīd(u/iem), vientuļiem pensionāriem, ģimenēm ar bērniem, ģimenēm ar jauniešiem, kuri turpina mācības (ar ienākumiem līdz Ls 150 mēnesī personai)</t>
  </si>
  <si>
    <t>4 cilvēki x Ls250 mēnesī=1000x12=12000 (dotācija no valsts)</t>
  </si>
  <si>
    <t>Pamatlīdzekļi</t>
  </si>
  <si>
    <t>Pārējo darbinieku darba mēnešalga (darba alga)</t>
  </si>
  <si>
    <t>Darba devēja izdevumi veselības, dzīvības un nelaimes gadījumu apdrpšināšanai</t>
  </si>
  <si>
    <t>Jūrmalas Mūzikas vidusskola</t>
  </si>
  <si>
    <t xml:space="preserve">04.510. </t>
  </si>
  <si>
    <t>Jūrmalas pilsētas tranzītielas P128 (Talsu šoseja/Kolkas iela) izbūves tehniski ekonomiskās analīzes sagatavošana</t>
  </si>
  <si>
    <t>Ģeodēziskā tīkla uzturēšana (apsekošana un atjaunošana)</t>
  </si>
  <si>
    <t>10.910</t>
  </si>
  <si>
    <t>Jūrmalas pilsētas tranzītielas P128 (Talsu šoseja/Kolkas iela) izbūve</t>
  </si>
  <si>
    <t>Projekta izstrāde Venspils šosejas un satiksmes ielas krustojuma rekonstrukcijai</t>
  </si>
  <si>
    <t>P.i.i "Lācītis"renovācija</t>
  </si>
  <si>
    <t>08.220</t>
  </si>
  <si>
    <t>Jūrmalas Motormuzeja projektēšana</t>
  </si>
  <si>
    <t>17</t>
  </si>
  <si>
    <t>Jūrmalas pilsētas teritorijā esošo ielu un ceļu sarakstu un shēmu izstrāde</t>
  </si>
  <si>
    <t>Algotos pagaidu pilsētas apsaimniekošanas sabiedriskos darbos nodarbināto personu darba vadītāju atalgojums</t>
  </si>
  <si>
    <t>Algotos pagaidu pilsētas apsaimniekošanas sabiedriskos darbos nodarbināto personu darba vadītāju transporta izdevumi</t>
  </si>
  <si>
    <t>Algotos pagaidu pilsētas apsaimniekošanas sabiedriskos darbos nodarbināto personu darba vadītāju telefonu saraunu apmaksa</t>
  </si>
  <si>
    <t>Algotos pagaidu pilsētas apsaimniekošanas sabiedriskos darbos nodarbināto personu  transporta izdevumi</t>
  </si>
  <si>
    <t>Inventāra iegāde algotos pagaidu pilsētas apsaimniekošanas sabiedriskos darbos nodarbināto personu  darba nodrošināšanai</t>
  </si>
  <si>
    <t>04.120</t>
  </si>
  <si>
    <t>Pašvaldības budžets 2012.g.              kopā (latos)</t>
  </si>
  <si>
    <t>Izglītības programmu akreditācija Jūrmalas sporta skolā</t>
  </si>
  <si>
    <t>6.11</t>
  </si>
  <si>
    <t>Mūžizglītības apmācība pašvaldības darbiniekiem</t>
  </si>
  <si>
    <t>Sociālā palīdzība</t>
  </si>
  <si>
    <t>Piedzīvojumu sacensības Xrace 2012</t>
  </si>
  <si>
    <t>Biedrības "Džudo klubs LIDO" Jūrmalas filiāles attīstībai 2012.gadā</t>
  </si>
  <si>
    <t>JŪRMALAS   KULTŪRAS CENTRS</t>
  </si>
  <si>
    <t>2012.gada budžeta projekta atšifrējums pa budžeta veidiem</t>
  </si>
  <si>
    <t>Pilsētas kultūras un atpūtas pasākumi</t>
  </si>
  <si>
    <t>VFKK  08.620</t>
  </si>
  <si>
    <t>2011.gada gaidāmā izpilde</t>
  </si>
  <si>
    <t>pamatbudžets</t>
  </si>
  <si>
    <t>maksas pakalpojumi</t>
  </si>
  <si>
    <t>KOPĀ:</t>
  </si>
  <si>
    <t>Valsts svētki, svinamās un atceres dienas</t>
  </si>
  <si>
    <t xml:space="preserve">1991. gada janvāra barikāžu atceres diena (20.janvāris)  </t>
  </si>
  <si>
    <t>Komunistiskā genocīda upuru piemiņas dienas (25.marts un 14. jūnijs)</t>
  </si>
  <si>
    <t>Piemiņas pasākums pie P.Zolta pieminekļa "Augsim Latvijai" (18.maijs)</t>
  </si>
  <si>
    <t>Lāčplēša diena (11.novembris)</t>
  </si>
  <si>
    <t>LR proklamēšanas diena                             (ar akciju ''Gaismas ceļš'') (18. novembris)</t>
  </si>
  <si>
    <t>18.novembra svinību rīkošana Ķemeros</t>
  </si>
  <si>
    <t>Gadskārtu svētki</t>
  </si>
  <si>
    <t>Lieldienas  (8 aprīlis)</t>
  </si>
  <si>
    <t xml:space="preserve">Vasaras saulgrieži - Jāņu ielīgošana (22.jūnijs)  </t>
  </si>
  <si>
    <t>Pasākumi Mellužu estrādē             (Lieldienu pasākums - 24.aprīlī;             Līgo vakars - 23.jūnijā)</t>
  </si>
  <si>
    <t>Lieldienu pasākums Mellužu estrādē (8.aprīlis)</t>
  </si>
  <si>
    <t>Līgo vakars Mellužu estrādē         (23.jūnijs)</t>
  </si>
  <si>
    <t>Pilsētas Ziemassvētku egles atklāšana (Gaismas svētki)                       (8.decembris)</t>
  </si>
  <si>
    <t xml:space="preserve">Ziemassvētku sarīkojumi </t>
  </si>
  <si>
    <t>Lielākie  Jūrmalas pilsētas pasākumi</t>
  </si>
  <si>
    <t>Jūrmalas kūrortsezonas atklāšanas pasākums (19. maijs)</t>
  </si>
  <si>
    <t>Jomas ielas svētki - Jomas ielai 25    (7.jūlijs)</t>
  </si>
  <si>
    <t xml:space="preserve">Kūrortsezonas noslēguma pasākums (1.septembris) </t>
  </si>
  <si>
    <t>Dažādi  pasākumi</t>
  </si>
  <si>
    <t>Pasākumi Mellužu estrādē             (Zvejnieksvētki - 9.jūlijā                         Mellužu estrādes sezonas noslēgums  - 28.augustā)</t>
  </si>
  <si>
    <t>Jūras svētki Mellužu estrādē           (14.jūlijs)</t>
  </si>
  <si>
    <t>Mellužu estrādes sezonas noslēgums - 02. septembris)</t>
  </si>
  <si>
    <t>Starptautiskās kultūras dienas -  (2011.gads - Zviedrijas dienas)</t>
  </si>
  <si>
    <t>7.Starptautiskais Mākslas forums    ''Māksla vieno tautas'' (1. - 7. augusts)</t>
  </si>
  <si>
    <t>Mākslas izstādes (Mākslinieku namā, Jūrmalas Kultūras centrā, Kauguru kultūras namā)</t>
  </si>
  <si>
    <t>Radošās darbnīcas</t>
  </si>
  <si>
    <t>Klubs jauniešiem ''Eksperiments'' KKN</t>
  </si>
  <si>
    <t>Koncerti, izrādes, lekcijas, kinoseansi</t>
  </si>
  <si>
    <t>Dzejas dienas                                             (11. septembris)</t>
  </si>
  <si>
    <t>Gada noslēguma pasākums                   ''Gada cilvēks''                            (29.decembris)</t>
  </si>
  <si>
    <t>Mākslas dienas                                    (Svētki Mākslinieku muižā)                                                        (aprīlis)</t>
  </si>
  <si>
    <t>Pilsētas radošo kolektīvu piedalīšanās republikas mēroga pasākumos</t>
  </si>
  <si>
    <t>Pašdarbības kolektīvu un kultūras darbinieku pilsētas mēroga konkursi, skates un izstādes</t>
  </si>
  <si>
    <t xml:space="preserve">Izstāžu atklāšanas </t>
  </si>
  <si>
    <t>Jūrmalas Teātra iestudējumi</t>
  </si>
  <si>
    <t xml:space="preserve">Naktsstaigulis </t>
  </si>
  <si>
    <t>Kā sarkangalvīte ar vilku spēlējas</t>
  </si>
  <si>
    <t>Ziemas pasaka</t>
  </si>
  <si>
    <t>Paradīzē</t>
  </si>
  <si>
    <t>Ruksīšu piedzīvojumi</t>
  </si>
  <si>
    <t>Jūrmalas bērnu - jauniešu teātris</t>
  </si>
  <si>
    <t>Ziemassvētku izrāde</t>
  </si>
  <si>
    <t>Līdzfinansētie pasākumi</t>
  </si>
  <si>
    <t xml:space="preserve">Koncertu cikls Dubultu un Slokas ev.lut. Baznīcās </t>
  </si>
  <si>
    <t xml:space="preserve">Jauno Belvederas operas un operetes solistu atlases kārta Jūrmalā </t>
  </si>
  <si>
    <t>Dziedam Jūrmalā  - koru festivāls  (9.jūnijs)</t>
  </si>
  <si>
    <t>Fotostudijas ''Aspazija'' organizēto izstāžu līdzfinansējums</t>
  </si>
  <si>
    <t>Pasākumi Mellužu estrādē                              ''Bernu vasara Mellužu estrādē''</t>
  </si>
  <si>
    <t xml:space="preserve">10.Starpt. Horeogrāfijas festivāls "Arabeska" </t>
  </si>
  <si>
    <t xml:space="preserve">Austrumdeju festivāls </t>
  </si>
  <si>
    <t xml:space="preserve">Starptautiskais jauno izpildītāju konkurss  ''Jaunais vilnis'' </t>
  </si>
  <si>
    <t xml:space="preserve">Festivāls ''Baleta zvaigznes Jūrmalā''  </t>
  </si>
  <si>
    <t>Seno spēkratu parāde "Retro Jūrmala 2010"</t>
  </si>
  <si>
    <t>Festivāls ''Summertime - aicina I.Galante''</t>
  </si>
  <si>
    <t>Garīgās mūzikas festivāls ''Vox Angelica''</t>
  </si>
  <si>
    <t>Latvijas Nacionālo partizānu apvienības un Latvijas Nacionālo karavīru biedrības 21.saiets</t>
  </si>
  <si>
    <t>Publiskais pasākums   ''2nd baltic Bike Days''</t>
  </si>
  <si>
    <t>Draudzes brauciens uz Pjuhticas klosteri</t>
  </si>
  <si>
    <t>'LR Zemessardzes 20.gadadiena''</t>
  </si>
  <si>
    <t>Citas kultūras pasākumu izmaksas</t>
  </si>
  <si>
    <t>Tipogrāfijas pakalpojumi (biļetes, afišas)</t>
  </si>
  <si>
    <t>AKKA/LAA un LaIPA</t>
  </si>
  <si>
    <t>Publisko pasākumu apdrošināšana</t>
  </si>
  <si>
    <t>El.Enerģijas apmaksa kultūras pasākumos dabā</t>
  </si>
  <si>
    <t>Jūrmalas mākslinieku piedalīšanās izstādēs ārvalstīs''</t>
  </si>
  <si>
    <t>Dalības maksas starptautiskajos konkursos</t>
  </si>
  <si>
    <t>Reklāmas izdevumi kultūras pasākumiem</t>
  </si>
  <si>
    <t>Tirdzniecības mājiņu iegāde</t>
  </si>
  <si>
    <t>Latvijas jaunatnes vasaras olimpiādes atklāšanas un noslēguma ceremonijas</t>
  </si>
  <si>
    <t>Jauni un atjaunojami projekti</t>
  </si>
  <si>
    <t>Gada cilvēks kultūrā</t>
  </si>
  <si>
    <t>Neformālo pianistu festivāls "Mažors 2012"</t>
  </si>
  <si>
    <t>LR Neatkarības deklerācijas pieņemšanas gadadiena - 04.maijs (KKN)</t>
  </si>
  <si>
    <t xml:space="preserve">Vidējās paaudzes deju kolektīva "Vēlreiz" 10 gadu jubilejas pasākums </t>
  </si>
  <si>
    <t xml:space="preserve">Starptautisks mākslas projekts </t>
  </si>
  <si>
    <t>Jūrmalas Himnas ieraksts</t>
  </si>
  <si>
    <t>Jūrmalas prezentācijas klipu izveidošana</t>
  </si>
  <si>
    <t>Kultūras projektu konkurss</t>
  </si>
  <si>
    <t>Ziemassvētku egles (iegāde, uzstādīšana, demontāža)</t>
  </si>
  <si>
    <t>Jūrmalas pilsētas muzejs</t>
  </si>
  <si>
    <r>
      <t>2012.gada budžeta projekta atšifrējums _______</t>
    </r>
    <r>
      <rPr>
        <sz val="12"/>
        <rFont val="Times New Roman"/>
        <family val="1"/>
      </rPr>
      <t>kultūras pasākumiem</t>
    </r>
  </si>
  <si>
    <t>mērķis</t>
  </si>
  <si>
    <r>
      <t xml:space="preserve">Struktūrvienības nosaukums: </t>
    </r>
    <r>
      <rPr>
        <b/>
        <sz val="10"/>
        <rFont val="Times New Roman"/>
        <family val="1"/>
      </rPr>
      <t>ASPAZIJAS MĀJA</t>
    </r>
  </si>
  <si>
    <t>Funkcionālā klasifikācija 08.620.</t>
  </si>
  <si>
    <t>Muzeju nakts - 20.05.</t>
  </si>
  <si>
    <t>1.1.</t>
  </si>
  <si>
    <t>Autoratlīdzība māksliniekiem</t>
  </si>
  <si>
    <t>1.2.</t>
  </si>
  <si>
    <t>Inventāra un aparatūras noma</t>
  </si>
  <si>
    <t>1.3.</t>
  </si>
  <si>
    <t>Rekvizītu un tērpu noma</t>
  </si>
  <si>
    <t>1.4.</t>
  </si>
  <si>
    <t>Fotopakalpojumi</t>
  </si>
  <si>
    <t>1.5.</t>
  </si>
  <si>
    <t>Ziedi, cienasts</t>
  </si>
  <si>
    <t>Georgija Mironova izstādes "Ikonas" atklāšana- 04.01.</t>
  </si>
  <si>
    <t>2.1.</t>
  </si>
  <si>
    <t>2.2.</t>
  </si>
  <si>
    <t>Ziedi, kafija</t>
  </si>
  <si>
    <t>Cikls "Izcilas sievietes viesojas Aspazijas mājā" - tikšanās ar Māru Zālīti- 02.02.</t>
  </si>
  <si>
    <t>3.1.</t>
  </si>
  <si>
    <t>Fotopakalpojumi, atlīdzība AA</t>
  </si>
  <si>
    <t>3.2.</t>
  </si>
  <si>
    <t>Ziedi, kafijas pauze, fotopreces, videokasetes, afišas izstādes vajadzībām</t>
  </si>
  <si>
    <t>Pasākums "Uz jūriņu! Lielupes autotiltam-50, dzelzceļam Rīga-Tukums-135" - 09.02.</t>
  </si>
  <si>
    <t>4.1.</t>
  </si>
  <si>
    <r>
      <t xml:space="preserve">Izstāde </t>
    </r>
    <r>
      <rPr>
        <b/>
        <i/>
        <sz val="10"/>
        <rFont val="Times New Roman"/>
        <family val="1"/>
      </rPr>
      <t>LIITERA CORDIS</t>
    </r>
    <r>
      <rPr>
        <b/>
        <sz val="10"/>
        <rFont val="Times New Roman"/>
        <family val="1"/>
      </rPr>
      <t>, veltīta Aspazijas jubilejai (11.03.) un Aspazijas un Raiņa vēstuļu lasījumi (16.03.)</t>
    </r>
  </si>
  <si>
    <t>5.1.</t>
  </si>
  <si>
    <t>5.2.</t>
  </si>
  <si>
    <t>Fotopakalpojumi, atlīdzība par autortiesībām</t>
  </si>
  <si>
    <t>5.3.</t>
  </si>
  <si>
    <t>Fotoizstādes "Jūrmala- Raiņa un Aspazijas pilsēta" atklāšana - 06.05.</t>
  </si>
  <si>
    <t>6.1.</t>
  </si>
  <si>
    <t>Pasākums "Mūzas" - brāļi Birkerti, Rainis un Aspazija - 16.06.</t>
  </si>
  <si>
    <t>7.1.</t>
  </si>
  <si>
    <t>7.2.</t>
  </si>
  <si>
    <t>7.3.</t>
  </si>
  <si>
    <t>Ziedi</t>
  </si>
  <si>
    <t>Jāņu ielīgošana - 17.06.</t>
  </si>
  <si>
    <t>8.1.</t>
  </si>
  <si>
    <t>Autoratlīdzība māksliniekam</t>
  </si>
  <si>
    <t>8.2.</t>
  </si>
  <si>
    <t>8.3.</t>
  </si>
  <si>
    <t>Ziedi, pīrādziņi, siers</t>
  </si>
  <si>
    <t>Aleksandra Saikova (Sanktpēterburga) gleznu izstādes atklāšana - 30.06.</t>
  </si>
  <si>
    <t>9.1.</t>
  </si>
  <si>
    <t>Ārzemju viesu apkalpošana (viesnīcas izdevumi plus ēdināšana - 2 cilvēki, 2 naktis)</t>
  </si>
  <si>
    <t>Ziedi, pārtika, reklāma</t>
  </si>
  <si>
    <t>Pasākums "Bādēsimies kopā!" - 08.07.</t>
  </si>
  <si>
    <t>10.1.</t>
  </si>
  <si>
    <t>10.2.</t>
  </si>
  <si>
    <t>Annas dienas tirdziņš - 26.07.</t>
  </si>
  <si>
    <t>11.2.</t>
  </si>
  <si>
    <t>Pasākums "Ziedu balle" - 20.07.</t>
  </si>
  <si>
    <t>12.1.</t>
  </si>
  <si>
    <t>12.2.</t>
  </si>
  <si>
    <t xml:space="preserve">Fotokonkursa "Puķēm spīd jau actiņas" noslēgums un izstāde - 24.08. </t>
  </si>
  <si>
    <t>13.1.</t>
  </si>
  <si>
    <t>Reklāma, ziedi, kafijas pauze</t>
  </si>
  <si>
    <t>Dzejas dienas - 16.09.</t>
  </si>
  <si>
    <t>14.1.</t>
  </si>
  <si>
    <t>Agneses Gedules un Brigitas Zelčas stikla izstādes atklāšana - 27.09.</t>
  </si>
  <si>
    <t>15.1.</t>
  </si>
  <si>
    <t>Elzas diena - 03.10.</t>
  </si>
  <si>
    <t>16.1.</t>
  </si>
  <si>
    <t>Fotopakalpojumi, kopēšanas darbi</t>
  </si>
  <si>
    <t>16.2.</t>
  </si>
  <si>
    <t>Afišas, ielūgumi, fotopreces, ziedi, cienasts</t>
  </si>
  <si>
    <t>Pasākums - rakstniekam Andrejam Skailim 85 - 26.10.</t>
  </si>
  <si>
    <t>17.1.</t>
  </si>
  <si>
    <t>Izstāde "Ziemassvētku pastkartes" - 25.11.</t>
  </si>
  <si>
    <t>18.1.</t>
  </si>
  <si>
    <t>Koncerts</t>
  </si>
  <si>
    <t>Kopā:</t>
  </si>
  <si>
    <t>2012.gada budžeta projekta atšifrējums __________kultūras pasākumiem</t>
  </si>
  <si>
    <r>
      <t>Struktūrvienības nosaukums:</t>
    </r>
    <r>
      <rPr>
        <b/>
        <sz val="10"/>
        <rFont val="Times New Roman"/>
        <family val="1"/>
      </rPr>
      <t xml:space="preserve"> JŪRMALAS BRĪVDABAS MUZEJS</t>
    </r>
  </si>
  <si>
    <t>Lieldienu pasākums</t>
  </si>
  <si>
    <t>Autorhonorārs aktieriem</t>
  </si>
  <si>
    <t>Aparatūras noma</t>
  </si>
  <si>
    <t>Pārtikas produkti, balvas</t>
  </si>
  <si>
    <t>Muzeju nakts</t>
  </si>
  <si>
    <t>Autorhonorārs mūziķiem</t>
  </si>
  <si>
    <t xml:space="preserve">Autoratlīdzība amatniekiem </t>
  </si>
  <si>
    <t>2.3.</t>
  </si>
  <si>
    <t>2.4.</t>
  </si>
  <si>
    <t>Pārtikas produkti, reklāma</t>
  </si>
  <si>
    <t>Zvejnieku svētki - jūlijs</t>
  </si>
  <si>
    <t>3.3.</t>
  </si>
  <si>
    <t xml:space="preserve">Z/k "Uzvara" 65.jubilejai veltītās izstādes noformēšana </t>
  </si>
  <si>
    <t>3.4.</t>
  </si>
  <si>
    <t xml:space="preserve">Materiāli Z/k "Uzvara" 65.jubilejai veltītās izstādes noformēšana </t>
  </si>
  <si>
    <t>3.5.</t>
  </si>
  <si>
    <t xml:space="preserve">Amatu diena - augusts </t>
  </si>
  <si>
    <t>4.2.</t>
  </si>
  <si>
    <t>4.3.</t>
  </si>
  <si>
    <t>Reklāma, balvas</t>
  </si>
  <si>
    <t xml:space="preserve">Vīna svētki zvejnieka sētā - </t>
  </si>
  <si>
    <t>Autoratlīdzība  māksliniekiem</t>
  </si>
  <si>
    <t>Vīna balona iegāde, balvas</t>
  </si>
  <si>
    <t>5.4.</t>
  </si>
  <si>
    <t>Autortiesības</t>
  </si>
  <si>
    <t>2012.gada budžeta projekta atšifrējums _____________kultūras pasākumiem</t>
  </si>
  <si>
    <r>
      <t>Struktūrvienības nosaukums ___</t>
    </r>
    <r>
      <rPr>
        <b/>
        <sz val="10"/>
        <rFont val="Times New Roman"/>
        <family val="1"/>
      </rPr>
      <t>JŪRMALAS PILSĒTAS MUZEJS</t>
    </r>
  </si>
  <si>
    <t>Autorhonorārs radošo darbnīcu vadītājiem</t>
  </si>
  <si>
    <t>Transporta noma dalībnieku pārvadāšanai</t>
  </si>
  <si>
    <t>Reklāma,kopēšana</t>
  </si>
  <si>
    <t>Dažādi materiāli radošajām darbnīcām</t>
  </si>
  <si>
    <t>Jūras ainavu izstāde "Marīna"</t>
  </si>
  <si>
    <t>Autorhonorārs māksliniekiem</t>
  </si>
  <si>
    <t>Dalībnieku viesnīcu izdevumi</t>
  </si>
  <si>
    <t>Ielūgumi, plakāti, cienasts</t>
  </si>
  <si>
    <t>2.5.</t>
  </si>
  <si>
    <t>Uzlīmes banerim</t>
  </si>
  <si>
    <t xml:space="preserve">Pasākums - izstādes"Kuģi dzelmē" slēgšana - 07.01.  </t>
  </si>
  <si>
    <t>Cienasts (Ls 2x75 cilvēki)</t>
  </si>
  <si>
    <t>Ziedi, suvenīri</t>
  </si>
  <si>
    <t>Pasākums - Ingas Sarmas grāmatas "Bērnība Jūrmalā. Padomju laiki" atvēršana - februāris</t>
  </si>
  <si>
    <t>Cienasts (Ls 2x30 cilvēki)</t>
  </si>
  <si>
    <t>Muzeja jubilejas izstādes "Muzeja pirmsākumi-Mārtiņa Pormaņa kolekcija" iekārtošana un atklāšana</t>
  </si>
  <si>
    <t>Autorhonorārs māksliniekam atklāšanas pasākumā</t>
  </si>
  <si>
    <t>Autorhonorārs izstādes māksliniekam</t>
  </si>
  <si>
    <t>Vēsturisko rāmju restaurācija (13 gab.)</t>
  </si>
  <si>
    <t xml:space="preserve">Jaunu rāmju un pasportū izgatavošana un ierāmēšana (56 gleznas)  </t>
  </si>
  <si>
    <t>Dažādu materiālu iegāde noformēšanai</t>
  </si>
  <si>
    <t>5.5.</t>
  </si>
  <si>
    <t>Dažādu remontmateriālu iegāde noformēšanai</t>
  </si>
  <si>
    <t>Izstādes kataloga " Mārtiņa Pormaņa mākslas kolekcija Jūrmalas pilsētas muzejā. Izlase. Katalogs." izdošana- 160 lpp.,240x170mm</t>
  </si>
  <si>
    <t>Kataloga izdošana</t>
  </si>
  <si>
    <t>Jūrmalas pilsētas muzeja rakstu krājums</t>
  </si>
  <si>
    <t>Rakstu krājuma izdošana</t>
  </si>
  <si>
    <t xml:space="preserve">Jaunu reklāmas baneru iegāde un noformēšana muzeja jubilejas izstādēm un ekspozīcijai, ielūgumi un plakāti </t>
  </si>
  <si>
    <t>Jauns baneris ekspozīcijai pie muzeja fasādes</t>
  </si>
  <si>
    <t>Banera noformēšana četrām jubilejas izstādēm pie muzeja fasādes</t>
  </si>
  <si>
    <t>Banera noformēšana Kultūras centra reklāmas banerim uz Rīgas ielas</t>
  </si>
  <si>
    <t>8.4.</t>
  </si>
  <si>
    <t>Ielūgumi, afišas</t>
  </si>
  <si>
    <t>Mākslinieku apvienības "Blaumeier Atelier" (Vācija) izstāde</t>
  </si>
  <si>
    <t>Ārvalstu mākslinieku saimnieciskā apkalpošana (viesnīcas izdevumi, ēdināšana)</t>
  </si>
  <si>
    <t>9.2.</t>
  </si>
  <si>
    <t>Reklāmas banera noformēšana</t>
  </si>
  <si>
    <t>9.3.</t>
  </si>
  <si>
    <t>Starptautiska konference "Kultūrvēsturiskais mantojums kūrortā. Tradīcijas un mūsdienu aktualitātes"- oktobris (2 dienas)</t>
  </si>
  <si>
    <t>Kafijas pauzes (4 gab.)</t>
  </si>
  <si>
    <t>Pusdienas vieslektoriem (Ls 5.00x15 lektori)</t>
  </si>
  <si>
    <t>10.3.</t>
  </si>
  <si>
    <t>Atklāšanas un noslēguma pasākums - saimnieciskā apkalpošana (Ls 5x 65 cilvēki)</t>
  </si>
  <si>
    <t>10.5.</t>
  </si>
  <si>
    <t>Sinhronā tulkošana</t>
  </si>
  <si>
    <t>Kancelejas preces</t>
  </si>
  <si>
    <t>Izstāžu iekārtošanas, noformēšanas, atklāšanas un reklāmas pasākumi (26 izstādes)</t>
  </si>
  <si>
    <t>11.1.</t>
  </si>
  <si>
    <t>Fotopakalpojumi, kopēšana</t>
  </si>
  <si>
    <t>Uzlīmes baneriem</t>
  </si>
  <si>
    <t>līdzfinansējums (balvas)</t>
  </si>
  <si>
    <t>Metāla rāmju izgaravošana noformē'juma izvietošanai pilsētā (60metāla rāmji, stiprināmi pie apgaismes staba)</t>
  </si>
  <si>
    <t>Lieldienu noformējuma izgatavošana, montāza/demontāža, noformējuma druka</t>
  </si>
  <si>
    <t>1. un 18.novembra jauna dizaina objekta izgatavošana, montāža?demontāža, izgaismošana un noformē'juma druka</t>
  </si>
  <si>
    <t>Pilsētas Ziemassvētku dekoratīvā svētku apgaismojuma uzturēšana un atjaunošana</t>
  </si>
  <si>
    <t>Vides stāvokļa monitoronga veikšanai slēgtajā izgāztuvē "Priedaine"</t>
  </si>
  <si>
    <t>Jūrmalas pilsētas ģērboņu restaurācija Brāķu kapu memoriālajā sienā</t>
  </si>
  <si>
    <t>Pilsētas divu sabiedrisko (sauso) tualešu tīrīšana</t>
  </si>
  <si>
    <t>Jūrmalas ceļveža izstrāde mobilajā telefonā</t>
  </si>
  <si>
    <t>Notekūdeņu apsaimniekošana</t>
  </si>
  <si>
    <t>Vides piesārņojuma novēršana un samazināšana</t>
  </si>
  <si>
    <t>Teritoriju un mājokļu kapitālā celtniecība, kapitālais un kārtējais remonts</t>
  </si>
  <si>
    <t>Muzeju un izstāžu kompleksu kapitālā un celtniecība, kapitālie un kārtējie remonti</t>
  </si>
  <si>
    <t>Bibliotēku kapitālie un kārtējie remonti</t>
  </si>
  <si>
    <t>Kultūras centru un kultūras namu kapitālā celtniecība, kapitālie un kārtējie remonti</t>
  </si>
  <si>
    <t>Teātru, koncertzāļu, estrāžu kapitālā celtniecība, kapitālie un kārtējie remonti</t>
  </si>
  <si>
    <t>Pirmsskolas  izglītības iestāžu kapitālā celtniecība, kapitālie un kārtējie remonti</t>
  </si>
  <si>
    <t>Vispārējās  izglītības iestāžu kapitālā celtniecība, kapitālie un kārtējie remonti</t>
  </si>
  <si>
    <t>Interešu un profesionālās ievirzes izglītības iestāžu kapitālā celtniecība, kapitālie un kārtējie remonti</t>
  </si>
  <si>
    <t>Vides aizsardzības pasākumi bioloģiskās daudzveidības un ainavas aizsardzības jomā</t>
  </si>
  <si>
    <t>Vides aizsardzības veicināšanas pasākumu vadība, regulēšana, uzraudzība</t>
  </si>
  <si>
    <t>Pilsētas teritorijas attīstības pasākumi</t>
  </si>
  <si>
    <t>Starpskolu pasākumi, konkursi, sacensības interešu un profesionālās ievirzes izglītības jomā</t>
  </si>
  <si>
    <t>Centralizētie pasākumi vispārējās izglītības jomā</t>
  </si>
  <si>
    <t>Iestādes uzturēšana</t>
  </si>
  <si>
    <t>Darba praktizēšanas pasākumu nodrošināšana pašvaldībās darba iemaņu iegūšanai un uzturēšanai</t>
  </si>
  <si>
    <t>Teritoriju un mājokļu labiekārtošanas  pasākumi</t>
  </si>
  <si>
    <t>Atpūtu un sportu veicinoši labiekārtošanas pasākumi</t>
  </si>
  <si>
    <t>Pilsētas attīstības pasākumi kultūrvēsturiskā mantojuma saglabāšanā</t>
  </si>
  <si>
    <t>Pārējie sporta, atpūtas, kultūras un reliģijas pasākumi</t>
  </si>
  <si>
    <t>Jūrmalas atklātās sacensības vieglatlētikā</t>
  </si>
  <si>
    <t>Jūrmalas atklātais čempionāts māksas vingrošanā</t>
  </si>
  <si>
    <t>Pārbaudes sacensības normatīvu izpildē vieglatlētikā Latvijas Olimpiādei 2012.gadā</t>
  </si>
  <si>
    <t>Jūrmalas atklātais turnīrs basketbolā meitenēm</t>
  </si>
  <si>
    <t>Jūrmalas atklātās meistarsacīkstes mākslas vingrošanā</t>
  </si>
  <si>
    <t>Jūrmalas atklātās sacensības vieglatlētikas mešanas un lekšanas disciplīnās</t>
  </si>
  <si>
    <t>Jūrmalas meistarsacīkstes vieglatlētikas krosā "Jūrmalas rudens 2012"</t>
  </si>
  <si>
    <t>Jūrmalas vieglatlētikas sacensības lekšanas disciplīnās telpās</t>
  </si>
  <si>
    <t>Jūrmalas atklātās sacensības mākslas vingrošanā "Ziemassvētku Kauss"</t>
  </si>
  <si>
    <t>Jūrmalas atklātais turnīrs hokejā</t>
  </si>
  <si>
    <t>Atklāšanas un tematiski pasākumi</t>
  </si>
  <si>
    <t>33-1</t>
  </si>
  <si>
    <t>33-2</t>
  </si>
  <si>
    <t>33-3</t>
  </si>
  <si>
    <t>33-4</t>
  </si>
  <si>
    <t>33-5</t>
  </si>
  <si>
    <t>33-6</t>
  </si>
  <si>
    <t>33-7</t>
  </si>
  <si>
    <t>Samaksa par virsstundu darbu un darbu svētku dienās</t>
  </si>
  <si>
    <t>PSIA "Veselības un sociālās aprūpes centrs - Sloka" -sociālās aprūpes nodaļa SAN   *</t>
  </si>
  <si>
    <t>PSIA "Veselības un sociālās aprūpes centrs - Sloka" -īslaicīga sociālās aprūpes un sociālās rehabilitācijas nodaļa SASRN   *</t>
  </si>
  <si>
    <t>PSIA "veselības un sociālās aprūpes centrs - Sloka"- Veselības un sociālās aprūpes nodaļa   *</t>
  </si>
  <si>
    <t>PSIA "Veselības un sociālās aprūpes centrs - Sloka" -</t>
  </si>
  <si>
    <t>nesadalītais atlikums radīto izdevumu segšanai par iepriekšējos periodos sniegtajiem sociālajiem pakalpojumiem pašvaldībai</t>
  </si>
  <si>
    <t>Pilsētas svētku noformējums</t>
  </si>
  <si>
    <t>Ģeodēziskā tīkla punktu izbūve</t>
  </si>
  <si>
    <t>16 tualešu konteineru izvietoša, 2012.gadā papildus 4 konteineri - Upes ielā, Dzimtenes ielā, pludmalē pret Kaiju ielu, Ķemeros pie Pareizticīgo baznīcas, konteinera uzstādīšanai Jomas ielā (Investīciju plāns Ls 6000)</t>
  </si>
  <si>
    <t>Piešķirts atbilstoši Investīciju plānam: Trepju telpas renovācijai Jūrmalas teātra telpās Ls 20000, pārējie kapitālie remonti Ls 3344</t>
  </si>
  <si>
    <t>Investīciju plāns</t>
  </si>
  <si>
    <t>Projekta pārskaņošanu nepieciešams veikt īsi pirms projekta realizācijas. Atbilstoši Investīciju plānam - tablo uzstādīšanai.</t>
  </si>
  <si>
    <t>Objekta būvdarbu izmaksas saskaņā ar projekta tāmi 1.kārta 410 tūkst.Ls., 2.kārta 1510 tūkst.Ls, 3.kārta 1280 tūkst.Ls. Atbilstoši Investīciju plānam Ls 35000</t>
  </si>
  <si>
    <t>Majoru muižas kompleksa attīstība</t>
  </si>
  <si>
    <t>Atbilstoši Investīciju plānam</t>
  </si>
  <si>
    <t>Objekta būvdarbu izmaksas saskaņā ar projekta tāmi 1.kārtai 3220 tūkst.Ls., 2.kārtai 2650 tūkst.Ls. Atbilstoši Investīciju plānam Ls 10 000</t>
  </si>
  <si>
    <t>Mežmalas vidisskolas energoefektivitātes uzlabošana</t>
  </si>
  <si>
    <t>Pašvaldības iestādes "Sprīdītis" ēkas Sēravotu ielā 9 rekonstrukcija</t>
  </si>
  <si>
    <t>PA "Jūrmalas sociālās aprūpes centrs" ēku kapitālais remonts un teritorijas labiekārtošana</t>
  </si>
  <si>
    <t>Atbilstoši Investīciju plānam: atpūtas nojumju izbūvei Ls 4000, tēlpu remontam Dūņu ceļa 2 Ls 120 000</t>
  </si>
  <si>
    <t>Ēkas rekonstrukcija ar funkcijas maiņu par sociālās aprūpes ēku ar publiski pieejamām telpām 1.stāvā Skolas ielā 44</t>
  </si>
  <si>
    <t>Nr.p.k.</t>
  </si>
  <si>
    <t>Dzintaru koncertzāles sezonas atklāšanas koncerts</t>
  </si>
  <si>
    <t>SIA "Dzintaru koncertzāle"</t>
  </si>
  <si>
    <t>Dzintaru koncertzāles sezonas noslēguma koncerts</t>
  </si>
  <si>
    <t>Bērnu un jauniešu diena Jūrmalā</t>
  </si>
  <si>
    <t>Reklāmas festivāls Golden Hammer</t>
  </si>
  <si>
    <t>VIII Jauniešu koru populārās mūzikas lielkoncerts "Dziedam Jūrmalā"</t>
  </si>
  <si>
    <t>Iluzionistu festivāls "Abrakadabra"</t>
  </si>
  <si>
    <t>Irkutskas Filharmonijas Gubernatora Simfoniskā Orķestra koncerts</t>
  </si>
  <si>
    <t>Vasaras saulgrieži - Jāņu ielīgošana</t>
  </si>
  <si>
    <t>Starptautiskais bērnu horeogrāfijas festivāls "Arabeskas"</t>
  </si>
  <si>
    <t>Nodibinājuma fonda "Bērnu veselība - mūsu nākotne" rīkotais labdarības koncerts</t>
  </si>
  <si>
    <t>Mūzikas festivāls</t>
  </si>
  <si>
    <t>Starptautiskais jauno izpildītāju konkurss "Jaunais vilnis"</t>
  </si>
  <si>
    <t>Starptautiskais baleta festivāls "Baleta zvaigznes Jūrmalā"</t>
  </si>
  <si>
    <t>LNSO</t>
  </si>
  <si>
    <t>Starptautiskais mūzikas festivāls "Summertime"</t>
  </si>
  <si>
    <t>Zigmāra Liepiņa 60 gadu jubilejas koncerts</t>
  </si>
  <si>
    <t>Tautas deju pērles Jūrmalā</t>
  </si>
  <si>
    <t>Nedzirdīgo biedrība</t>
  </si>
  <si>
    <t>Ekonomiskās klasifikācijas kods</t>
  </si>
  <si>
    <t>Rādītāja nosaukums</t>
  </si>
  <si>
    <t>Summa kopā (latos)</t>
  </si>
  <si>
    <t>Darbinieku darba samaksa</t>
  </si>
  <si>
    <t>Telefona abonēšanas maksa, sarunu apmaksa, interneta pakalpojumu sniedzēju apmaksa</t>
  </si>
  <si>
    <t xml:space="preserve">Izdevumi par elektroenerģiju </t>
  </si>
  <si>
    <t>Biroja preces</t>
  </si>
  <si>
    <t>Nekustamā īpašuma nodokļa maksājumi budžetā</t>
  </si>
  <si>
    <t>Pārējie budžeta iestāžu pārskaitītie nodokļi un nodevas</t>
  </si>
  <si>
    <t>Kopā pašizmaksa:</t>
  </si>
  <si>
    <t>PVN 22%</t>
  </si>
  <si>
    <t>Summa ar PVN</t>
  </si>
  <si>
    <t>Atbalstāmie pasākumi Dzintaru koncertzālē 2012.gada sezonā</t>
  </si>
  <si>
    <t>08.620</t>
  </si>
  <si>
    <t>2 pasākuma dienas</t>
  </si>
  <si>
    <t>3 pasākuma dienas</t>
  </si>
  <si>
    <t>7 pasākuma dienas</t>
  </si>
  <si>
    <t>6 pasākuma dienas</t>
  </si>
  <si>
    <t>Nakts patversmes izveidošana</t>
  </si>
  <si>
    <t xml:space="preserve">25 gultas finansējums no pašvaldības budžeta 2012.gadā -pieprasīts 16.49 Ls dienā, aprēķināts Ls 6.77 dienā (2011.gadā - 6.43 Ls dienā)(JPD saistošie noteikumi nr.2 (17.01.2009.) </t>
  </si>
  <si>
    <t>JPD saistošie noteikumi nr.2 (17.01.2009.) 15 gultas pašvaldības finansējums 2012.gadā - pieprasīts 18,92 Ls dienā, aprēķināts Ls 12.75 dienā (2011.gadā 6.43 Ls dienā)</t>
  </si>
  <si>
    <t>JPD saistošie noteikumi nr.2 (17.01.2009.) no pašvaldības finansējuma - 20 gultas 2012.gadā - pieprasīts 12.41Ls dienā, aprēķināts Ls 9.12 dienā (2011.gadā 7.32 Ls dienā )</t>
  </si>
  <si>
    <t>Pašvaldības juridiskā pārstāvniecība</t>
  </si>
  <si>
    <t>KOPĀ</t>
  </si>
  <si>
    <t xml:space="preserve">Piezīmes </t>
  </si>
  <si>
    <t>Proj./izpilde 43,5%</t>
  </si>
  <si>
    <t>Proj./izpilde  114,3%</t>
  </si>
  <si>
    <t>Proj./izpilde  97,6%</t>
  </si>
  <si>
    <t>Proj./izpilde  0%</t>
  </si>
  <si>
    <t>Proj./izpilde  117,0%</t>
  </si>
  <si>
    <t>Proj./izpilde  168,5%</t>
  </si>
  <si>
    <t>Proj./izpilde  375,0%</t>
  </si>
  <si>
    <t>Proj./izpilde  399,9%</t>
  </si>
  <si>
    <t>Proj./izpilde  294,4%</t>
  </si>
  <si>
    <t>Proj./izpilde  362,9%</t>
  </si>
  <si>
    <t>Proj./izpilde  0 %</t>
  </si>
  <si>
    <t>Proj./izpilde 108,6 %</t>
  </si>
  <si>
    <t>Proj./izpilde 0 %</t>
  </si>
  <si>
    <t>Proj./izpilde -                                    87 reizes vairāk</t>
  </si>
  <si>
    <t>Proj./izpilde -                                    16 reizes vairāk</t>
  </si>
  <si>
    <t>Proj./izpilde 181,8 %</t>
  </si>
  <si>
    <t>Rezerves līdzekļi kultūras pasākumiem</t>
  </si>
  <si>
    <t>Proj./izpilde  268,6 3%</t>
  </si>
  <si>
    <t>Proj./izpilde  104,3 %</t>
  </si>
  <si>
    <t>Proj./izpilde  142,4 %</t>
  </si>
  <si>
    <t>Proj./izpilde  176,3 %</t>
  </si>
  <si>
    <t>Proj./izpilde  147,9 %</t>
  </si>
  <si>
    <t>Proj./izpilde  375,5 %</t>
  </si>
  <si>
    <t>Proj./izpilde  105,4 %</t>
  </si>
  <si>
    <t>Proj./izpilde  98,3 %</t>
  </si>
  <si>
    <t>Proj./izpilde  100,7 %</t>
  </si>
  <si>
    <t>Proj./izpilde  112,4 %</t>
  </si>
  <si>
    <t>Proj./izpilde  609,4 %</t>
  </si>
  <si>
    <t>Proj./izpilde  100 %</t>
  </si>
  <si>
    <t>Proj./izpilde  113,1 %</t>
  </si>
  <si>
    <t>Proj./izpilde  108,4 %</t>
  </si>
  <si>
    <t>Proj./izpilde  112,5 %</t>
  </si>
  <si>
    <t>Proj./izpilde  149,3 %</t>
  </si>
  <si>
    <t>Proj./izpilde  247,7 %</t>
  </si>
  <si>
    <t>Proj./izpilde  293,2 %</t>
  </si>
  <si>
    <t>Proj./izpilde  177,7 %</t>
  </si>
  <si>
    <t>Proj./izpilde  8,6 %</t>
  </si>
  <si>
    <t>Proj./izpilde  100,0 %</t>
  </si>
  <si>
    <t>Proj./izpilde  91,0 %</t>
  </si>
  <si>
    <t>Proj./izpilde 100,3 %</t>
  </si>
  <si>
    <t>Proj./izpilde  131,1 %</t>
  </si>
  <si>
    <t>Proj./izpilde  100,1 %</t>
  </si>
  <si>
    <t>Proj./izpilde  27,9 %</t>
  </si>
  <si>
    <t>Proj./izpilde  100,00 %</t>
  </si>
  <si>
    <t>Proj./izpilde  107,1 %</t>
  </si>
  <si>
    <t>Proj./izpilde  102,9 %</t>
  </si>
  <si>
    <t>Proj./izpilde  300,0 %</t>
  </si>
  <si>
    <t>Proj./izpilde  101,5 %</t>
  </si>
  <si>
    <t>Proj./izpilde  100,3 %</t>
  </si>
  <si>
    <t>Proj./izpilde  110,3 %</t>
  </si>
  <si>
    <t>Proj./izpilde  75,3 %</t>
  </si>
  <si>
    <t>Proj./izpilde  149,7 %</t>
  </si>
  <si>
    <t>Proj./izpilde  106,5 %</t>
  </si>
  <si>
    <t>Proj./izpilde  116,5 %</t>
  </si>
  <si>
    <t>Proj./izpilde  32,2 %</t>
  </si>
  <si>
    <t>Proj./izpilde  100,2 %</t>
  </si>
  <si>
    <t>Proj./izpilde  413,2 %</t>
  </si>
  <si>
    <t>Proj./izpilde 111,5 %</t>
  </si>
  <si>
    <t>Jaunu rotaļu laukumu izbēve Robežu ielā 19, Jaundubultu parkā, Tētbatas ielā 38, Skolas ielā 27/29, Ievu ielā 6a, Skolas ielā 69b, Raiņa un Kārsas ielas stūrī., u.c., Sask.ar invest.plānu</t>
  </si>
  <si>
    <t>Brāļu kapu rekonstrukcija Slokā</t>
  </si>
  <si>
    <t>Jauna noformējuma izveide, montāža, demontāža</t>
  </si>
  <si>
    <t>Basketbola klubs Sloka</t>
  </si>
  <si>
    <t>Vizītes uz esošām un potenciālajām sadraudzības pilsētām</t>
  </si>
  <si>
    <t>JPD Saistošie noteikumi nr. 8. 26.02.2009.</t>
  </si>
  <si>
    <r>
      <t>JPD saistošie noteikumi nr.79 04.09.2008. -</t>
    </r>
    <r>
      <rPr>
        <b/>
        <sz val="10"/>
        <rFont val="Times New Roman"/>
        <family val="1"/>
      </rPr>
      <t xml:space="preserve"> </t>
    </r>
    <r>
      <rPr>
        <sz val="10"/>
        <rFont val="Times New Roman"/>
        <family val="1"/>
      </rPr>
      <t>Ls 50 personai 2 reizes gadā novembrī un maijā (437 personas) 2011.gadā Ls 30</t>
    </r>
  </si>
  <si>
    <t>Starptautiskais modeļu konkurss "Baltic Beauty Contest"</t>
  </si>
  <si>
    <t>Starptautiskais bērnu festivāls "Rudaga"</t>
  </si>
  <si>
    <t>Objekta nosaukums</t>
  </si>
  <si>
    <t xml:space="preserve">2012.gadā </t>
  </si>
  <si>
    <t xml:space="preserve">2013.gadā </t>
  </si>
  <si>
    <t xml:space="preserve">2014.gadā </t>
  </si>
  <si>
    <t>Orientējošais apjoms</t>
  </si>
  <si>
    <t>EKK</t>
  </si>
  <si>
    <t>Mērķdotācija pašvaldību autoceļiem (ielām)(Ls)</t>
  </si>
  <si>
    <t>Pašvaldības pamatbudžeta asignējumi (Ls)</t>
  </si>
  <si>
    <t>Mērķa ziedojumi (Ls)</t>
  </si>
  <si>
    <t>Finansējuma apjoms (Ls)</t>
  </si>
  <si>
    <t>Kapitālā celtniecība un rekonstrukcija</t>
  </si>
  <si>
    <t>04.510.5250</t>
  </si>
  <si>
    <t>04.510.5240</t>
  </si>
  <si>
    <t>04.510.2246</t>
  </si>
  <si>
    <t>Ceļa seguma remonts (t.sk.bedrīšu remonts)</t>
  </si>
  <si>
    <t>Ceļa zīmju ekspluatācija</t>
  </si>
  <si>
    <t>04.510.2312</t>
  </si>
  <si>
    <t>Jomas, Turaidas , Aizkraukles un Rembates ielu kopšana</t>
  </si>
  <si>
    <t>05.100.2244</t>
  </si>
  <si>
    <t xml:space="preserve">Ielu ietvju un zaļo zonu mehanizētā un nemehanizētā tīrīšana (tai skaitā arī BC kategorijas ielas) </t>
  </si>
  <si>
    <t>Citi</t>
  </si>
  <si>
    <t>04.510.2239</t>
  </si>
  <si>
    <t>KOPĀ CEĻU FONDS</t>
  </si>
  <si>
    <t>Proj./izpilde 110,3 %</t>
  </si>
  <si>
    <t>Autobusu pieturu nojumju izgatavošana un uzstādīšana</t>
  </si>
  <si>
    <t>Nekustamo īpašumu administrācijas vajadzībām kapitālais un kārtējais remonts, rekonstrukcija</t>
  </si>
  <si>
    <t>Pašvaldības pārziņā esošo teritoriju apsaimniekošana (kopšana un tīrīšana)</t>
  </si>
  <si>
    <t>Programma</t>
  </si>
  <si>
    <r>
      <t>2000 m</t>
    </r>
    <r>
      <rPr>
        <sz val="10"/>
        <rFont val="Calibri"/>
        <family val="2"/>
      </rPr>
      <t>²</t>
    </r>
  </si>
  <si>
    <r>
      <t>4000 m</t>
    </r>
    <r>
      <rPr>
        <sz val="10"/>
        <rFont val="Calibri"/>
        <family val="2"/>
      </rPr>
      <t>²</t>
    </r>
  </si>
  <si>
    <t>1 gab. (skiču projekts)</t>
  </si>
  <si>
    <t>1 objekts</t>
  </si>
  <si>
    <t>1 gab.</t>
  </si>
  <si>
    <r>
      <t>24000 m</t>
    </r>
    <r>
      <rPr>
        <sz val="10"/>
        <rFont val="Calibri"/>
        <family val="2"/>
      </rPr>
      <t>²</t>
    </r>
  </si>
  <si>
    <r>
      <t>365000 m</t>
    </r>
    <r>
      <rPr>
        <sz val="10"/>
        <rFont val="Calibri"/>
        <family val="2"/>
      </rPr>
      <t>²</t>
    </r>
  </si>
  <si>
    <r>
      <t>360000 m</t>
    </r>
    <r>
      <rPr>
        <sz val="10"/>
        <rFont val="Calibri"/>
        <family val="2"/>
      </rPr>
      <t>²</t>
    </r>
  </si>
  <si>
    <r>
      <t>355000 m</t>
    </r>
    <r>
      <rPr>
        <sz val="10"/>
        <rFont val="Calibri"/>
        <family val="2"/>
      </rPr>
      <t>²</t>
    </r>
  </si>
  <si>
    <r>
      <t>18000 m</t>
    </r>
    <r>
      <rPr>
        <sz val="10"/>
        <rFont val="Calibri"/>
        <family val="2"/>
      </rPr>
      <t>²</t>
    </r>
  </si>
  <si>
    <r>
      <t>3500 m</t>
    </r>
    <r>
      <rPr>
        <sz val="10"/>
        <rFont val="Calibri"/>
        <family val="2"/>
      </rPr>
      <t>²</t>
    </r>
  </si>
  <si>
    <t>6744 gab.</t>
  </si>
  <si>
    <t>6800 gab.</t>
  </si>
  <si>
    <t>140 m</t>
  </si>
  <si>
    <r>
      <t>8000 m</t>
    </r>
    <r>
      <rPr>
        <sz val="10"/>
        <rFont val="Calibri"/>
        <family val="2"/>
      </rPr>
      <t>²</t>
    </r>
  </si>
  <si>
    <t>300gab.</t>
  </si>
  <si>
    <t>3 objekti</t>
  </si>
  <si>
    <t>2 objekti</t>
  </si>
  <si>
    <r>
      <t>99174 m</t>
    </r>
    <r>
      <rPr>
        <sz val="10"/>
        <rFont val="Calibri"/>
        <family val="2"/>
      </rPr>
      <t>²</t>
    </r>
  </si>
  <si>
    <t>1868 km</t>
  </si>
  <si>
    <t>SIA "Dzintaru koncertzāle"                                                                                                             lielās zāles viena pasākuma pašizmaksa 2012.gadam</t>
  </si>
  <si>
    <t>Jūrmalas pilsētas pašvaldības 2012.-2014.gada Ceļu fonda izlietojuma programma</t>
  </si>
  <si>
    <t>Pašvaldības glābšanas dienestu kārtējais remonts</t>
  </si>
  <si>
    <t>Kapitālais un kārtējais remonts sociālās sfēras administratīvajā ēkā</t>
  </si>
  <si>
    <t>Kapitālie, kārtējie remonti, renovācijas pašvaldības nekustamajos īpašumos, kuros tiek nodrošināta ilgstoša sociālā aprūpe</t>
  </si>
  <si>
    <t>Nekustamā īpašuma sociālās sfēras vajadzībām kapitālais, kārtējais remonts un rekonstrukcija</t>
  </si>
  <si>
    <t>Proj./izpilde  151.9%</t>
  </si>
  <si>
    <t>Proj./izpilde  346.5 %</t>
  </si>
  <si>
    <t>Proj./izpilde  322.5 %</t>
  </si>
  <si>
    <t>Proj./izpilde  215.3 %</t>
  </si>
  <si>
    <t>Proj./izpilde  246.4 %</t>
  </si>
  <si>
    <t>Proj./izpilde  69.3 %</t>
  </si>
  <si>
    <t>Proj./izpilde  942.6 %</t>
  </si>
  <si>
    <t>Proj./izpilde  439.2 %</t>
  </si>
  <si>
    <t>Proj./izpilde  127.6 %</t>
  </si>
  <si>
    <t>Proj./izpilde  520.8 %</t>
  </si>
  <si>
    <t>Proj./izpilde  117.5 %</t>
  </si>
  <si>
    <t>Proj./izpilde  126.0 %</t>
  </si>
  <si>
    <t>Proj./izpilde  91.8 %</t>
  </si>
  <si>
    <t>Proj./izpilde  315.7 %</t>
  </si>
  <si>
    <t>Proj./izpilde  137.6 %</t>
  </si>
  <si>
    <t>Proj./izpilde  166.0 %</t>
  </si>
  <si>
    <t>Proj./izpilde  604.2 %</t>
  </si>
  <si>
    <t>Proj./izpilde  140.3 %</t>
  </si>
  <si>
    <t>Proj./izpilde  193.7 %</t>
  </si>
  <si>
    <t>Proj./izpilde  190.5 %</t>
  </si>
  <si>
    <t>Proj./izpilde  166.6 %</t>
  </si>
  <si>
    <t>2012.gada 26.janvāra saistošajiem noteikumiem Nr.4</t>
  </si>
  <si>
    <t>(protokols Nr.1, 13.punkts)</t>
  </si>
  <si>
    <t>6.pielikums apstiprināts ar Jūrmalas pilsētas domes</t>
  </si>
  <si>
    <t>7.pielikums apstiprināts ar Jūrmalas pilsētas domes</t>
  </si>
  <si>
    <t>3.pielikums apstiprināts ar Jūrmalas pilsētas domes</t>
  </si>
  <si>
    <t xml:space="preserve">2012.gada  26.janvāra saistošajiem noteikumiem Nr.4 </t>
  </si>
  <si>
    <t>4.pielikums apstiprināts ar Jūrmalas pilsētas domes</t>
  </si>
  <si>
    <t>5.pielikums apstiprināts ar Jūrmalas pilsētas domes</t>
  </si>
  <si>
    <t>8.pielikums apstiprināts ar Jūrmalas pilsētas domes</t>
  </si>
  <si>
    <t>9.pielikums apstiprināts ar Jūrmalas pilsētas domes</t>
  </si>
  <si>
    <t>10.pielikums apstiprināts ar Jūrmalas pilsētas domes</t>
  </si>
  <si>
    <t>11.pielikums apstiprināts ar Jūrmalas pilsētas domes</t>
  </si>
  <si>
    <t>12.pielikums apstiprināts ar Jūrmalas pilsētas domes</t>
  </si>
  <si>
    <t>13.pielikums apstiprināts ar Jūrmalas pilsētas domes</t>
  </si>
  <si>
    <t>14.pielikums apstiprināts ar Jūrmalas pilsētas domes</t>
  </si>
  <si>
    <t>15.pielikums apstiprināts ar Jūrmalas pilsētas domes</t>
  </si>
  <si>
    <t>16.pielikums apstiprināts ar Jūrmalas pilsētas domes</t>
  </si>
  <si>
    <t>17.pielikums apstiprināts ar Jūrmalas pilsētas domes</t>
  </si>
  <si>
    <t>18.pielikums apstiprināts ar Jūrmalas pilsētas domes</t>
  </si>
  <si>
    <t>25.pielikums apstiprināts ar Jūrmalas pilsētas domes</t>
  </si>
  <si>
    <t>19.pielikums apstiprināts ar Jūrmalas pilsētas domes</t>
  </si>
  <si>
    <t>20.pielikums apstiprināts ar Jūrmalas pilsētas domes</t>
  </si>
  <si>
    <t>21.pielikums apstiprināts ar Jūrmalas pilsētas domes</t>
  </si>
  <si>
    <t>22.pielikums apstiprināts ar Jūrmalas pilsētas domes</t>
  </si>
  <si>
    <t>23.pielikums apstiprināts ar Jūrmalas pilsētas domes</t>
  </si>
  <si>
    <t>24.pielikums apstiprināts ar Jūrmalas pilsētas domes</t>
  </si>
  <si>
    <t>Kartingista E.V. atbalstam</t>
  </si>
  <si>
    <t>Sporta dejotāja M.K. atbalstam</t>
  </si>
  <si>
    <t>Atbalsts V.K. līdzdalībai PČ airēšanā</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</si>
</sst>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_ ;\-#,##0\ "/>
    <numFmt numFmtId="165" formatCode="0.0"/>
    <numFmt numFmtId="166" formatCode="0.000"/>
    <numFmt numFmtId="167" formatCode="#,##0.000"/>
    <numFmt numFmtId="168" formatCode="0.0%"/>
  </numFmts>
  <fonts count="79">
    <font>
      <sz val="11"/>
      <color theme="1"/>
      <name val="Calibri"/>
      <family val="2"/>
    </font>
    <font>
      <sz val="11"/>
      <color indexed="8"/>
      <name val="Calibri"/>
      <family val="2"/>
    </font>
    <font>
      <sz val="10"/>
      <name val="Arial"/>
      <family val="2"/>
    </font>
    <font>
      <sz val="9"/>
      <name val="Times New Roman"/>
      <family val="1"/>
    </font>
    <font>
      <b/>
      <sz val="12"/>
      <name val="Times New Roman"/>
      <family val="1"/>
    </font>
    <font>
      <b/>
      <sz val="9"/>
      <name val="Times New Roman"/>
      <family val="1"/>
    </font>
    <font>
      <b/>
      <sz val="13"/>
      <name val="Times New Roman"/>
      <family val="1"/>
    </font>
    <font>
      <b/>
      <sz val="10"/>
      <name val="Times New Roman"/>
      <family val="1"/>
    </font>
    <font>
      <sz val="10"/>
      <name val="Times New Roman"/>
      <family val="1"/>
    </font>
    <font>
      <sz val="9"/>
      <name val="Arial"/>
      <family val="2"/>
    </font>
    <font>
      <b/>
      <sz val="10"/>
      <name val="Arial"/>
      <family val="2"/>
    </font>
    <font>
      <sz val="9"/>
      <color indexed="10"/>
      <name val="Times New Roman"/>
      <family val="1"/>
    </font>
    <font>
      <b/>
      <sz val="9"/>
      <name val="Arial"/>
      <family val="2"/>
    </font>
    <font>
      <vertAlign val="superscript"/>
      <sz val="9"/>
      <name val="Times New Roman"/>
      <family val="1"/>
    </font>
    <font>
      <sz val="9"/>
      <color indexed="8"/>
      <name val="Times New Roman"/>
      <family val="1"/>
    </font>
    <font>
      <sz val="8"/>
      <name val="Times New Roman"/>
      <family val="1"/>
    </font>
    <font>
      <sz val="8"/>
      <color indexed="8"/>
      <name val="Times New Roman"/>
      <family val="1"/>
    </font>
    <font>
      <sz val="9"/>
      <color indexed="61"/>
      <name val="Times New Roman"/>
      <family val="1"/>
    </font>
    <font>
      <u val="single"/>
      <sz val="10"/>
      <color indexed="12"/>
      <name val="Arial"/>
      <family val="2"/>
    </font>
    <font>
      <u val="single"/>
      <sz val="9"/>
      <name val="Times New Roman"/>
      <family val="1"/>
    </font>
    <font>
      <b/>
      <sz val="9"/>
      <color indexed="8"/>
      <name val="Times New Roman"/>
      <family val="1"/>
    </font>
    <font>
      <b/>
      <sz val="10"/>
      <color indexed="8"/>
      <name val="Times New Roman"/>
      <family val="1"/>
    </font>
    <font>
      <sz val="9"/>
      <name val="Times New Roman Baltic"/>
      <family val="0"/>
    </font>
    <font>
      <b/>
      <sz val="8"/>
      <name val="Times New Roman"/>
      <family val="1"/>
    </font>
    <font>
      <sz val="8"/>
      <name val="Times New Roman Baltic"/>
      <family val="0"/>
    </font>
    <font>
      <i/>
      <sz val="9"/>
      <name val="Times New Roman"/>
      <family val="1"/>
    </font>
    <font>
      <sz val="11"/>
      <name val="Times New Roman"/>
      <family val="1"/>
    </font>
    <font>
      <b/>
      <sz val="11"/>
      <name val="Times New Roman"/>
      <family val="1"/>
    </font>
    <font>
      <sz val="12"/>
      <name val="Times New Roman"/>
      <family val="1"/>
    </font>
    <font>
      <b/>
      <sz val="14"/>
      <name val="Times New Roman"/>
      <family val="1"/>
    </font>
    <font>
      <i/>
      <sz val="10"/>
      <name val="Times New Roman"/>
      <family val="1"/>
    </font>
    <font>
      <i/>
      <sz val="8"/>
      <name val="Times New Roman"/>
      <family val="1"/>
    </font>
    <font>
      <b/>
      <i/>
      <sz val="10"/>
      <name val="Times New Roman"/>
      <family val="1"/>
    </font>
    <font>
      <sz val="10"/>
      <name val="Calibri"/>
      <family val="2"/>
    </font>
    <font>
      <sz val="12"/>
      <name val="Arial"/>
      <family val="2"/>
    </font>
    <font>
      <sz val="11"/>
      <name val="Calibri"/>
      <family val="2"/>
    </font>
    <font>
      <sz val="10"/>
      <color indexed="8"/>
      <name val="Times New Roman"/>
      <family val="1"/>
    </font>
    <font>
      <sz val="12"/>
      <color indexed="8"/>
      <name val="Calibri"/>
      <family val="2"/>
    </font>
    <font>
      <sz val="12"/>
      <color indexed="8"/>
      <name val="Times New Roman"/>
      <family val="1"/>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b/>
      <sz val="10"/>
      <color theme="1"/>
      <name val="Times New Roman"/>
      <family val="1"/>
    </font>
    <font>
      <sz val="9"/>
      <color rgb="FFFF0000"/>
      <name val="Times New Roman"/>
      <family val="1"/>
    </font>
    <font>
      <sz val="12"/>
      <color theme="1"/>
      <name val="Calibri"/>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style="hair"/>
      <top style="hair"/>
      <bottom/>
    </border>
    <border>
      <left style="hair"/>
      <right style="hair"/>
      <top/>
      <bottom style="hair"/>
    </border>
    <border>
      <left style="hair"/>
      <right/>
      <top style="hair"/>
      <bottom style="hair"/>
    </border>
    <border>
      <left/>
      <right style="hair"/>
      <top style="hair"/>
      <bottom style="hair"/>
    </border>
    <border>
      <left style="hair"/>
      <right style="hair"/>
      <top/>
      <bottom/>
    </border>
    <border>
      <left/>
      <right/>
      <top/>
      <bottom style="hair"/>
    </border>
    <border>
      <left style="hair"/>
      <right style="hair"/>
      <top style="hair"/>
      <bottom style="thin"/>
    </border>
    <border>
      <left/>
      <right style="hair"/>
      <top/>
      <bottom style="hair"/>
    </border>
    <border>
      <left/>
      <right/>
      <top style="hair"/>
      <bottom/>
    </border>
    <border>
      <left style="hair"/>
      <right style="hair"/>
      <top style="hair"/>
      <bottom style="double"/>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bottom style="hair"/>
    </border>
    <border>
      <left style="hair"/>
      <right style="thin"/>
      <top/>
      <bottom style="hair"/>
    </border>
    <border>
      <left/>
      <right/>
      <top/>
      <bottom style="thin"/>
    </border>
    <border>
      <left style="thin"/>
      <right style="hair"/>
      <top style="thin"/>
      <bottom style="thin"/>
    </border>
    <border>
      <left style="hair"/>
      <right style="hair"/>
      <top style="thin"/>
      <bottom style="thin"/>
    </border>
    <border>
      <left/>
      <right style="hair"/>
      <top/>
      <bottom style="thin"/>
    </border>
    <border>
      <left style="hair"/>
      <right style="hair"/>
      <top/>
      <bottom style="thin"/>
    </border>
    <border>
      <left style="hair"/>
      <right style="thin"/>
      <top/>
      <bottom style="thin"/>
    </border>
    <border>
      <left style="thin"/>
      <right style="hair"/>
      <top/>
      <bottom style="thin"/>
    </border>
    <border>
      <left style="thin"/>
      <right style="hair"/>
      <top style="thin"/>
      <bottom style="hair"/>
    </border>
    <border>
      <left/>
      <right/>
      <top style="thin"/>
      <bottom style="hair"/>
    </border>
    <border>
      <left/>
      <right style="hair"/>
      <top/>
      <bottom/>
    </border>
    <border>
      <left style="hair"/>
      <right style="thin"/>
      <top style="thin"/>
      <bottom style="hair"/>
    </border>
    <border>
      <left style="thin"/>
      <right style="hair"/>
      <top style="hair"/>
      <bottom/>
    </border>
    <border>
      <left style="hair"/>
      <right/>
      <top style="hair"/>
      <bottom/>
    </border>
    <border>
      <left/>
      <right style="hair"/>
      <top style="hair"/>
      <bottom/>
    </border>
    <border>
      <left style="hair"/>
      <right style="thin"/>
      <top style="hair"/>
      <bottom/>
    </border>
    <border>
      <left style="hair"/>
      <right/>
      <top/>
      <bottom style="hair"/>
    </border>
    <border>
      <left style="thin"/>
      <right style="hair"/>
      <top/>
      <bottom/>
    </border>
    <border>
      <left style="hair"/>
      <right/>
      <top style="hair"/>
      <bottom style="thin"/>
    </border>
    <border>
      <left/>
      <right style="hair"/>
      <top style="hair"/>
      <bottom style="thin"/>
    </border>
    <border>
      <left style="hair"/>
      <right/>
      <top/>
      <bottom style="thin"/>
    </border>
    <border>
      <left/>
      <right style="thin"/>
      <top/>
      <bottom style="thin"/>
    </border>
    <border>
      <left/>
      <right/>
      <top style="thin"/>
      <bottom style="thin"/>
    </border>
    <border>
      <left/>
      <right style="hair"/>
      <top style="thin"/>
      <bottom style="thin"/>
    </border>
    <border>
      <left style="hair"/>
      <right/>
      <top style="thin"/>
      <bottom/>
    </border>
    <border>
      <left/>
      <right/>
      <top style="thin"/>
      <bottom/>
    </border>
    <border>
      <left/>
      <right style="thin"/>
      <top style="thin"/>
      <bottom/>
    </border>
    <border>
      <left style="hair"/>
      <right/>
      <top/>
      <bottom/>
    </border>
    <border>
      <left style="hair"/>
      <right style="thin"/>
      <top/>
      <bottom/>
    </border>
    <border>
      <left style="thin"/>
      <right style="hair"/>
      <top style="thin"/>
      <bottom/>
    </border>
    <border>
      <left/>
      <right style="hair"/>
      <top style="thin"/>
      <bottom style="hair"/>
    </border>
    <border>
      <left style="hair"/>
      <right style="hair"/>
      <top style="thin"/>
      <bottom style="hair"/>
    </border>
    <border>
      <left/>
      <right style="thin"/>
      <top style="thin"/>
      <bottom style="thin"/>
    </border>
    <border>
      <left style="thin"/>
      <right/>
      <top style="thin"/>
      <bottom style="thin"/>
    </border>
    <border>
      <left/>
      <right/>
      <top style="hair"/>
      <bottom style="hair"/>
    </border>
    <border>
      <left style="hair"/>
      <right style="hair"/>
      <top/>
      <bottom style="double"/>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060">
    <xf numFmtId="0" fontId="0" fillId="0" borderId="0" xfId="0" applyFont="1" applyAlignment="1">
      <alignment/>
    </xf>
    <xf numFmtId="0" fontId="3" fillId="0" borderId="0" xfId="60" applyFont="1">
      <alignment/>
      <protection/>
    </xf>
    <xf numFmtId="0" fontId="3" fillId="0" borderId="0" xfId="60" applyFont="1" applyAlignment="1">
      <alignment/>
      <protection/>
    </xf>
    <xf numFmtId="0" fontId="3" fillId="0" borderId="0" xfId="60" applyFont="1" applyAlignment="1">
      <alignment horizontal="left"/>
      <protection/>
    </xf>
    <xf numFmtId="0" fontId="3" fillId="0" borderId="10" xfId="60" applyFont="1" applyBorder="1" applyAlignment="1">
      <alignment horizontal="center" wrapText="1"/>
      <protection/>
    </xf>
    <xf numFmtId="0" fontId="3" fillId="0" borderId="10" xfId="60" applyFont="1" applyBorder="1" applyAlignment="1">
      <alignment horizontal="center" vertical="center" wrapText="1"/>
      <protection/>
    </xf>
    <xf numFmtId="3" fontId="5" fillId="0" borderId="10" xfId="60" applyNumberFormat="1" applyFont="1" applyBorder="1" applyAlignment="1">
      <alignment wrapText="1"/>
      <protection/>
    </xf>
    <xf numFmtId="0" fontId="3" fillId="0" borderId="10" xfId="60" applyFont="1" applyBorder="1" applyAlignment="1">
      <alignment wrapText="1"/>
      <protection/>
    </xf>
    <xf numFmtId="0" fontId="3" fillId="0" borderId="10" xfId="60" applyFont="1" applyBorder="1">
      <alignment/>
      <protection/>
    </xf>
    <xf numFmtId="3" fontId="3" fillId="0" borderId="10" xfId="60" applyNumberFormat="1" applyFont="1" applyBorder="1" applyAlignment="1">
      <alignment horizontal="right"/>
      <protection/>
    </xf>
    <xf numFmtId="1" fontId="3" fillId="0" borderId="10" xfId="60" applyNumberFormat="1" applyFont="1" applyBorder="1" applyAlignment="1">
      <alignment horizontal="right"/>
      <protection/>
    </xf>
    <xf numFmtId="3" fontId="3" fillId="0" borderId="10" xfId="60" applyNumberFormat="1" applyFont="1" applyBorder="1" applyAlignment="1">
      <alignment horizontal="left"/>
      <protection/>
    </xf>
    <xf numFmtId="0" fontId="3" fillId="0" borderId="10" xfId="60" applyFont="1" applyBorder="1" applyAlignment="1">
      <alignment horizontal="left"/>
      <protection/>
    </xf>
    <xf numFmtId="3" fontId="5" fillId="0" borderId="11" xfId="60" applyNumberFormat="1" applyFont="1" applyBorder="1">
      <alignment/>
      <protection/>
    </xf>
    <xf numFmtId="0" fontId="3" fillId="0" borderId="11" xfId="60" applyFont="1" applyBorder="1">
      <alignment/>
      <protection/>
    </xf>
    <xf numFmtId="1" fontId="5" fillId="0" borderId="10" xfId="60" applyNumberFormat="1" applyFont="1" applyBorder="1" applyAlignment="1">
      <alignment wrapText="1"/>
      <protection/>
    </xf>
    <xf numFmtId="3" fontId="3" fillId="0" borderId="10" xfId="60" applyNumberFormat="1" applyFont="1" applyBorder="1" applyAlignment="1">
      <alignment wrapText="1"/>
      <protection/>
    </xf>
    <xf numFmtId="1" fontId="3" fillId="0" borderId="10" xfId="60" applyNumberFormat="1" applyFont="1" applyBorder="1" applyAlignment="1">
      <alignment wrapText="1"/>
      <protection/>
    </xf>
    <xf numFmtId="0" fontId="3" fillId="0" borderId="0" xfId="60" applyFont="1" applyBorder="1" applyAlignment="1">
      <alignment wrapText="1"/>
      <protection/>
    </xf>
    <xf numFmtId="3" fontId="3" fillId="0" borderId="0" xfId="60" applyNumberFormat="1" applyFont="1" applyBorder="1" applyAlignment="1">
      <alignment wrapText="1"/>
      <protection/>
    </xf>
    <xf numFmtId="3" fontId="3" fillId="0" borderId="10" xfId="60" applyNumberFormat="1" applyFont="1" applyFill="1" applyBorder="1" applyAlignment="1">
      <alignment wrapText="1"/>
      <protection/>
    </xf>
    <xf numFmtId="0" fontId="8" fillId="0" borderId="0" xfId="60" applyFont="1">
      <alignment/>
      <protection/>
    </xf>
    <xf numFmtId="0" fontId="3" fillId="0" borderId="10" xfId="60" applyFont="1" applyBorder="1" applyAlignment="1">
      <alignment horizontal="right" wrapText="1"/>
      <protection/>
    </xf>
    <xf numFmtId="49" fontId="3" fillId="0" borderId="10" xfId="60" applyNumberFormat="1" applyFont="1" applyFill="1" applyBorder="1" applyAlignment="1">
      <alignment horizontal="right" vertical="center"/>
      <protection/>
    </xf>
    <xf numFmtId="0" fontId="3" fillId="0" borderId="10" xfId="60" applyFont="1" applyFill="1" applyBorder="1" applyAlignment="1">
      <alignment vertical="center" wrapText="1"/>
      <protection/>
    </xf>
    <xf numFmtId="3" fontId="3" fillId="0" borderId="10" xfId="60" applyNumberFormat="1" applyFont="1" applyFill="1" applyBorder="1" applyAlignment="1">
      <alignment vertical="center" wrapText="1"/>
      <protection/>
    </xf>
    <xf numFmtId="1" fontId="3" fillId="0" borderId="10" xfId="60" applyNumberFormat="1" applyFont="1" applyFill="1" applyBorder="1" applyAlignment="1">
      <alignment horizontal="right" vertical="center" wrapText="1"/>
      <protection/>
    </xf>
    <xf numFmtId="0" fontId="3" fillId="0" borderId="10" xfId="60" applyFont="1" applyFill="1" applyBorder="1" applyAlignment="1">
      <alignment vertical="top" wrapText="1"/>
      <protection/>
    </xf>
    <xf numFmtId="0" fontId="2" fillId="0" borderId="0" xfId="60" applyFont="1" applyFill="1">
      <alignment/>
      <protection/>
    </xf>
    <xf numFmtId="0" fontId="9" fillId="0" borderId="0" xfId="60" applyFont="1" applyFill="1">
      <alignment/>
      <protection/>
    </xf>
    <xf numFmtId="3" fontId="3" fillId="0" borderId="10" xfId="60" applyNumberFormat="1" applyFont="1" applyFill="1" applyBorder="1" applyAlignment="1">
      <alignment horizontal="right" wrapText="1"/>
      <protection/>
    </xf>
    <xf numFmtId="1" fontId="3" fillId="0" borderId="10" xfId="60" applyNumberFormat="1" applyFont="1" applyFill="1" applyBorder="1" applyAlignment="1">
      <alignment horizontal="right" wrapText="1"/>
      <protection/>
    </xf>
    <xf numFmtId="3" fontId="5" fillId="0" borderId="10" xfId="60" applyNumberFormat="1" applyFont="1" applyFill="1" applyBorder="1" applyAlignment="1">
      <alignment horizontal="right" wrapText="1"/>
      <protection/>
    </xf>
    <xf numFmtId="0" fontId="5" fillId="0" borderId="10" xfId="60" applyFont="1" applyFill="1" applyBorder="1" applyAlignment="1">
      <alignment wrapText="1"/>
      <protection/>
    </xf>
    <xf numFmtId="0" fontId="2" fillId="0" borderId="0" xfId="60">
      <alignment/>
      <protection/>
    </xf>
    <xf numFmtId="0" fontId="9" fillId="0" borderId="0" xfId="60" applyFont="1">
      <alignment/>
      <protection/>
    </xf>
    <xf numFmtId="49" fontId="3" fillId="0" borderId="10" xfId="60" applyNumberFormat="1" applyFont="1" applyFill="1" applyBorder="1" applyAlignment="1">
      <alignment horizontal="right"/>
      <protection/>
    </xf>
    <xf numFmtId="0" fontId="3" fillId="0" borderId="10" xfId="60" applyFont="1" applyFill="1" applyBorder="1" applyAlignment="1">
      <alignment horizontal="left" wrapText="1"/>
      <protection/>
    </xf>
    <xf numFmtId="0" fontId="3" fillId="0" borderId="10" xfId="60" applyFont="1" applyFill="1" applyBorder="1" applyAlignment="1">
      <alignment wrapText="1"/>
      <protection/>
    </xf>
    <xf numFmtId="0" fontId="2" fillId="0" borderId="0" xfId="60" applyFill="1">
      <alignment/>
      <protection/>
    </xf>
    <xf numFmtId="0" fontId="3" fillId="0" borderId="10" xfId="60" applyFont="1" applyFill="1" applyBorder="1" applyAlignment="1">
      <alignment horizontal="center" wrapText="1"/>
      <protection/>
    </xf>
    <xf numFmtId="0" fontId="8" fillId="0" borderId="0" xfId="60" applyFont="1" applyFill="1" applyAlignment="1">
      <alignment/>
      <protection/>
    </xf>
    <xf numFmtId="0" fontId="3" fillId="0" borderId="0" xfId="60" applyFont="1" applyFill="1" applyAlignment="1">
      <alignment/>
      <protection/>
    </xf>
    <xf numFmtId="0" fontId="8" fillId="0" borderId="10" xfId="60" applyFont="1" applyBorder="1">
      <alignment/>
      <protection/>
    </xf>
    <xf numFmtId="0" fontId="10" fillId="0" borderId="10" xfId="60" applyFont="1" applyBorder="1" applyAlignment="1">
      <alignment horizontal="center"/>
      <protection/>
    </xf>
    <xf numFmtId="0" fontId="10" fillId="0" borderId="0" xfId="60" applyFont="1" applyAlignment="1">
      <alignment horizontal="center"/>
      <protection/>
    </xf>
    <xf numFmtId="49" fontId="3" fillId="0" borderId="10" xfId="60" applyNumberFormat="1" applyFont="1" applyFill="1" applyBorder="1" applyAlignment="1">
      <alignment horizontal="right" wrapText="1"/>
      <protection/>
    </xf>
    <xf numFmtId="49" fontId="5" fillId="0" borderId="10" xfId="60" applyNumberFormat="1" applyFont="1" applyFill="1" applyBorder="1" applyAlignment="1">
      <alignment horizontal="right"/>
      <protection/>
    </xf>
    <xf numFmtId="0" fontId="8" fillId="0" borderId="0" xfId="60" applyFont="1" applyAlignment="1">
      <alignment/>
      <protection/>
    </xf>
    <xf numFmtId="0" fontId="5" fillId="0" borderId="0" xfId="60" applyFont="1" applyAlignment="1">
      <alignment/>
      <protection/>
    </xf>
    <xf numFmtId="0" fontId="11" fillId="0" borderId="10" xfId="60" applyFont="1" applyFill="1" applyBorder="1" applyAlignment="1">
      <alignment wrapText="1"/>
      <protection/>
    </xf>
    <xf numFmtId="0" fontId="3" fillId="0" borderId="12" xfId="60" applyFont="1" applyFill="1" applyBorder="1" applyAlignment="1">
      <alignment wrapText="1"/>
      <protection/>
    </xf>
    <xf numFmtId="0" fontId="5" fillId="0" borderId="12" xfId="60" applyFont="1" applyFill="1" applyBorder="1" applyAlignment="1">
      <alignment wrapText="1"/>
      <protection/>
    </xf>
    <xf numFmtId="1" fontId="5" fillId="0" borderId="10" xfId="60" applyNumberFormat="1" applyFont="1" applyFill="1" applyBorder="1" applyAlignment="1">
      <alignment horizontal="right" wrapText="1"/>
      <protection/>
    </xf>
    <xf numFmtId="0" fontId="5" fillId="0" borderId="0" xfId="60" applyFont="1" applyFill="1" applyAlignment="1">
      <alignment/>
      <protection/>
    </xf>
    <xf numFmtId="0" fontId="5" fillId="0" borderId="10" xfId="60" applyFont="1" applyFill="1" applyBorder="1" applyAlignment="1">
      <alignment horizontal="left" wrapText="1"/>
      <protection/>
    </xf>
    <xf numFmtId="0" fontId="5" fillId="0" borderId="10" xfId="60" applyFont="1" applyFill="1" applyBorder="1" applyAlignment="1">
      <alignment vertical="center" wrapText="1"/>
      <protection/>
    </xf>
    <xf numFmtId="3" fontId="5" fillId="0" borderId="10" xfId="60" applyNumberFormat="1" applyFont="1" applyFill="1" applyBorder="1" applyAlignment="1">
      <alignment horizontal="right" vertical="center" wrapText="1"/>
      <protection/>
    </xf>
    <xf numFmtId="0" fontId="5" fillId="0" borderId="10" xfId="60" applyFont="1" applyFill="1" applyBorder="1" applyAlignment="1">
      <alignment vertical="top" wrapText="1"/>
      <protection/>
    </xf>
    <xf numFmtId="0" fontId="8" fillId="0" borderId="0" xfId="60" applyFont="1" applyFill="1">
      <alignment/>
      <protection/>
    </xf>
    <xf numFmtId="0" fontId="5" fillId="0" borderId="0" xfId="60" applyFont="1" applyFill="1">
      <alignment/>
      <protection/>
    </xf>
    <xf numFmtId="49" fontId="3" fillId="0" borderId="0" xfId="60" applyNumberFormat="1" applyFont="1" applyFill="1" applyBorder="1" applyAlignment="1">
      <alignment horizontal="right"/>
      <protection/>
    </xf>
    <xf numFmtId="0" fontId="3" fillId="0" borderId="0" xfId="60" applyFont="1" applyFill="1" applyBorder="1" applyAlignment="1">
      <alignment horizontal="left" wrapText="1"/>
      <protection/>
    </xf>
    <xf numFmtId="3" fontId="3" fillId="0" borderId="0" xfId="60" applyNumberFormat="1" applyFont="1" applyFill="1" applyBorder="1" applyAlignment="1">
      <alignment horizontal="right" wrapText="1"/>
      <protection/>
    </xf>
    <xf numFmtId="1" fontId="3" fillId="0" borderId="0" xfId="60" applyNumberFormat="1" applyFont="1" applyFill="1" applyBorder="1" applyAlignment="1">
      <alignment horizontal="right" wrapText="1"/>
      <protection/>
    </xf>
    <xf numFmtId="0" fontId="3" fillId="0" borderId="0" xfId="60" applyFont="1" applyFill="1" applyBorder="1" applyAlignment="1">
      <alignment wrapText="1"/>
      <protection/>
    </xf>
    <xf numFmtId="41" fontId="3" fillId="0" borderId="10" xfId="60" applyNumberFormat="1" applyFont="1" applyFill="1" applyBorder="1" applyAlignment="1">
      <alignment horizontal="right" wrapText="1"/>
      <protection/>
    </xf>
    <xf numFmtId="41" fontId="3" fillId="0" borderId="10" xfId="60" applyNumberFormat="1" applyFont="1" applyFill="1" applyBorder="1" applyAlignment="1">
      <alignment wrapText="1"/>
      <protection/>
    </xf>
    <xf numFmtId="49" fontId="3" fillId="0" borderId="12" xfId="60" applyNumberFormat="1" applyFont="1" applyFill="1" applyBorder="1" applyAlignment="1">
      <alignment horizontal="right"/>
      <protection/>
    </xf>
    <xf numFmtId="0" fontId="3" fillId="0" borderId="12" xfId="60" applyFont="1" applyFill="1" applyBorder="1" applyAlignment="1">
      <alignment horizontal="left" wrapText="1"/>
      <protection/>
    </xf>
    <xf numFmtId="3" fontId="3" fillId="0" borderId="12" xfId="60" applyNumberFormat="1" applyFont="1" applyFill="1" applyBorder="1" applyAlignment="1">
      <alignment horizontal="right" wrapText="1"/>
      <protection/>
    </xf>
    <xf numFmtId="1" fontId="3" fillId="0" borderId="12" xfId="60" applyNumberFormat="1" applyFont="1" applyFill="1" applyBorder="1" applyAlignment="1">
      <alignment horizontal="right" wrapText="1"/>
      <protection/>
    </xf>
    <xf numFmtId="0" fontId="3" fillId="0" borderId="12" xfId="60" applyFont="1" applyFill="1" applyBorder="1" applyAlignment="1">
      <alignment horizontal="center" wrapText="1"/>
      <protection/>
    </xf>
    <xf numFmtId="0" fontId="12" fillId="0" borderId="0" xfId="60" applyFont="1" applyFill="1">
      <alignment/>
      <protection/>
    </xf>
    <xf numFmtId="0" fontId="3" fillId="0" borderId="10" xfId="60" applyFont="1" applyFill="1" applyBorder="1" applyAlignment="1">
      <alignment horizontal="left"/>
      <protection/>
    </xf>
    <xf numFmtId="0" fontId="3" fillId="0" borderId="13" xfId="60" applyFont="1" applyFill="1" applyBorder="1" applyAlignment="1">
      <alignment horizontal="left" wrapText="1"/>
      <protection/>
    </xf>
    <xf numFmtId="3" fontId="3" fillId="0" borderId="13" xfId="60" applyNumberFormat="1" applyFont="1" applyFill="1" applyBorder="1" applyAlignment="1">
      <alignment horizontal="right" wrapText="1"/>
      <protection/>
    </xf>
    <xf numFmtId="0" fontId="3" fillId="0" borderId="12" xfId="60" applyNumberFormat="1" applyFont="1" applyFill="1" applyBorder="1" applyAlignment="1">
      <alignment horizontal="right" wrapText="1"/>
      <protection/>
    </xf>
    <xf numFmtId="164" fontId="3" fillId="0" borderId="12" xfId="60" applyNumberFormat="1" applyFont="1" applyFill="1" applyBorder="1" applyAlignment="1">
      <alignment horizontal="right" wrapText="1"/>
      <protection/>
    </xf>
    <xf numFmtId="3" fontId="3" fillId="0" borderId="12" xfId="60" applyNumberFormat="1" applyFont="1" applyFill="1" applyBorder="1" applyAlignment="1">
      <alignment wrapText="1"/>
      <protection/>
    </xf>
    <xf numFmtId="0" fontId="5" fillId="0" borderId="0" xfId="60" applyFont="1" applyFill="1" applyBorder="1" applyAlignment="1">
      <alignment wrapText="1"/>
      <protection/>
    </xf>
    <xf numFmtId="3" fontId="3" fillId="0" borderId="10" xfId="60" applyNumberFormat="1" applyFont="1" applyFill="1" applyBorder="1" applyAlignment="1">
      <alignment horizontal="right" vertical="center" wrapText="1"/>
      <protection/>
    </xf>
    <xf numFmtId="0" fontId="3" fillId="0" borderId="10" xfId="60" applyFont="1" applyFill="1" applyBorder="1" applyAlignment="1">
      <alignment horizontal="left" vertical="top" wrapText="1"/>
      <protection/>
    </xf>
    <xf numFmtId="3" fontId="3" fillId="0" borderId="12" xfId="60" applyNumberFormat="1" applyFont="1" applyFill="1" applyBorder="1" applyAlignment="1">
      <alignment horizontal="right" vertical="center" wrapText="1"/>
      <protection/>
    </xf>
    <xf numFmtId="1" fontId="3" fillId="0" borderId="12" xfId="60" applyNumberFormat="1" applyFont="1" applyFill="1" applyBorder="1" applyAlignment="1">
      <alignment horizontal="right" vertical="center" wrapText="1"/>
      <protection/>
    </xf>
    <xf numFmtId="0" fontId="3" fillId="0" borderId="13" xfId="60" applyFont="1" applyFill="1" applyBorder="1" applyAlignment="1">
      <alignment vertical="center" wrapText="1"/>
      <protection/>
    </xf>
    <xf numFmtId="1" fontId="3" fillId="0" borderId="10" xfId="60" applyNumberFormat="1" applyFont="1" applyFill="1" applyBorder="1" applyAlignment="1">
      <alignment wrapText="1"/>
      <protection/>
    </xf>
    <xf numFmtId="164" fontId="3" fillId="0" borderId="10" xfId="60" applyNumberFormat="1" applyFont="1" applyFill="1" applyBorder="1" applyAlignment="1">
      <alignment wrapText="1"/>
      <protection/>
    </xf>
    <xf numFmtId="49" fontId="3" fillId="0" borderId="14" xfId="60" applyNumberFormat="1" applyFont="1" applyFill="1" applyBorder="1" applyAlignment="1">
      <alignment horizontal="right"/>
      <protection/>
    </xf>
    <xf numFmtId="49" fontId="3" fillId="0" borderId="13" xfId="60" applyNumberFormat="1" applyFont="1" applyFill="1" applyBorder="1" applyAlignment="1">
      <alignment horizontal="right"/>
      <protection/>
    </xf>
    <xf numFmtId="3" fontId="3" fillId="0" borderId="15" xfId="60" applyNumberFormat="1" applyFont="1" applyFill="1" applyBorder="1" applyAlignment="1">
      <alignment horizontal="right" wrapText="1"/>
      <protection/>
    </xf>
    <xf numFmtId="0" fontId="3" fillId="0" borderId="10" xfId="60" applyFont="1" applyFill="1" applyBorder="1" applyAlignment="1">
      <alignment horizontal="left" vertical="center" wrapText="1"/>
      <protection/>
    </xf>
    <xf numFmtId="1" fontId="3" fillId="0" borderId="13" xfId="60" applyNumberFormat="1" applyFont="1" applyFill="1" applyBorder="1" applyAlignment="1">
      <alignment horizontal="right" wrapText="1"/>
      <protection/>
    </xf>
    <xf numFmtId="0" fontId="2" fillId="0" borderId="0" xfId="60" applyFill="1" applyAlignment="1">
      <alignment/>
      <protection/>
    </xf>
    <xf numFmtId="0" fontId="12" fillId="0" borderId="0" xfId="60" applyFont="1" applyFill="1" applyAlignment="1">
      <alignment/>
      <protection/>
    </xf>
    <xf numFmtId="49" fontId="3" fillId="0" borderId="10" xfId="60" applyNumberFormat="1" applyFont="1" applyFill="1" applyBorder="1" applyAlignment="1">
      <alignment horizontal="center"/>
      <protection/>
    </xf>
    <xf numFmtId="0" fontId="3" fillId="0" borderId="0" xfId="60" applyFont="1" applyFill="1">
      <alignment/>
      <protection/>
    </xf>
    <xf numFmtId="1" fontId="3" fillId="0" borderId="16" xfId="60" applyNumberFormat="1" applyFont="1" applyFill="1" applyBorder="1" applyAlignment="1">
      <alignment horizontal="right" wrapText="1"/>
      <protection/>
    </xf>
    <xf numFmtId="0" fontId="3" fillId="0" borderId="16" xfId="60" applyFont="1" applyFill="1" applyBorder="1" applyAlignment="1">
      <alignment horizontal="center" wrapText="1"/>
      <protection/>
    </xf>
    <xf numFmtId="49" fontId="2" fillId="0" borderId="0" xfId="60" applyNumberFormat="1" applyAlignment="1">
      <alignment horizontal="right"/>
      <protection/>
    </xf>
    <xf numFmtId="0" fontId="2" fillId="0" borderId="0" xfId="60" applyAlignment="1">
      <alignment horizontal="center"/>
      <protection/>
    </xf>
    <xf numFmtId="49" fontId="2" fillId="0" borderId="0" xfId="60" applyNumberFormat="1" applyFill="1" applyAlignment="1">
      <alignment horizontal="right"/>
      <protection/>
    </xf>
    <xf numFmtId="1" fontId="3" fillId="0" borderId="0" xfId="60" applyNumberFormat="1" applyFont="1">
      <alignment/>
      <protection/>
    </xf>
    <xf numFmtId="0" fontId="3" fillId="0" borderId="10" xfId="60" applyFont="1" applyBorder="1" applyAlignment="1">
      <alignment horizontal="left" wrapText="1"/>
      <protection/>
    </xf>
    <xf numFmtId="0" fontId="3" fillId="0" borderId="10" xfId="60" applyFont="1" applyBorder="1" applyAlignment="1">
      <alignment vertical="center" wrapText="1"/>
      <protection/>
    </xf>
    <xf numFmtId="0" fontId="3" fillId="0" borderId="17" xfId="60" applyFont="1" applyBorder="1" applyAlignment="1">
      <alignment horizontal="left"/>
      <protection/>
    </xf>
    <xf numFmtId="0" fontId="3" fillId="0" borderId="10" xfId="60" applyFont="1" applyFill="1" applyBorder="1" applyAlignment="1">
      <alignment horizontal="right" vertical="center" wrapText="1"/>
      <protection/>
    </xf>
    <xf numFmtId="0" fontId="3" fillId="0" borderId="12" xfId="60" applyFont="1" applyFill="1" applyBorder="1" applyAlignment="1">
      <alignment horizontal="right" wrapText="1"/>
      <protection/>
    </xf>
    <xf numFmtId="3" fontId="3" fillId="0" borderId="15" xfId="60" applyNumberFormat="1" applyFont="1" applyFill="1" applyBorder="1" applyAlignment="1">
      <alignment wrapText="1"/>
      <protection/>
    </xf>
    <xf numFmtId="3" fontId="3" fillId="0" borderId="15" xfId="60" applyNumberFormat="1" applyFont="1" applyBorder="1" applyAlignment="1">
      <alignment wrapText="1"/>
      <protection/>
    </xf>
    <xf numFmtId="3" fontId="3" fillId="0" borderId="15" xfId="60" applyNumberFormat="1" applyFont="1" applyBorder="1" applyAlignment="1">
      <alignment horizontal="right"/>
      <protection/>
    </xf>
    <xf numFmtId="0" fontId="3" fillId="0" borderId="15" xfId="60" applyFont="1" applyBorder="1">
      <alignment/>
      <protection/>
    </xf>
    <xf numFmtId="0" fontId="3" fillId="0" borderId="0" xfId="61" applyFont="1" applyFill="1" applyAlignment="1">
      <alignment horizontal="left"/>
      <protection/>
    </xf>
    <xf numFmtId="0" fontId="3" fillId="0" borderId="0" xfId="61" applyFont="1" applyFill="1" applyAlignment="1">
      <alignment/>
      <protection/>
    </xf>
    <xf numFmtId="0" fontId="3" fillId="0" borderId="0" xfId="61" applyFont="1" applyFill="1">
      <alignment/>
      <protection/>
    </xf>
    <xf numFmtId="0" fontId="3" fillId="0" borderId="10" xfId="61" applyFont="1" applyFill="1" applyBorder="1" applyAlignment="1">
      <alignment horizontal="center" wrapText="1"/>
      <protection/>
    </xf>
    <xf numFmtId="0" fontId="3" fillId="0" borderId="10" xfId="61" applyFont="1" applyFill="1" applyBorder="1" applyAlignment="1">
      <alignment horizontal="center" vertical="center" wrapText="1"/>
      <protection/>
    </xf>
    <xf numFmtId="3" fontId="5" fillId="0" borderId="12" xfId="61" applyNumberFormat="1" applyFont="1" applyFill="1" applyBorder="1" applyAlignment="1">
      <alignment wrapText="1"/>
      <protection/>
    </xf>
    <xf numFmtId="49" fontId="5" fillId="0" borderId="10" xfId="67" applyNumberFormat="1" applyFont="1" applyFill="1" applyBorder="1" applyAlignment="1">
      <alignment horizontal="right" wrapText="1"/>
      <protection/>
    </xf>
    <xf numFmtId="0" fontId="5" fillId="0" borderId="10" xfId="67" applyFont="1" applyFill="1" applyBorder="1" applyAlignment="1">
      <alignment wrapText="1"/>
      <protection/>
    </xf>
    <xf numFmtId="0" fontId="5" fillId="0" borderId="10" xfId="67" applyFont="1" applyFill="1" applyBorder="1" applyAlignment="1">
      <alignment horizontal="right"/>
      <protection/>
    </xf>
    <xf numFmtId="0" fontId="3" fillId="0" borderId="10" xfId="67" applyFont="1" applyFill="1" applyBorder="1" applyAlignment="1">
      <alignment horizontal="right"/>
      <protection/>
    </xf>
    <xf numFmtId="0" fontId="3" fillId="0" borderId="10" xfId="61" applyFont="1" applyFill="1" applyBorder="1" applyAlignment="1">
      <alignment/>
      <protection/>
    </xf>
    <xf numFmtId="0" fontId="8" fillId="0" borderId="0" xfId="61" applyFont="1" applyFill="1" applyAlignment="1">
      <alignment/>
      <protection/>
    </xf>
    <xf numFmtId="49" fontId="3" fillId="0" borderId="10" xfId="67" applyNumberFormat="1" applyFont="1" applyFill="1" applyBorder="1" applyAlignment="1">
      <alignment horizontal="right" wrapText="1"/>
      <protection/>
    </xf>
    <xf numFmtId="0" fontId="3" fillId="0" borderId="10" xfId="67" applyFont="1" applyFill="1" applyBorder="1" applyAlignment="1">
      <alignment vertical="center" wrapText="1"/>
      <protection/>
    </xf>
    <xf numFmtId="0" fontId="3" fillId="0" borderId="13" xfId="61" applyFont="1" applyFill="1" applyBorder="1" applyAlignment="1">
      <alignment horizontal="right" wrapText="1"/>
      <protection/>
    </xf>
    <xf numFmtId="0" fontId="3" fillId="0" borderId="10" xfId="61" applyFont="1" applyFill="1" applyBorder="1" applyAlignment="1">
      <alignment horizontal="right" wrapText="1"/>
      <protection/>
    </xf>
    <xf numFmtId="0" fontId="3" fillId="0" borderId="10" xfId="61" applyFont="1" applyFill="1" applyBorder="1">
      <alignment/>
      <protection/>
    </xf>
    <xf numFmtId="0" fontId="8" fillId="0" borderId="0" xfId="61" applyFont="1" applyFill="1">
      <alignment/>
      <protection/>
    </xf>
    <xf numFmtId="49" fontId="3" fillId="0" borderId="10" xfId="61" applyNumberFormat="1" applyFont="1" applyFill="1" applyBorder="1" applyAlignment="1">
      <alignment horizontal="right"/>
      <protection/>
    </xf>
    <xf numFmtId="0" fontId="3" fillId="0" borderId="10" xfId="61" applyFont="1" applyFill="1" applyBorder="1" applyAlignment="1">
      <alignment wrapText="1"/>
      <protection/>
    </xf>
    <xf numFmtId="0" fontId="3" fillId="0" borderId="12" xfId="61" applyFont="1" applyFill="1" applyBorder="1" applyAlignment="1">
      <alignment horizontal="right" wrapText="1"/>
      <protection/>
    </xf>
    <xf numFmtId="49" fontId="5" fillId="0" borderId="10" xfId="67" applyNumberFormat="1" applyFont="1" applyFill="1" applyBorder="1" applyAlignment="1">
      <alignment horizontal="right" vertical="center" wrapText="1"/>
      <protection/>
    </xf>
    <xf numFmtId="0" fontId="5" fillId="0" borderId="10" xfId="67" applyFont="1" applyFill="1" applyBorder="1" applyAlignment="1">
      <alignment vertical="center" wrapText="1"/>
      <protection/>
    </xf>
    <xf numFmtId="0" fontId="5" fillId="0" borderId="10" xfId="67" applyNumberFormat="1" applyFont="1" applyFill="1" applyBorder="1" applyAlignment="1">
      <alignment horizontal="right"/>
      <protection/>
    </xf>
    <xf numFmtId="0" fontId="3" fillId="0" borderId="10" xfId="61" applyNumberFormat="1" applyFont="1" applyFill="1" applyBorder="1" applyAlignment="1">
      <alignment wrapText="1"/>
      <protection/>
    </xf>
    <xf numFmtId="0" fontId="3" fillId="0" borderId="10" xfId="67" applyFont="1" applyFill="1" applyBorder="1" applyAlignment="1">
      <alignment wrapText="1"/>
      <protection/>
    </xf>
    <xf numFmtId="0" fontId="3" fillId="0" borderId="10" xfId="61" applyFont="1" applyFill="1" applyBorder="1" applyAlignment="1">
      <alignment horizontal="right"/>
      <protection/>
    </xf>
    <xf numFmtId="0" fontId="3" fillId="0" borderId="10" xfId="61" applyNumberFormat="1" applyFont="1" applyFill="1" applyBorder="1" applyAlignment="1">
      <alignment horizontal="right" wrapText="1"/>
      <protection/>
    </xf>
    <xf numFmtId="49" fontId="3" fillId="0" borderId="10" xfId="67" applyNumberFormat="1" applyFont="1" applyFill="1" applyBorder="1" applyAlignment="1">
      <alignment horizontal="right" vertical="center" wrapText="1"/>
      <protection/>
    </xf>
    <xf numFmtId="49" fontId="3" fillId="0" borderId="13" xfId="67" applyNumberFormat="1" applyFont="1" applyFill="1" applyBorder="1" applyAlignment="1">
      <alignment horizontal="right" wrapText="1"/>
      <protection/>
    </xf>
    <xf numFmtId="0" fontId="3" fillId="0" borderId="13" xfId="67" applyFont="1" applyFill="1" applyBorder="1" applyAlignment="1">
      <alignment horizontal="left" wrapText="1"/>
      <protection/>
    </xf>
    <xf numFmtId="0" fontId="5" fillId="0" borderId="10" xfId="61" applyNumberFormat="1" applyFont="1" applyFill="1" applyBorder="1" applyAlignment="1">
      <alignment wrapText="1"/>
      <protection/>
    </xf>
    <xf numFmtId="0" fontId="5" fillId="0" borderId="10" xfId="61" applyFont="1" applyFill="1" applyBorder="1" applyAlignment="1">
      <alignment/>
      <protection/>
    </xf>
    <xf numFmtId="0" fontId="5" fillId="0" borderId="10" xfId="61" applyFont="1" applyFill="1" applyBorder="1" applyAlignment="1">
      <alignment wrapText="1"/>
      <protection/>
    </xf>
    <xf numFmtId="0" fontId="3" fillId="0" borderId="10" xfId="61" applyFont="1" applyFill="1" applyBorder="1" applyAlignment="1">
      <alignment vertical="center" wrapText="1"/>
      <protection/>
    </xf>
    <xf numFmtId="49" fontId="3" fillId="0" borderId="10" xfId="61" applyNumberFormat="1" applyFont="1" applyFill="1" applyBorder="1" applyAlignment="1">
      <alignment horizontal="right" vertical="center"/>
      <protection/>
    </xf>
    <xf numFmtId="0" fontId="3" fillId="0" borderId="10" xfId="67" applyNumberFormat="1" applyFont="1" applyFill="1" applyBorder="1" applyAlignment="1">
      <alignment horizontal="right"/>
      <protection/>
    </xf>
    <xf numFmtId="0" fontId="5" fillId="0" borderId="10" xfId="61" applyFont="1" applyFill="1" applyBorder="1" applyAlignment="1">
      <alignment vertical="center" wrapText="1"/>
      <protection/>
    </xf>
    <xf numFmtId="41" fontId="3" fillId="0" borderId="10" xfId="61" applyNumberFormat="1" applyFont="1" applyFill="1" applyBorder="1">
      <alignment/>
      <protection/>
    </xf>
    <xf numFmtId="41" fontId="5" fillId="0" borderId="10" xfId="61" applyNumberFormat="1" applyFont="1" applyFill="1" applyBorder="1" applyAlignment="1">
      <alignment/>
      <protection/>
    </xf>
    <xf numFmtId="0" fontId="3" fillId="0" borderId="12" xfId="61" applyNumberFormat="1" applyFont="1" applyFill="1" applyBorder="1" applyAlignment="1">
      <alignment wrapText="1"/>
      <protection/>
    </xf>
    <xf numFmtId="0" fontId="3" fillId="0" borderId="12" xfId="61" applyFont="1" applyFill="1" applyBorder="1" applyAlignment="1">
      <alignment/>
      <protection/>
    </xf>
    <xf numFmtId="0" fontId="8" fillId="0" borderId="0" xfId="61" applyFont="1" applyFill="1" applyBorder="1" applyAlignment="1">
      <alignment/>
      <protection/>
    </xf>
    <xf numFmtId="49" fontId="3" fillId="0" borderId="0" xfId="67" applyNumberFormat="1" applyFont="1" applyFill="1" applyBorder="1" applyAlignment="1">
      <alignment horizontal="right" vertical="center" wrapText="1"/>
      <protection/>
    </xf>
    <xf numFmtId="0" fontId="3" fillId="0" borderId="0" xfId="67" applyFont="1" applyFill="1" applyBorder="1" applyAlignment="1">
      <alignment horizontal="left" vertical="center" wrapText="1"/>
      <protection/>
    </xf>
    <xf numFmtId="0" fontId="3" fillId="0" borderId="0" xfId="61" applyNumberFormat="1" applyFont="1" applyFill="1" applyBorder="1" applyAlignment="1">
      <alignment wrapText="1"/>
      <protection/>
    </xf>
    <xf numFmtId="0" fontId="3" fillId="0" borderId="0" xfId="61" applyFont="1" applyFill="1" applyBorder="1" applyAlignment="1">
      <alignment/>
      <protection/>
    </xf>
    <xf numFmtId="0" fontId="3" fillId="0" borderId="10" xfId="67" applyFont="1" applyFill="1" applyBorder="1" applyAlignment="1">
      <alignment horizontal="left" wrapText="1"/>
      <protection/>
    </xf>
    <xf numFmtId="1" fontId="3" fillId="0" borderId="10" xfId="61" applyNumberFormat="1" applyFont="1" applyFill="1" applyBorder="1" applyAlignment="1">
      <alignment/>
      <protection/>
    </xf>
    <xf numFmtId="3" fontId="5" fillId="0" borderId="11" xfId="61" applyNumberFormat="1" applyFont="1" applyFill="1" applyBorder="1">
      <alignment/>
      <protection/>
    </xf>
    <xf numFmtId="0" fontId="3" fillId="0" borderId="0" xfId="61" applyFont="1" applyFill="1" applyAlignment="1">
      <alignment horizontal="right" vertical="center"/>
      <protection/>
    </xf>
    <xf numFmtId="0" fontId="3" fillId="0" borderId="0" xfId="61" applyFont="1" applyFill="1" applyAlignment="1">
      <alignment vertical="center" wrapText="1"/>
      <protection/>
    </xf>
    <xf numFmtId="41" fontId="5" fillId="0" borderId="0" xfId="61" applyNumberFormat="1" applyFont="1" applyFill="1">
      <alignment/>
      <protection/>
    </xf>
    <xf numFmtId="0" fontId="8" fillId="0" borderId="0" xfId="61" applyFont="1" applyFill="1" applyAlignment="1">
      <alignment horizontal="right" vertical="center"/>
      <protection/>
    </xf>
    <xf numFmtId="0" fontId="8" fillId="0" borderId="0" xfId="61" applyFont="1" applyFill="1" applyAlignment="1">
      <alignment vertical="center" wrapText="1"/>
      <protection/>
    </xf>
    <xf numFmtId="0" fontId="3" fillId="0" borderId="14" xfId="60" applyFont="1" applyBorder="1" applyAlignment="1">
      <alignment horizontal="right" wrapText="1"/>
      <protection/>
    </xf>
    <xf numFmtId="0" fontId="3" fillId="0" borderId="15" xfId="60" applyFont="1" applyBorder="1" applyAlignment="1">
      <alignment horizontal="left" wrapText="1"/>
      <protection/>
    </xf>
    <xf numFmtId="3" fontId="5" fillId="0" borderId="12" xfId="60" applyNumberFormat="1" applyFont="1" applyBorder="1" applyAlignment="1">
      <alignment wrapText="1"/>
      <protection/>
    </xf>
    <xf numFmtId="0" fontId="3" fillId="0" borderId="12" xfId="60" applyFont="1" applyBorder="1" applyAlignment="1">
      <alignment wrapText="1"/>
      <protection/>
    </xf>
    <xf numFmtId="3" fontId="3" fillId="0" borderId="10" xfId="60" applyNumberFormat="1" applyFont="1" applyBorder="1" applyAlignment="1">
      <alignment horizontal="right" wrapText="1"/>
      <protection/>
    </xf>
    <xf numFmtId="1" fontId="3" fillId="0" borderId="10" xfId="60" applyNumberFormat="1" applyFont="1" applyBorder="1" applyAlignment="1">
      <alignment horizontal="right" wrapText="1"/>
      <protection/>
    </xf>
    <xf numFmtId="3" fontId="3" fillId="0" borderId="10" xfId="60" applyNumberFormat="1" applyFont="1" applyFill="1" applyBorder="1" applyAlignment="1">
      <alignment horizontal="right"/>
      <protection/>
    </xf>
    <xf numFmtId="1" fontId="3" fillId="0" borderId="0" xfId="60" applyNumberFormat="1" applyFont="1" applyBorder="1" applyAlignment="1">
      <alignment wrapText="1"/>
      <protection/>
    </xf>
    <xf numFmtId="0" fontId="3" fillId="0" borderId="0" xfId="60" applyFont="1" applyBorder="1" applyAlignment="1">
      <alignment horizontal="right" wrapText="1"/>
      <protection/>
    </xf>
    <xf numFmtId="2" fontId="14" fillId="0" borderId="10" xfId="60" applyNumberFormat="1" applyFont="1" applyFill="1" applyBorder="1" applyAlignment="1" applyProtection="1">
      <alignment horizontal="left" wrapText="1"/>
      <protection/>
    </xf>
    <xf numFmtId="0" fontId="15" fillId="0" borderId="10" xfId="60" applyFont="1" applyBorder="1" applyAlignment="1">
      <alignment horizontal="right" wrapText="1"/>
      <protection/>
    </xf>
    <xf numFmtId="2" fontId="16" fillId="0" borderId="10" xfId="60" applyNumberFormat="1" applyFont="1" applyFill="1" applyBorder="1" applyAlignment="1" applyProtection="1">
      <alignment horizontal="right" wrapText="1"/>
      <protection/>
    </xf>
    <xf numFmtId="0" fontId="15" fillId="0" borderId="10" xfId="60" applyFont="1" applyBorder="1" applyAlignment="1">
      <alignment wrapText="1"/>
      <protection/>
    </xf>
    <xf numFmtId="2" fontId="16" fillId="0" borderId="10" xfId="60" applyNumberFormat="1" applyFont="1" applyFill="1" applyBorder="1" applyAlignment="1" applyProtection="1">
      <alignment horizontal="right" vertical="center" wrapText="1"/>
      <protection/>
    </xf>
    <xf numFmtId="2" fontId="14" fillId="0" borderId="0" xfId="60" applyNumberFormat="1" applyFont="1" applyFill="1" applyBorder="1" applyAlignment="1" applyProtection="1">
      <alignment horizontal="left" wrapText="1"/>
      <protection/>
    </xf>
    <xf numFmtId="2" fontId="3" fillId="0" borderId="10" xfId="60" applyNumberFormat="1" applyFont="1" applyFill="1" applyBorder="1" applyAlignment="1">
      <alignment wrapText="1"/>
      <protection/>
    </xf>
    <xf numFmtId="0" fontId="3" fillId="0" borderId="13" xfId="60" applyFont="1" applyBorder="1" applyAlignment="1">
      <alignment horizontal="right" wrapText="1"/>
      <protection/>
    </xf>
    <xf numFmtId="2" fontId="3" fillId="0" borderId="13" xfId="60" applyNumberFormat="1" applyFont="1" applyFill="1" applyBorder="1" applyAlignment="1">
      <alignment horizontal="left" wrapText="1"/>
      <protection/>
    </xf>
    <xf numFmtId="0" fontId="3" fillId="0" borderId="10" xfId="60" applyFont="1" applyBorder="1" applyAlignment="1">
      <alignment horizontal="right"/>
      <protection/>
    </xf>
    <xf numFmtId="2" fontId="3" fillId="0" borderId="10" xfId="60" applyNumberFormat="1" applyFont="1" applyFill="1" applyBorder="1" applyAlignment="1">
      <alignment horizontal="left" wrapText="1"/>
      <protection/>
    </xf>
    <xf numFmtId="2" fontId="3" fillId="0" borderId="13" xfId="60" applyNumberFormat="1" applyFont="1" applyFill="1" applyBorder="1" applyAlignment="1">
      <alignment horizontal="left" vertical="center" wrapText="1"/>
      <protection/>
    </xf>
    <xf numFmtId="2" fontId="3" fillId="0" borderId="10" xfId="60" applyNumberFormat="1" applyFont="1" applyFill="1" applyBorder="1" applyAlignment="1">
      <alignment vertical="center" wrapText="1"/>
      <protection/>
    </xf>
    <xf numFmtId="0" fontId="3" fillId="0" borderId="13" xfId="60" applyFont="1" applyBorder="1" applyAlignment="1">
      <alignment horizontal="right" vertical="center"/>
      <protection/>
    </xf>
    <xf numFmtId="0" fontId="3" fillId="0" borderId="13" xfId="60" applyFont="1" applyBorder="1" applyAlignment="1">
      <alignment horizontal="left" vertical="center"/>
      <protection/>
    </xf>
    <xf numFmtId="2" fontId="3" fillId="0" borderId="0" xfId="60" applyNumberFormat="1" applyFont="1" applyFill="1" applyBorder="1" applyAlignment="1">
      <alignment wrapText="1"/>
      <protection/>
    </xf>
    <xf numFmtId="2" fontId="14" fillId="33" borderId="10" xfId="60" applyNumberFormat="1" applyFont="1" applyFill="1" applyBorder="1" applyAlignment="1" applyProtection="1">
      <alignment horizontal="left" wrapText="1"/>
      <protection/>
    </xf>
    <xf numFmtId="0" fontId="3" fillId="33" borderId="10" xfId="60" applyFont="1" applyFill="1" applyBorder="1" applyAlignment="1">
      <alignment wrapText="1"/>
      <protection/>
    </xf>
    <xf numFmtId="0" fontId="3" fillId="0" borderId="12" xfId="60" applyFont="1" applyBorder="1" applyAlignment="1">
      <alignment horizontal="right" wrapText="1"/>
      <protection/>
    </xf>
    <xf numFmtId="0" fontId="3" fillId="33" borderId="12" xfId="60" applyFont="1" applyFill="1" applyBorder="1" applyAlignment="1">
      <alignment wrapText="1"/>
      <protection/>
    </xf>
    <xf numFmtId="3" fontId="3" fillId="0" borderId="12" xfId="60" applyNumberFormat="1" applyFont="1" applyBorder="1" applyAlignment="1">
      <alignment wrapText="1"/>
      <protection/>
    </xf>
    <xf numFmtId="1" fontId="3" fillId="0" borderId="12" xfId="60" applyNumberFormat="1" applyFont="1" applyBorder="1" applyAlignment="1">
      <alignment wrapText="1"/>
      <protection/>
    </xf>
    <xf numFmtId="0" fontId="3" fillId="0" borderId="0" xfId="60" applyFont="1" applyAlignment="1">
      <alignment horizontal="right"/>
      <protection/>
    </xf>
    <xf numFmtId="0" fontId="8" fillId="0" borderId="10" xfId="60" applyFont="1" applyBorder="1" applyAlignment="1">
      <alignment wrapText="1"/>
      <protection/>
    </xf>
    <xf numFmtId="0" fontId="3" fillId="0" borderId="10" xfId="60" applyFont="1" applyFill="1" applyBorder="1" applyAlignment="1">
      <alignment horizontal="right" wrapText="1"/>
      <protection/>
    </xf>
    <xf numFmtId="0" fontId="5" fillId="0" borderId="10" xfId="60" applyFont="1" applyBorder="1" applyAlignment="1">
      <alignment horizontal="center" wrapText="1"/>
      <protection/>
    </xf>
    <xf numFmtId="0" fontId="8" fillId="0" borderId="10" xfId="60" applyFont="1" applyBorder="1" applyAlignment="1">
      <alignment horizontal="right" wrapText="1"/>
      <protection/>
    </xf>
    <xf numFmtId="0" fontId="8" fillId="0" borderId="10" xfId="60" applyFont="1" applyBorder="1" applyAlignment="1">
      <alignment horizontal="left" vertical="center" wrapText="1"/>
      <protection/>
    </xf>
    <xf numFmtId="0" fontId="19" fillId="0" borderId="10" xfId="55" applyFont="1" applyBorder="1" applyAlignment="1">
      <alignment horizontal="left" wrapText="1"/>
    </xf>
    <xf numFmtId="1" fontId="3" fillId="0" borderId="10" xfId="60" applyNumberFormat="1" applyFont="1" applyBorder="1" applyAlignment="1">
      <alignment horizontal="center" wrapText="1"/>
      <protection/>
    </xf>
    <xf numFmtId="0" fontId="7" fillId="0" borderId="0" xfId="60" applyFont="1">
      <alignment/>
      <protection/>
    </xf>
    <xf numFmtId="3" fontId="3" fillId="0" borderId="10" xfId="60" applyNumberFormat="1" applyFont="1" applyBorder="1" applyAlignment="1">
      <alignment horizontal="center" wrapText="1"/>
      <protection/>
    </xf>
    <xf numFmtId="0" fontId="20" fillId="0" borderId="10" xfId="60" applyFont="1" applyFill="1" applyBorder="1" applyAlignment="1">
      <alignment horizontal="right" wrapText="1"/>
      <protection/>
    </xf>
    <xf numFmtId="0" fontId="20" fillId="0" borderId="10" xfId="60" applyFont="1" applyFill="1" applyBorder="1" applyAlignment="1">
      <alignment wrapText="1"/>
      <protection/>
    </xf>
    <xf numFmtId="3" fontId="5" fillId="0" borderId="10" xfId="60" applyNumberFormat="1" applyFont="1" applyFill="1" applyBorder="1" applyAlignment="1">
      <alignment wrapText="1"/>
      <protection/>
    </xf>
    <xf numFmtId="0" fontId="16" fillId="0" borderId="10" xfId="60" applyFont="1" applyFill="1" applyBorder="1" applyAlignment="1">
      <alignment horizontal="right" wrapText="1"/>
      <protection/>
    </xf>
    <xf numFmtId="49" fontId="16" fillId="0" borderId="10" xfId="60" applyNumberFormat="1" applyFont="1" applyFill="1" applyBorder="1" applyAlignment="1">
      <alignment horizontal="right" wrapText="1"/>
      <protection/>
    </xf>
    <xf numFmtId="0" fontId="16" fillId="0" borderId="10" xfId="60" applyFont="1" applyFill="1" applyBorder="1" applyAlignment="1">
      <alignment horizontal="right" vertical="center" wrapText="1"/>
      <protection/>
    </xf>
    <xf numFmtId="1" fontId="3" fillId="0" borderId="10" xfId="60" applyNumberFormat="1" applyFont="1" applyFill="1" applyBorder="1" applyAlignment="1">
      <alignment horizontal="right"/>
      <protection/>
    </xf>
    <xf numFmtId="3" fontId="3" fillId="0" borderId="10" xfId="60" applyNumberFormat="1" applyFont="1" applyFill="1" applyBorder="1" applyAlignment="1">
      <alignment horizontal="left"/>
      <protection/>
    </xf>
    <xf numFmtId="0" fontId="14" fillId="0" borderId="10" xfId="60" applyFont="1" applyFill="1" applyBorder="1" applyAlignment="1" applyProtection="1">
      <alignment horizontal="left" wrapText="1"/>
      <protection locked="0"/>
    </xf>
    <xf numFmtId="0" fontId="3" fillId="0" borderId="10" xfId="60" applyFont="1" applyFill="1" applyBorder="1" applyAlignment="1">
      <alignment horizontal="right"/>
      <protection/>
    </xf>
    <xf numFmtId="0" fontId="2" fillId="0" borderId="10" xfId="60" applyFill="1" applyBorder="1" applyAlignment="1">
      <alignment/>
      <protection/>
    </xf>
    <xf numFmtId="0" fontId="5" fillId="0" borderId="10" xfId="60" applyFont="1" applyFill="1" applyBorder="1">
      <alignment/>
      <protection/>
    </xf>
    <xf numFmtId="0" fontId="3" fillId="0" borderId="10" xfId="60" applyFont="1" applyFill="1" applyBorder="1">
      <alignment/>
      <protection/>
    </xf>
    <xf numFmtId="0" fontId="14" fillId="0" borderId="10" xfId="60" applyFont="1" applyFill="1" applyBorder="1" applyAlignment="1">
      <alignment horizontal="left" vertical="center" wrapText="1"/>
      <protection/>
    </xf>
    <xf numFmtId="0" fontId="3" fillId="0" borderId="12" xfId="60" applyFont="1" applyFill="1" applyBorder="1" applyAlignment="1">
      <alignment/>
      <protection/>
    </xf>
    <xf numFmtId="3" fontId="3" fillId="0" borderId="12" xfId="60" applyNumberFormat="1" applyFont="1" applyFill="1" applyBorder="1" applyAlignment="1">
      <alignment/>
      <protection/>
    </xf>
    <xf numFmtId="1" fontId="3" fillId="0" borderId="12" xfId="60" applyNumberFormat="1" applyFont="1" applyFill="1" applyBorder="1" applyAlignment="1">
      <alignment horizontal="right"/>
      <protection/>
    </xf>
    <xf numFmtId="0" fontId="14" fillId="0" borderId="10" xfId="60" applyFont="1" applyFill="1" applyBorder="1" applyAlignment="1">
      <alignment wrapText="1"/>
      <protection/>
    </xf>
    <xf numFmtId="3" fontId="3" fillId="0" borderId="10" xfId="60" applyNumberFormat="1" applyFont="1" applyFill="1" applyBorder="1">
      <alignment/>
      <protection/>
    </xf>
    <xf numFmtId="0" fontId="16" fillId="0" borderId="10" xfId="60" applyFont="1" applyFill="1" applyBorder="1" applyAlignment="1" applyProtection="1">
      <alignment horizontal="right" wrapText="1"/>
      <protection locked="0"/>
    </xf>
    <xf numFmtId="0" fontId="20" fillId="0" borderId="10" xfId="60" applyFont="1" applyFill="1" applyBorder="1" applyAlignment="1">
      <alignment horizontal="right"/>
      <protection/>
    </xf>
    <xf numFmtId="0" fontId="20" fillId="0" borderId="10" xfId="60" applyFont="1" applyFill="1" applyBorder="1" applyAlignment="1">
      <alignment/>
      <protection/>
    </xf>
    <xf numFmtId="0" fontId="16" fillId="0" borderId="10" xfId="60" applyFont="1" applyFill="1" applyBorder="1" applyAlignment="1">
      <alignment horizontal="right"/>
      <protection/>
    </xf>
    <xf numFmtId="0" fontId="3" fillId="0" borderId="10" xfId="60" applyFont="1" applyFill="1" applyBorder="1" applyAlignment="1">
      <alignment/>
      <protection/>
    </xf>
    <xf numFmtId="0" fontId="20" fillId="0" borderId="10" xfId="60" applyFont="1" applyFill="1" applyBorder="1" applyAlignment="1">
      <alignment horizontal="left" vertical="center" wrapText="1"/>
      <protection/>
    </xf>
    <xf numFmtId="0" fontId="21" fillId="0" borderId="10" xfId="60" applyFont="1" applyFill="1" applyBorder="1" applyAlignment="1">
      <alignment horizontal="right" vertical="center"/>
      <protection/>
    </xf>
    <xf numFmtId="0" fontId="20" fillId="0" borderId="10" xfId="60" applyFont="1" applyFill="1" applyBorder="1" applyAlignment="1" applyProtection="1">
      <alignment horizontal="left" vertical="center" wrapText="1"/>
      <protection locked="0"/>
    </xf>
    <xf numFmtId="3" fontId="5" fillId="0" borderId="10" xfId="60" applyNumberFormat="1" applyFont="1" applyFill="1" applyBorder="1" applyAlignment="1">
      <alignment/>
      <protection/>
    </xf>
    <xf numFmtId="0" fontId="5" fillId="0" borderId="10" xfId="60" applyFont="1" applyFill="1" applyBorder="1" applyAlignment="1">
      <alignment/>
      <protection/>
    </xf>
    <xf numFmtId="1" fontId="5" fillId="0" borderId="10" xfId="60" applyNumberFormat="1" applyFont="1" applyFill="1" applyBorder="1" applyAlignment="1">
      <alignment horizontal="right"/>
      <protection/>
    </xf>
    <xf numFmtId="0" fontId="3" fillId="0" borderId="0" xfId="60" applyFont="1" applyFill="1" applyAlignment="1">
      <alignment horizontal="left"/>
      <protection/>
    </xf>
    <xf numFmtId="0" fontId="3" fillId="0" borderId="10" xfId="60" applyFont="1" applyFill="1" applyBorder="1" applyAlignment="1">
      <alignment horizontal="center" vertical="center" wrapText="1"/>
      <protection/>
    </xf>
    <xf numFmtId="1" fontId="5" fillId="0" borderId="10" xfId="60" applyNumberFormat="1" applyFont="1" applyFill="1" applyBorder="1" applyAlignment="1">
      <alignment wrapText="1"/>
      <protection/>
    </xf>
    <xf numFmtId="0" fontId="5" fillId="0" borderId="10" xfId="60" applyFont="1" applyFill="1" applyBorder="1" applyAlignment="1">
      <alignment horizontal="right"/>
      <protection/>
    </xf>
    <xf numFmtId="0" fontId="5" fillId="0" borderId="10" xfId="60" applyFont="1" applyFill="1" applyBorder="1" applyAlignment="1">
      <alignment horizontal="right" wrapText="1"/>
      <protection/>
    </xf>
    <xf numFmtId="0" fontId="3" fillId="0" borderId="12" xfId="60" applyFont="1" applyFill="1" applyBorder="1" applyAlignment="1">
      <alignment horizontal="right"/>
      <protection/>
    </xf>
    <xf numFmtId="0" fontId="3" fillId="0" borderId="12" xfId="60" applyFont="1" applyFill="1" applyBorder="1" applyAlignment="1">
      <alignment horizontal="left"/>
      <protection/>
    </xf>
    <xf numFmtId="44" fontId="3" fillId="0" borderId="10" xfId="48" applyFont="1" applyFill="1" applyBorder="1" applyAlignment="1">
      <alignment horizontal="left" wrapText="1"/>
    </xf>
    <xf numFmtId="44" fontId="3" fillId="0" borderId="10" xfId="48" applyFont="1" applyFill="1" applyBorder="1" applyAlignment="1">
      <alignment wrapText="1"/>
    </xf>
    <xf numFmtId="2" fontId="3" fillId="0" borderId="10" xfId="60" applyNumberFormat="1" applyFont="1" applyFill="1" applyBorder="1" applyAlignment="1">
      <alignment horizontal="right" wrapText="1"/>
      <protection/>
    </xf>
    <xf numFmtId="0" fontId="22" fillId="0" borderId="12" xfId="60" applyFont="1" applyFill="1" applyBorder="1" applyAlignment="1">
      <alignment horizontal="left" wrapText="1"/>
      <protection/>
    </xf>
    <xf numFmtId="0" fontId="5" fillId="0" borderId="10" xfId="60" applyFont="1" applyFill="1" applyBorder="1" applyAlignment="1">
      <alignment horizontal="right" vertical="center" wrapText="1"/>
      <protection/>
    </xf>
    <xf numFmtId="0" fontId="5" fillId="0" borderId="10" xfId="60" applyFont="1" applyFill="1" applyBorder="1" applyAlignment="1">
      <alignment horizontal="left" vertical="center" wrapText="1"/>
      <protection/>
    </xf>
    <xf numFmtId="10" fontId="23" fillId="0" borderId="10" xfId="74" applyNumberFormat="1" applyFont="1" applyFill="1" applyBorder="1" applyAlignment="1">
      <alignment horizontal="left" vertical="center"/>
    </xf>
    <xf numFmtId="3" fontId="5" fillId="0" borderId="11" xfId="60" applyNumberFormat="1" applyFont="1" applyFill="1" applyBorder="1">
      <alignment/>
      <protection/>
    </xf>
    <xf numFmtId="0" fontId="2" fillId="0" borderId="0" xfId="60" applyFill="1" applyAlignment="1">
      <alignment horizontal="right"/>
      <protection/>
    </xf>
    <xf numFmtId="0" fontId="2" fillId="0" borderId="0" xfId="60" applyFill="1" applyAlignment="1">
      <alignment horizontal="left"/>
      <protection/>
    </xf>
    <xf numFmtId="2" fontId="3" fillId="0" borderId="10" xfId="60" applyNumberFormat="1" applyFont="1" applyFill="1" applyBorder="1" applyAlignment="1">
      <alignment horizontal="right" vertical="center" wrapText="1"/>
      <protection/>
    </xf>
    <xf numFmtId="165" fontId="3" fillId="0" borderId="10" xfId="60" applyNumberFormat="1" applyFont="1" applyFill="1" applyBorder="1" applyAlignment="1">
      <alignment horizontal="right" wrapText="1"/>
      <protection/>
    </xf>
    <xf numFmtId="3" fontId="73" fillId="0" borderId="10" xfId="60" applyNumberFormat="1" applyFont="1" applyFill="1" applyBorder="1" applyAlignment="1">
      <alignment wrapText="1"/>
      <protection/>
    </xf>
    <xf numFmtId="3" fontId="3" fillId="0" borderId="0" xfId="60" applyNumberFormat="1" applyFont="1" applyFill="1" applyBorder="1" applyAlignment="1">
      <alignment wrapText="1"/>
      <protection/>
    </xf>
    <xf numFmtId="3" fontId="3" fillId="0" borderId="10" xfId="60" applyNumberFormat="1" applyFont="1" applyFill="1" applyBorder="1" applyAlignment="1">
      <alignment horizontal="center" wrapText="1"/>
      <protection/>
    </xf>
    <xf numFmtId="0" fontId="3" fillId="0" borderId="18" xfId="60" applyFont="1" applyFill="1" applyBorder="1" applyAlignment="1">
      <alignment/>
      <protection/>
    </xf>
    <xf numFmtId="0" fontId="3" fillId="0" borderId="18" xfId="60" applyFont="1" applyFill="1" applyBorder="1" applyAlignment="1">
      <alignment wrapText="1"/>
      <protection/>
    </xf>
    <xf numFmtId="3" fontId="3" fillId="0" borderId="18" xfId="60" applyNumberFormat="1" applyFont="1" applyFill="1" applyBorder="1" applyAlignment="1">
      <alignment wrapText="1"/>
      <protection/>
    </xf>
    <xf numFmtId="1" fontId="3" fillId="0" borderId="18" xfId="60" applyNumberFormat="1" applyFont="1" applyFill="1" applyBorder="1" applyAlignment="1">
      <alignment horizontal="right" wrapText="1"/>
      <protection/>
    </xf>
    <xf numFmtId="0" fontId="3" fillId="0" borderId="0" xfId="64" applyFont="1">
      <alignment/>
      <protection/>
    </xf>
    <xf numFmtId="0" fontId="3" fillId="0" borderId="0" xfId="64" applyFont="1" applyAlignment="1">
      <alignment/>
      <protection/>
    </xf>
    <xf numFmtId="0" fontId="2" fillId="0" borderId="0" xfId="64">
      <alignment/>
      <protection/>
    </xf>
    <xf numFmtId="0" fontId="8" fillId="0" borderId="0" xfId="68" applyFont="1">
      <alignment/>
      <protection/>
    </xf>
    <xf numFmtId="0" fontId="8" fillId="0" borderId="10" xfId="68" applyFont="1" applyBorder="1" applyAlignment="1">
      <alignment horizontal="center" vertical="center" wrapText="1"/>
      <protection/>
    </xf>
    <xf numFmtId="3" fontId="7" fillId="0" borderId="12" xfId="68" applyNumberFormat="1" applyFont="1" applyBorder="1" applyAlignment="1">
      <alignment wrapText="1"/>
      <protection/>
    </xf>
    <xf numFmtId="0" fontId="8" fillId="0" borderId="14" xfId="68" applyFont="1" applyBorder="1" applyAlignment="1">
      <alignment horizontal="center" vertical="center" wrapText="1"/>
      <protection/>
    </xf>
    <xf numFmtId="0" fontId="8" fillId="0" borderId="10" xfId="60" applyFont="1" applyFill="1" applyBorder="1" applyAlignment="1">
      <alignment vertical="center" wrapText="1"/>
      <protection/>
    </xf>
    <xf numFmtId="0" fontId="8" fillId="0" borderId="10" xfId="60" applyFont="1" applyFill="1" applyBorder="1" applyAlignment="1">
      <alignment horizontal="center" vertical="center"/>
      <protection/>
    </xf>
    <xf numFmtId="0" fontId="8" fillId="0" borderId="10" xfId="68" applyFont="1" applyBorder="1" applyAlignment="1">
      <alignment wrapText="1"/>
      <protection/>
    </xf>
    <xf numFmtId="0" fontId="8" fillId="0" borderId="13" xfId="68" applyFont="1" applyBorder="1" applyAlignment="1">
      <alignment wrapText="1"/>
      <protection/>
    </xf>
    <xf numFmtId="3" fontId="8" fillId="0" borderId="13" xfId="68" applyNumberFormat="1" applyFont="1" applyFill="1" applyBorder="1" applyAlignment="1">
      <alignment wrapText="1"/>
      <protection/>
    </xf>
    <xf numFmtId="3" fontId="8" fillId="0" borderId="13" xfId="68" applyNumberFormat="1" applyFont="1" applyBorder="1" applyAlignment="1">
      <alignment wrapText="1"/>
      <protection/>
    </xf>
    <xf numFmtId="3" fontId="8" fillId="0" borderId="10" xfId="68" applyNumberFormat="1" applyFont="1" applyFill="1" applyBorder="1" applyAlignment="1">
      <alignment wrapText="1"/>
      <protection/>
    </xf>
    <xf numFmtId="3" fontId="8" fillId="0" borderId="10" xfId="68" applyNumberFormat="1" applyFont="1" applyBorder="1" applyAlignment="1">
      <alignment wrapText="1"/>
      <protection/>
    </xf>
    <xf numFmtId="0" fontId="8" fillId="0" borderId="0" xfId="68" applyFont="1" applyBorder="1" applyAlignment="1">
      <alignment wrapText="1"/>
      <protection/>
    </xf>
    <xf numFmtId="0" fontId="8" fillId="0" borderId="17" xfId="68" applyFont="1" applyBorder="1" applyAlignment="1">
      <alignment horizontal="left"/>
      <protection/>
    </xf>
    <xf numFmtId="0" fontId="8" fillId="0" borderId="10" xfId="60" applyFont="1" applyFill="1" applyBorder="1" applyAlignment="1">
      <alignment vertical="center"/>
      <protection/>
    </xf>
    <xf numFmtId="0" fontId="8" fillId="0" borderId="10" xfId="60" applyFont="1" applyFill="1" applyBorder="1" applyAlignment="1">
      <alignment horizontal="left" vertical="center" wrapText="1"/>
      <protection/>
    </xf>
    <xf numFmtId="0" fontId="7" fillId="0" borderId="14" xfId="68" applyFont="1" applyBorder="1" applyAlignment="1">
      <alignment horizontal="right" wrapText="1"/>
      <protection/>
    </xf>
    <xf numFmtId="0" fontId="7" fillId="0" borderId="19" xfId="68" applyFont="1" applyBorder="1" applyAlignment="1">
      <alignment horizontal="right" wrapText="1"/>
      <protection/>
    </xf>
    <xf numFmtId="3" fontId="7" fillId="0" borderId="13" xfId="68" applyNumberFormat="1" applyFont="1" applyBorder="1" applyAlignment="1">
      <alignment wrapText="1"/>
      <protection/>
    </xf>
    <xf numFmtId="0" fontId="7" fillId="0" borderId="0" xfId="68" applyFont="1" applyBorder="1" applyAlignment="1">
      <alignment horizontal="right" wrapText="1"/>
      <protection/>
    </xf>
    <xf numFmtId="3" fontId="7" fillId="0" borderId="0" xfId="68" applyNumberFormat="1" applyFont="1" applyBorder="1" applyAlignment="1">
      <alignment wrapText="1"/>
      <protection/>
    </xf>
    <xf numFmtId="0" fontId="8" fillId="0" borderId="10" xfId="60" applyFont="1" applyBorder="1" applyAlignment="1">
      <alignment vertical="center" wrapText="1"/>
      <protection/>
    </xf>
    <xf numFmtId="0" fontId="8" fillId="0" borderId="12" xfId="60" applyFont="1" applyBorder="1" applyAlignment="1">
      <alignment vertical="center" wrapText="1"/>
      <protection/>
    </xf>
    <xf numFmtId="0" fontId="8" fillId="0" borderId="12" xfId="60" applyFont="1" applyFill="1" applyBorder="1" applyAlignment="1">
      <alignment horizontal="center" vertical="center"/>
      <protection/>
    </xf>
    <xf numFmtId="0" fontId="8" fillId="0" borderId="12" xfId="60" applyFont="1" applyBorder="1" applyAlignment="1">
      <alignment wrapText="1"/>
      <protection/>
    </xf>
    <xf numFmtId="0" fontId="8" fillId="0" borderId="10" xfId="60"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0" fontId="8" fillId="0" borderId="10" xfId="60" applyFont="1" applyBorder="1" applyAlignment="1">
      <alignment horizontal="left" wrapText="1"/>
      <protection/>
    </xf>
    <xf numFmtId="0" fontId="8" fillId="0" borderId="12" xfId="68" applyFont="1" applyBorder="1" applyAlignment="1">
      <alignment wrapText="1"/>
      <protection/>
    </xf>
    <xf numFmtId="3" fontId="8" fillId="0" borderId="0" xfId="68" applyNumberFormat="1" applyFont="1">
      <alignment/>
      <protection/>
    </xf>
    <xf numFmtId="3" fontId="7" fillId="0" borderId="11" xfId="68" applyNumberFormat="1" applyFont="1" applyBorder="1">
      <alignment/>
      <protection/>
    </xf>
    <xf numFmtId="0" fontId="3" fillId="0" borderId="0" xfId="68" applyFont="1">
      <alignment/>
      <protection/>
    </xf>
    <xf numFmtId="0" fontId="3" fillId="0" borderId="0" xfId="68" applyFont="1" applyAlignment="1">
      <alignment/>
      <protection/>
    </xf>
    <xf numFmtId="0" fontId="3" fillId="0" borderId="10" xfId="68" applyFont="1" applyBorder="1" applyAlignment="1">
      <alignment horizontal="center" vertical="center" wrapText="1"/>
      <protection/>
    </xf>
    <xf numFmtId="3" fontId="5" fillId="0" borderId="12" xfId="68" applyNumberFormat="1" applyFont="1" applyBorder="1" applyAlignment="1">
      <alignment wrapText="1"/>
      <protection/>
    </xf>
    <xf numFmtId="0" fontId="3" fillId="0" borderId="14" xfId="68" applyFont="1" applyBorder="1" applyAlignment="1">
      <alignment horizontal="center" vertical="center" wrapText="1"/>
      <protection/>
    </xf>
    <xf numFmtId="0" fontId="3" fillId="0" borderId="10" xfId="68" applyFont="1" applyBorder="1" applyAlignment="1">
      <alignment horizontal="center" wrapText="1"/>
      <protection/>
    </xf>
    <xf numFmtId="0" fontId="3" fillId="0" borderId="13" xfId="68" applyFont="1" applyBorder="1" applyAlignment="1">
      <alignment wrapText="1"/>
      <protection/>
    </xf>
    <xf numFmtId="3" fontId="3" fillId="0" borderId="13" xfId="68" applyNumberFormat="1" applyFont="1" applyFill="1" applyBorder="1" applyAlignment="1">
      <alignment wrapText="1"/>
      <protection/>
    </xf>
    <xf numFmtId="3" fontId="3" fillId="0" borderId="13" xfId="68" applyNumberFormat="1" applyFont="1" applyBorder="1" applyAlignment="1">
      <alignment wrapText="1"/>
      <protection/>
    </xf>
    <xf numFmtId="0" fontId="3" fillId="0" borderId="10" xfId="68" applyFont="1" applyBorder="1" applyAlignment="1">
      <alignment wrapText="1"/>
      <protection/>
    </xf>
    <xf numFmtId="3" fontId="3" fillId="0" borderId="10" xfId="68" applyNumberFormat="1" applyFont="1" applyFill="1" applyBorder="1" applyAlignment="1">
      <alignment wrapText="1"/>
      <protection/>
    </xf>
    <xf numFmtId="3" fontId="3" fillId="0" borderId="10" xfId="68" applyNumberFormat="1" applyFont="1" applyBorder="1" applyAlignment="1">
      <alignment wrapText="1"/>
      <protection/>
    </xf>
    <xf numFmtId="0" fontId="3" fillId="0" borderId="20" xfId="68" applyFont="1" applyBorder="1" applyAlignment="1">
      <alignment horizontal="center" vertical="center" wrapText="1"/>
      <protection/>
    </xf>
    <xf numFmtId="0" fontId="3" fillId="0" borderId="20" xfId="60" applyFont="1" applyFill="1" applyBorder="1" applyAlignment="1">
      <alignment horizontal="left" vertical="center" wrapText="1"/>
      <protection/>
    </xf>
    <xf numFmtId="0" fontId="3" fillId="0" borderId="20" xfId="60" applyFont="1" applyBorder="1" applyAlignment="1">
      <alignment horizontal="right" wrapText="1"/>
      <protection/>
    </xf>
    <xf numFmtId="0" fontId="3" fillId="0" borderId="20" xfId="60" applyFont="1" applyBorder="1" applyAlignment="1">
      <alignment wrapText="1"/>
      <protection/>
    </xf>
    <xf numFmtId="0" fontId="3" fillId="0" borderId="10" xfId="60" applyFont="1" applyBorder="1" applyAlignment="1">
      <alignment horizontal="left" vertical="center" wrapText="1"/>
      <protection/>
    </xf>
    <xf numFmtId="0" fontId="25" fillId="0" borderId="10" xfId="60" applyFont="1" applyBorder="1" applyAlignment="1">
      <alignment wrapText="1"/>
      <protection/>
    </xf>
    <xf numFmtId="3" fontId="3" fillId="0" borderId="0" xfId="68" applyNumberFormat="1" applyFont="1">
      <alignment/>
      <protection/>
    </xf>
    <xf numFmtId="3" fontId="5" fillId="0" borderId="11" xfId="68" applyNumberFormat="1" applyFont="1" applyBorder="1">
      <alignment/>
      <protection/>
    </xf>
    <xf numFmtId="0" fontId="3" fillId="0" borderId="10" xfId="60" applyFont="1" applyBorder="1" applyAlignment="1">
      <alignment horizontal="right" vertical="center" wrapText="1"/>
      <protection/>
    </xf>
    <xf numFmtId="0" fontId="3" fillId="0" borderId="10" xfId="60" applyFont="1" applyFill="1" applyBorder="1" applyAlignment="1">
      <alignment horizontal="right" vertical="center"/>
      <protection/>
    </xf>
    <xf numFmtId="0" fontId="3" fillId="0" borderId="17" xfId="68" applyFont="1" applyBorder="1" applyAlignment="1">
      <alignment horizontal="left"/>
      <protection/>
    </xf>
    <xf numFmtId="0" fontId="8" fillId="0" borderId="0" xfId="64" applyFont="1">
      <alignment/>
      <protection/>
    </xf>
    <xf numFmtId="0" fontId="2" fillId="0" borderId="0" xfId="64" applyAlignment="1">
      <alignment vertical="center" wrapText="1"/>
      <protection/>
    </xf>
    <xf numFmtId="0" fontId="19" fillId="0" borderId="10" xfId="60" applyFont="1" applyBorder="1" applyAlignment="1">
      <alignment horizontal="right" vertical="center" wrapText="1"/>
      <protection/>
    </xf>
    <xf numFmtId="0" fontId="8" fillId="33" borderId="10" xfId="60" applyFont="1" applyFill="1" applyBorder="1" applyAlignment="1">
      <alignment horizontal="center" vertical="center"/>
      <protection/>
    </xf>
    <xf numFmtId="0" fontId="8" fillId="33" borderId="10" xfId="60" applyFont="1" applyFill="1" applyBorder="1" applyAlignment="1">
      <alignment horizontal="center" vertical="center" wrapText="1"/>
      <protection/>
    </xf>
    <xf numFmtId="0" fontId="3" fillId="0" borderId="12" xfId="60" applyFont="1" applyFill="1" applyBorder="1">
      <alignment/>
      <protection/>
    </xf>
    <xf numFmtId="3" fontId="3" fillId="0" borderId="12" xfId="60" applyNumberFormat="1" applyFont="1" applyFill="1" applyBorder="1">
      <alignment/>
      <protection/>
    </xf>
    <xf numFmtId="1" fontId="3" fillId="0" borderId="13" xfId="60" applyNumberFormat="1" applyFont="1" applyBorder="1" applyAlignment="1">
      <alignment vertical="center" wrapText="1"/>
      <protection/>
    </xf>
    <xf numFmtId="49" fontId="3" fillId="0" borderId="0" xfId="60" applyNumberFormat="1" applyFont="1" applyFill="1" applyBorder="1" applyAlignment="1">
      <alignment horizontal="right" vertical="center"/>
      <protection/>
    </xf>
    <xf numFmtId="0" fontId="3" fillId="0" borderId="0" xfId="60" applyFont="1" applyFill="1" applyBorder="1" applyAlignment="1">
      <alignment horizontal="left" vertical="center" wrapText="1"/>
      <protection/>
    </xf>
    <xf numFmtId="3" fontId="3" fillId="0" borderId="0" xfId="60" applyNumberFormat="1" applyFont="1" applyFill="1" applyBorder="1" applyAlignment="1">
      <alignment horizontal="right" vertical="center" wrapText="1"/>
      <protection/>
    </xf>
    <xf numFmtId="1" fontId="3" fillId="0" borderId="0" xfId="60" applyNumberFormat="1" applyFont="1" applyFill="1" applyBorder="1" applyAlignment="1">
      <alignment horizontal="right" vertical="center" wrapText="1"/>
      <protection/>
    </xf>
    <xf numFmtId="0" fontId="3" fillId="0" borderId="0" xfId="60" applyFont="1" applyFill="1" applyBorder="1" applyAlignment="1">
      <alignment horizontal="center" vertical="center" wrapText="1"/>
      <protection/>
    </xf>
    <xf numFmtId="0" fontId="3" fillId="0" borderId="0" xfId="60" applyFont="1" applyFill="1" applyBorder="1" applyAlignment="1">
      <alignment vertical="center" wrapText="1"/>
      <protection/>
    </xf>
    <xf numFmtId="3" fontId="3" fillId="33" borderId="10" xfId="60" applyNumberFormat="1" applyFont="1" applyFill="1" applyBorder="1" applyAlignment="1">
      <alignment horizontal="right" wrapText="1"/>
      <protection/>
    </xf>
    <xf numFmtId="0" fontId="3" fillId="33" borderId="10" xfId="0" applyFont="1" applyFill="1" applyBorder="1" applyAlignment="1">
      <alignment horizontal="left" wrapText="1"/>
    </xf>
    <xf numFmtId="49" fontId="5" fillId="0" borderId="10" xfId="60" applyNumberFormat="1" applyFont="1" applyFill="1" applyBorder="1" applyAlignment="1">
      <alignment horizontal="right" vertical="center"/>
      <protection/>
    </xf>
    <xf numFmtId="0" fontId="3" fillId="0" borderId="13" xfId="60" applyFont="1" applyFill="1" applyBorder="1" applyAlignment="1">
      <alignment horizontal="left" vertical="center" wrapText="1"/>
      <protection/>
    </xf>
    <xf numFmtId="2" fontId="3" fillId="0" borderId="13" xfId="60" applyNumberFormat="1" applyFont="1" applyFill="1" applyBorder="1" applyAlignment="1">
      <alignment horizontal="right" vertical="center" wrapText="1"/>
      <protection/>
    </xf>
    <xf numFmtId="3" fontId="3" fillId="33" borderId="0" xfId="60" applyNumberFormat="1" applyFont="1" applyFill="1" applyBorder="1" applyAlignment="1">
      <alignment horizontal="right" vertical="center" wrapText="1"/>
      <protection/>
    </xf>
    <xf numFmtId="3" fontId="3" fillId="33" borderId="10" xfId="60" applyNumberFormat="1" applyFont="1" applyFill="1" applyBorder="1" applyAlignment="1">
      <alignment wrapText="1"/>
      <protection/>
    </xf>
    <xf numFmtId="3" fontId="3" fillId="33" borderId="12" xfId="60" applyNumberFormat="1" applyFont="1" applyFill="1" applyBorder="1" applyAlignment="1">
      <alignment horizontal="right" wrapText="1"/>
      <protection/>
    </xf>
    <xf numFmtId="0" fontId="3" fillId="33" borderId="10" xfId="60" applyFont="1" applyFill="1" applyBorder="1" applyAlignment="1">
      <alignment horizontal="right" wrapText="1"/>
      <protection/>
    </xf>
    <xf numFmtId="0" fontId="4" fillId="0" borderId="0" xfId="64" applyFont="1" applyAlignment="1">
      <alignment/>
      <protection/>
    </xf>
    <xf numFmtId="0" fontId="3" fillId="0" borderId="10" xfId="64" applyFont="1" applyBorder="1" applyAlignment="1">
      <alignment horizontal="center" wrapText="1"/>
      <protection/>
    </xf>
    <xf numFmtId="0" fontId="3" fillId="0" borderId="0" xfId="64" applyFont="1" applyFill="1">
      <alignment/>
      <protection/>
    </xf>
    <xf numFmtId="3" fontId="5" fillId="0" borderId="10" xfId="64" applyNumberFormat="1" applyFont="1" applyBorder="1" applyAlignment="1">
      <alignment wrapText="1"/>
      <protection/>
    </xf>
    <xf numFmtId="3" fontId="5" fillId="34" borderId="10" xfId="64" applyNumberFormat="1" applyFont="1" applyFill="1" applyBorder="1" applyAlignment="1">
      <alignment wrapText="1"/>
      <protection/>
    </xf>
    <xf numFmtId="0" fontId="3" fillId="34" borderId="0" xfId="64" applyFont="1" applyFill="1">
      <alignment/>
      <protection/>
    </xf>
    <xf numFmtId="3" fontId="3" fillId="34" borderId="10" xfId="64" applyNumberFormat="1" applyFont="1" applyFill="1" applyBorder="1" applyAlignment="1">
      <alignment wrapText="1"/>
      <protection/>
    </xf>
    <xf numFmtId="3" fontId="8" fillId="34" borderId="10" xfId="64" applyNumberFormat="1" applyFont="1" applyFill="1" applyBorder="1" applyAlignment="1">
      <alignment vertical="top"/>
      <protection/>
    </xf>
    <xf numFmtId="3" fontId="3" fillId="34" borderId="10" xfId="64" applyNumberFormat="1" applyFont="1" applyFill="1" applyBorder="1">
      <alignment/>
      <protection/>
    </xf>
    <xf numFmtId="0" fontId="5" fillId="0" borderId="0" xfId="64" applyFont="1">
      <alignment/>
      <protection/>
    </xf>
    <xf numFmtId="2" fontId="3" fillId="0" borderId="0" xfId="64" applyNumberFormat="1" applyFont="1" applyFill="1">
      <alignment/>
      <protection/>
    </xf>
    <xf numFmtId="0" fontId="3" fillId="34" borderId="10" xfId="64" applyFont="1" applyFill="1" applyBorder="1" applyAlignment="1">
      <alignment horizontal="center" vertical="top" wrapText="1"/>
      <protection/>
    </xf>
    <xf numFmtId="3" fontId="3" fillId="0" borderId="10" xfId="64" applyNumberFormat="1" applyFont="1" applyBorder="1">
      <alignment/>
      <protection/>
    </xf>
    <xf numFmtId="2" fontId="3" fillId="0" borderId="0" xfId="64" applyNumberFormat="1" applyFont="1" applyFill="1" applyBorder="1">
      <alignment/>
      <protection/>
    </xf>
    <xf numFmtId="0" fontId="3" fillId="0" borderId="0" xfId="64" applyFont="1" applyFill="1" applyBorder="1">
      <alignment/>
      <protection/>
    </xf>
    <xf numFmtId="2" fontId="5" fillId="0" borderId="0" xfId="64" applyNumberFormat="1" applyFont="1" applyFill="1">
      <alignment/>
      <protection/>
    </xf>
    <xf numFmtId="3" fontId="3" fillId="0" borderId="10" xfId="64" applyNumberFormat="1" applyFont="1" applyBorder="1" applyAlignment="1">
      <alignment wrapText="1"/>
      <protection/>
    </xf>
    <xf numFmtId="3" fontId="8" fillId="0" borderId="10" xfId="64" applyNumberFormat="1" applyFont="1" applyBorder="1" applyAlignment="1">
      <alignment vertical="top"/>
      <protection/>
    </xf>
    <xf numFmtId="2" fontId="5" fillId="0" borderId="0" xfId="64" applyNumberFormat="1" applyFont="1" applyFill="1" applyBorder="1">
      <alignment/>
      <protection/>
    </xf>
    <xf numFmtId="3" fontId="7" fillId="34" borderId="10" xfId="64" applyNumberFormat="1" applyFont="1" applyFill="1" applyBorder="1" applyAlignment="1">
      <alignment/>
      <protection/>
    </xf>
    <xf numFmtId="2" fontId="3" fillId="0" borderId="0" xfId="64" applyNumberFormat="1" applyFont="1">
      <alignment/>
      <protection/>
    </xf>
    <xf numFmtId="3" fontId="3" fillId="0" borderId="10" xfId="64" applyNumberFormat="1" applyFont="1" applyFill="1" applyBorder="1" applyAlignment="1">
      <alignment wrapText="1"/>
      <protection/>
    </xf>
    <xf numFmtId="3" fontId="3" fillId="0" borderId="10" xfId="64" applyNumberFormat="1" applyFont="1" applyFill="1" applyBorder="1">
      <alignment/>
      <protection/>
    </xf>
    <xf numFmtId="0" fontId="3" fillId="0" borderId="10" xfId="64" applyFont="1" applyBorder="1" applyAlignment="1">
      <alignment horizontal="center"/>
      <protection/>
    </xf>
    <xf numFmtId="0" fontId="3" fillId="0" borderId="10" xfId="64" applyFont="1" applyBorder="1">
      <alignment/>
      <protection/>
    </xf>
    <xf numFmtId="0" fontId="8" fillId="34" borderId="10" xfId="64" applyFont="1" applyFill="1" applyBorder="1" applyAlignment="1">
      <alignment vertical="top" wrapText="1"/>
      <protection/>
    </xf>
    <xf numFmtId="3" fontId="5" fillId="34" borderId="10" xfId="64" applyNumberFormat="1" applyFont="1" applyFill="1" applyBorder="1" applyAlignment="1">
      <alignment/>
      <protection/>
    </xf>
    <xf numFmtId="0" fontId="5" fillId="0" borderId="0" xfId="64" applyFont="1" applyFill="1">
      <alignment/>
      <protection/>
    </xf>
    <xf numFmtId="0" fontId="8" fillId="34" borderId="10" xfId="64" applyFont="1" applyFill="1" applyBorder="1" applyAlignment="1" quotePrefix="1">
      <alignment vertical="top" wrapText="1"/>
      <protection/>
    </xf>
    <xf numFmtId="0" fontId="3" fillId="34" borderId="10" xfId="64" applyFont="1" applyFill="1" applyBorder="1" applyAlignment="1">
      <alignment horizontal="center" wrapText="1"/>
      <protection/>
    </xf>
    <xf numFmtId="3" fontId="5" fillId="34" borderId="10" xfId="64" applyNumberFormat="1" applyFont="1" applyFill="1" applyBorder="1" applyAlignment="1">
      <alignment vertical="top"/>
      <protection/>
    </xf>
    <xf numFmtId="0" fontId="3" fillId="34" borderId="10" xfId="64" applyFont="1" applyFill="1" applyBorder="1" applyAlignment="1">
      <alignment horizontal="center" vertical="top"/>
      <protection/>
    </xf>
    <xf numFmtId="3" fontId="5" fillId="34" borderId="10" xfId="64" applyNumberFormat="1" applyFont="1" applyFill="1" applyBorder="1">
      <alignment/>
      <protection/>
    </xf>
    <xf numFmtId="0" fontId="3" fillId="34" borderId="10" xfId="64" applyFont="1" applyFill="1" applyBorder="1" applyAlignment="1">
      <alignment vertical="top"/>
      <protection/>
    </xf>
    <xf numFmtId="0" fontId="3" fillId="34" borderId="10" xfId="64" applyFont="1" applyFill="1" applyBorder="1" applyAlignment="1">
      <alignment wrapText="1"/>
      <protection/>
    </xf>
    <xf numFmtId="0" fontId="3" fillId="34" borderId="10" xfId="64" applyFont="1" applyFill="1" applyBorder="1" applyAlignment="1">
      <alignment vertical="top" wrapText="1"/>
      <protection/>
    </xf>
    <xf numFmtId="3" fontId="8" fillId="34" borderId="10" xfId="64" applyNumberFormat="1" applyFont="1" applyFill="1" applyBorder="1" applyAlignment="1">
      <alignment/>
      <protection/>
    </xf>
    <xf numFmtId="0" fontId="3" fillId="0" borderId="10" xfId="64" applyFont="1" applyBorder="1" applyAlignment="1">
      <alignment vertical="top" wrapText="1"/>
      <protection/>
    </xf>
    <xf numFmtId="0" fontId="3" fillId="0" borderId="10" xfId="64" applyFont="1" applyBorder="1" applyAlignment="1">
      <alignment wrapText="1"/>
      <protection/>
    </xf>
    <xf numFmtId="0" fontId="3" fillId="0" borderId="0" xfId="64" applyFont="1" applyBorder="1">
      <alignment/>
      <protection/>
    </xf>
    <xf numFmtId="3" fontId="5" fillId="0" borderId="10" xfId="64" applyNumberFormat="1" applyFont="1" applyBorder="1">
      <alignment/>
      <protection/>
    </xf>
    <xf numFmtId="3" fontId="3" fillId="0" borderId="0" xfId="64" applyNumberFormat="1" applyFont="1">
      <alignment/>
      <protection/>
    </xf>
    <xf numFmtId="0" fontId="28" fillId="0" borderId="0" xfId="64" applyFont="1">
      <alignment/>
      <protection/>
    </xf>
    <xf numFmtId="0" fontId="8" fillId="0" borderId="0" xfId="64" applyFont="1" applyAlignment="1">
      <alignment/>
      <protection/>
    </xf>
    <xf numFmtId="0" fontId="4" fillId="0" borderId="0" xfId="64" applyFont="1">
      <alignment/>
      <protection/>
    </xf>
    <xf numFmtId="0" fontId="31" fillId="0" borderId="0" xfId="64" applyFont="1">
      <alignment/>
      <protection/>
    </xf>
    <xf numFmtId="0" fontId="8" fillId="0" borderId="21" xfId="64" applyFont="1" applyBorder="1" applyAlignment="1">
      <alignment horizontal="center" wrapText="1"/>
      <protection/>
    </xf>
    <xf numFmtId="0" fontId="7" fillId="0" borderId="13" xfId="64" applyFont="1" applyBorder="1" applyAlignment="1">
      <alignment wrapText="1"/>
      <protection/>
    </xf>
    <xf numFmtId="0" fontId="7" fillId="0" borderId="0" xfId="64" applyFont="1">
      <alignment/>
      <protection/>
    </xf>
    <xf numFmtId="0" fontId="8" fillId="0" borderId="10" xfId="64" applyFont="1" applyBorder="1" applyAlignment="1">
      <alignment wrapText="1"/>
      <protection/>
    </xf>
    <xf numFmtId="0" fontId="8" fillId="0" borderId="10" xfId="64" applyFont="1" applyBorder="1">
      <alignment/>
      <protection/>
    </xf>
    <xf numFmtId="0" fontId="7" fillId="0" borderId="10" xfId="64" applyFont="1" applyBorder="1" applyAlignment="1">
      <alignment wrapText="1"/>
      <protection/>
    </xf>
    <xf numFmtId="0" fontId="8" fillId="0" borderId="10" xfId="64" applyFont="1" applyBorder="1" applyAlignment="1">
      <alignment horizontal="left" wrapText="1"/>
      <protection/>
    </xf>
    <xf numFmtId="0" fontId="8" fillId="0" borderId="10" xfId="64" applyFont="1" applyBorder="1" applyAlignment="1">
      <alignment vertical="top" wrapText="1"/>
      <protection/>
    </xf>
    <xf numFmtId="0" fontId="7" fillId="0" borderId="10" xfId="64" applyFont="1" applyBorder="1" applyAlignment="1">
      <alignment vertical="top" wrapText="1"/>
      <protection/>
    </xf>
    <xf numFmtId="0" fontId="27" fillId="0" borderId="10" xfId="64" applyFont="1" applyBorder="1" applyAlignment="1">
      <alignment horizontal="right" wrapText="1"/>
      <protection/>
    </xf>
    <xf numFmtId="0" fontId="7" fillId="0" borderId="10" xfId="64" applyFont="1" applyBorder="1" applyAlignment="1">
      <alignment horizontal="right" wrapText="1"/>
      <protection/>
    </xf>
    <xf numFmtId="0" fontId="8" fillId="0" borderId="13" xfId="64" applyFont="1" applyBorder="1" applyAlignment="1">
      <alignment wrapText="1"/>
      <protection/>
    </xf>
    <xf numFmtId="0" fontId="7" fillId="0" borderId="10" xfId="64" applyFont="1" applyBorder="1" applyAlignment="1">
      <alignment horizontal="left" wrapText="1"/>
      <protection/>
    </xf>
    <xf numFmtId="0" fontId="8" fillId="0" borderId="10" xfId="64" applyFont="1" applyBorder="1" applyAlignment="1">
      <alignment horizontal="right" wrapText="1"/>
      <protection/>
    </xf>
    <xf numFmtId="3" fontId="8" fillId="0" borderId="0" xfId="64" applyNumberFormat="1" applyFont="1">
      <alignment/>
      <protection/>
    </xf>
    <xf numFmtId="3" fontId="7" fillId="0" borderId="13" xfId="64" applyNumberFormat="1" applyFont="1" applyBorder="1" applyAlignment="1">
      <alignment vertical="center" wrapText="1"/>
      <protection/>
    </xf>
    <xf numFmtId="3" fontId="8" fillId="0" borderId="13" xfId="64" applyNumberFormat="1" applyFont="1" applyBorder="1" applyAlignment="1">
      <alignment vertical="center" wrapText="1"/>
      <protection/>
    </xf>
    <xf numFmtId="3" fontId="8" fillId="0" borderId="13" xfId="64" applyNumberFormat="1" applyFont="1" applyBorder="1" applyAlignment="1">
      <alignment vertical="center"/>
      <protection/>
    </xf>
    <xf numFmtId="3" fontId="8" fillId="0" borderId="10" xfId="64" applyNumberFormat="1" applyFont="1" applyBorder="1" applyAlignment="1">
      <alignment vertical="center" wrapText="1"/>
      <protection/>
    </xf>
    <xf numFmtId="3" fontId="8" fillId="0" borderId="10" xfId="64" applyNumberFormat="1" applyFont="1" applyBorder="1" applyAlignment="1">
      <alignment vertical="center"/>
      <protection/>
    </xf>
    <xf numFmtId="3" fontId="7" fillId="0" borderId="10" xfId="64" applyNumberFormat="1" applyFont="1" applyBorder="1" applyAlignment="1">
      <alignment vertical="center" wrapText="1"/>
      <protection/>
    </xf>
    <xf numFmtId="3" fontId="8" fillId="0" borderId="10" xfId="64" applyNumberFormat="1" applyFont="1" applyBorder="1" applyAlignment="1">
      <alignment wrapText="1"/>
      <protection/>
    </xf>
    <xf numFmtId="3" fontId="7" fillId="0" borderId="10" xfId="64" applyNumberFormat="1" applyFont="1" applyBorder="1" applyAlignment="1">
      <alignment wrapText="1"/>
      <protection/>
    </xf>
    <xf numFmtId="3" fontId="8" fillId="0" borderId="10" xfId="64" applyNumberFormat="1" applyFont="1" applyBorder="1">
      <alignment/>
      <protection/>
    </xf>
    <xf numFmtId="3" fontId="7" fillId="0" borderId="10" xfId="64" applyNumberFormat="1" applyFont="1" applyBorder="1">
      <alignment/>
      <protection/>
    </xf>
    <xf numFmtId="3" fontId="7" fillId="0" borderId="13" xfId="64" applyNumberFormat="1" applyFont="1" applyBorder="1" applyAlignment="1">
      <alignment wrapText="1"/>
      <protection/>
    </xf>
    <xf numFmtId="3" fontId="10" fillId="0" borderId="10" xfId="64" applyNumberFormat="1" applyFont="1" applyBorder="1">
      <alignment/>
      <protection/>
    </xf>
    <xf numFmtId="1" fontId="8" fillId="0" borderId="10" xfId="64" applyNumberFormat="1" applyFont="1" applyBorder="1" applyAlignment="1">
      <alignment wrapText="1"/>
      <protection/>
    </xf>
    <xf numFmtId="1" fontId="7" fillId="0" borderId="10" xfId="64" applyNumberFormat="1" applyFont="1" applyBorder="1" applyAlignment="1">
      <alignment wrapText="1"/>
      <protection/>
    </xf>
    <xf numFmtId="1" fontId="8" fillId="0" borderId="0" xfId="64" applyNumberFormat="1" applyFont="1">
      <alignment/>
      <protection/>
    </xf>
    <xf numFmtId="1" fontId="3" fillId="0" borderId="10" xfId="64" applyNumberFormat="1" applyFont="1" applyFill="1" applyBorder="1" applyAlignment="1">
      <alignment wrapText="1"/>
      <protection/>
    </xf>
    <xf numFmtId="1" fontId="5" fillId="0" borderId="10" xfId="64" applyNumberFormat="1" applyFont="1" applyFill="1" applyBorder="1" applyAlignment="1">
      <alignment wrapText="1"/>
      <protection/>
    </xf>
    <xf numFmtId="1" fontId="8" fillId="0" borderId="10" xfId="64" applyNumberFormat="1" applyFont="1" applyFill="1" applyBorder="1" applyAlignment="1">
      <alignment vertical="top"/>
      <protection/>
    </xf>
    <xf numFmtId="1" fontId="3" fillId="0" borderId="10" xfId="64" applyNumberFormat="1" applyFont="1" applyFill="1" applyBorder="1">
      <alignment/>
      <protection/>
    </xf>
    <xf numFmtId="1" fontId="7" fillId="0" borderId="10" xfId="64" applyNumberFormat="1" applyFont="1" applyFill="1" applyBorder="1" applyAlignment="1">
      <alignment/>
      <protection/>
    </xf>
    <xf numFmtId="1" fontId="5" fillId="0" borderId="10" xfId="64" applyNumberFormat="1" applyFont="1" applyFill="1" applyBorder="1">
      <alignment/>
      <protection/>
    </xf>
    <xf numFmtId="0" fontId="5" fillId="35" borderId="10" xfId="64" applyFont="1" applyFill="1" applyBorder="1" applyAlignment="1">
      <alignment horizontal="right" wrapText="1"/>
      <protection/>
    </xf>
    <xf numFmtId="0" fontId="5" fillId="35" borderId="10" xfId="64" applyFont="1" applyFill="1" applyBorder="1" applyAlignment="1">
      <alignment horizontal="left" wrapText="1"/>
      <protection/>
    </xf>
    <xf numFmtId="3" fontId="5" fillId="35" borderId="10" xfId="64" applyNumberFormat="1" applyFont="1" applyFill="1" applyBorder="1" applyAlignment="1">
      <alignment wrapText="1"/>
      <protection/>
    </xf>
    <xf numFmtId="0" fontId="3" fillId="35" borderId="10" xfId="64" applyFont="1" applyFill="1" applyBorder="1" applyAlignment="1">
      <alignment wrapText="1"/>
      <protection/>
    </xf>
    <xf numFmtId="0" fontId="7" fillId="35" borderId="10" xfId="64" applyFont="1" applyFill="1" applyBorder="1" applyAlignment="1">
      <alignment horizontal="left" vertical="top" wrapText="1"/>
      <protection/>
    </xf>
    <xf numFmtId="1" fontId="5" fillId="35" borderId="10" xfId="64" applyNumberFormat="1" applyFont="1" applyFill="1" applyBorder="1" applyAlignment="1">
      <alignment wrapText="1"/>
      <protection/>
    </xf>
    <xf numFmtId="0" fontId="7" fillId="35" borderId="10" xfId="64" applyFont="1" applyFill="1" applyBorder="1" applyAlignment="1">
      <alignment vertical="top" wrapText="1"/>
      <protection/>
    </xf>
    <xf numFmtId="0" fontId="7" fillId="35" borderId="10" xfId="64" applyFont="1" applyFill="1" applyBorder="1" applyAlignment="1">
      <alignment horizontal="left" vertical="center"/>
      <protection/>
    </xf>
    <xf numFmtId="3" fontId="7" fillId="35" borderId="10" xfId="64" applyNumberFormat="1" applyFont="1" applyFill="1" applyBorder="1" applyAlignment="1">
      <alignment vertical="top"/>
      <protection/>
    </xf>
    <xf numFmtId="1" fontId="7" fillId="35" borderId="10" xfId="64" applyNumberFormat="1" applyFont="1" applyFill="1" applyBorder="1" applyAlignment="1">
      <alignment vertical="top"/>
      <protection/>
    </xf>
    <xf numFmtId="0" fontId="11" fillId="35" borderId="10" xfId="64" applyFont="1" applyFill="1" applyBorder="1" applyAlignment="1">
      <alignment wrapText="1"/>
      <protection/>
    </xf>
    <xf numFmtId="0" fontId="5" fillId="35" borderId="10" xfId="64" applyFont="1" applyFill="1" applyBorder="1" applyAlignment="1">
      <alignment vertical="top" wrapText="1"/>
      <protection/>
    </xf>
    <xf numFmtId="0" fontId="5" fillId="35" borderId="10" xfId="64" applyFont="1" applyFill="1" applyBorder="1" applyAlignment="1">
      <alignment wrapText="1"/>
      <protection/>
    </xf>
    <xf numFmtId="0" fontId="2" fillId="0" borderId="10" xfId="60" applyFont="1" applyBorder="1" applyAlignment="1">
      <alignment horizontal="center"/>
      <protection/>
    </xf>
    <xf numFmtId="49" fontId="3" fillId="0" borderId="13" xfId="67" applyNumberFormat="1" applyFont="1" applyFill="1" applyBorder="1" applyAlignment="1">
      <alignment horizontal="right" vertical="center" wrapText="1"/>
      <protection/>
    </xf>
    <xf numFmtId="0" fontId="3" fillId="0" borderId="12" xfId="61" applyFont="1" applyFill="1" applyBorder="1" applyAlignment="1">
      <alignment vertical="center" wrapText="1"/>
      <protection/>
    </xf>
    <xf numFmtId="3" fontId="5" fillId="33" borderId="10" xfId="64" applyNumberFormat="1" applyFont="1" applyFill="1" applyBorder="1" applyAlignment="1">
      <alignment wrapText="1"/>
      <protection/>
    </xf>
    <xf numFmtId="1" fontId="5" fillId="33" borderId="10" xfId="64" applyNumberFormat="1" applyFont="1" applyFill="1" applyBorder="1" applyAlignment="1">
      <alignment wrapText="1"/>
      <protection/>
    </xf>
    <xf numFmtId="3" fontId="5" fillId="33" borderId="10" xfId="64" applyNumberFormat="1" applyFont="1" applyFill="1" applyBorder="1">
      <alignment/>
      <protection/>
    </xf>
    <xf numFmtId="3" fontId="3" fillId="33" borderId="10" xfId="64" applyNumberFormat="1" applyFont="1" applyFill="1" applyBorder="1" applyAlignment="1">
      <alignment wrapText="1"/>
      <protection/>
    </xf>
    <xf numFmtId="3" fontId="3" fillId="33" borderId="10" xfId="64" applyNumberFormat="1" applyFont="1" applyFill="1" applyBorder="1">
      <alignment/>
      <protection/>
    </xf>
    <xf numFmtId="1" fontId="3" fillId="33" borderId="10" xfId="64" applyNumberFormat="1" applyFont="1" applyFill="1" applyBorder="1" applyAlignment="1">
      <alignment wrapText="1"/>
      <protection/>
    </xf>
    <xf numFmtId="1" fontId="3" fillId="33" borderId="12" xfId="60" applyNumberFormat="1" applyFont="1" applyFill="1" applyBorder="1" applyAlignment="1">
      <alignment horizontal="right" wrapText="1"/>
      <protection/>
    </xf>
    <xf numFmtId="0" fontId="8" fillId="0" borderId="0" xfId="65" applyFont="1" applyFill="1">
      <alignment/>
      <protection/>
    </xf>
    <xf numFmtId="0" fontId="8" fillId="0" borderId="0" xfId="65" applyFont="1" applyFill="1" applyAlignment="1">
      <alignment horizontal="right"/>
      <protection/>
    </xf>
    <xf numFmtId="0" fontId="2" fillId="0" borderId="0" xfId="65">
      <alignment/>
      <protection/>
    </xf>
    <xf numFmtId="0" fontId="10" fillId="0" borderId="0" xfId="65" applyFont="1" applyFill="1" applyAlignment="1">
      <alignment horizontal="center"/>
      <protection/>
    </xf>
    <xf numFmtId="0" fontId="10" fillId="0" borderId="0" xfId="65" applyFont="1" applyFill="1" applyAlignment="1">
      <alignment horizontal="right"/>
      <protection/>
    </xf>
    <xf numFmtId="0" fontId="7" fillId="0" borderId="0" xfId="65" applyFont="1" applyFill="1" applyAlignment="1">
      <alignment horizontal="center"/>
      <protection/>
    </xf>
    <xf numFmtId="0" fontId="28" fillId="0" borderId="0" xfId="65" applyFont="1" applyFill="1">
      <alignment/>
      <protection/>
    </xf>
    <xf numFmtId="0" fontId="28" fillId="0" borderId="0" xfId="65" applyFont="1" applyFill="1" applyBorder="1">
      <alignment/>
      <protection/>
    </xf>
    <xf numFmtId="0" fontId="15" fillId="0" borderId="22" xfId="65" applyFont="1" applyFill="1" applyBorder="1" applyAlignment="1">
      <alignment horizontal="center" vertical="center"/>
      <protection/>
    </xf>
    <xf numFmtId="0" fontId="15" fillId="0" borderId="10" xfId="65" applyFont="1" applyFill="1" applyBorder="1" applyAlignment="1">
      <alignment horizontal="center" vertical="center"/>
      <protection/>
    </xf>
    <xf numFmtId="0" fontId="15" fillId="0" borderId="23" xfId="65" applyFont="1" applyFill="1" applyBorder="1" applyAlignment="1">
      <alignment horizontal="center" vertical="center"/>
      <protection/>
    </xf>
    <xf numFmtId="0" fontId="8" fillId="0" borderId="22" xfId="65" applyFont="1" applyFill="1" applyBorder="1" applyAlignment="1">
      <alignment vertical="center"/>
      <protection/>
    </xf>
    <xf numFmtId="0" fontId="8" fillId="0" borderId="10" xfId="65" applyFont="1" applyFill="1" applyBorder="1" applyAlignment="1">
      <alignment vertical="center" wrapText="1"/>
      <protection/>
    </xf>
    <xf numFmtId="3" fontId="7" fillId="0" borderId="10" xfId="65" applyNumberFormat="1" applyFont="1" applyFill="1" applyBorder="1" applyAlignment="1">
      <alignment horizontal="right" vertical="center"/>
      <protection/>
    </xf>
    <xf numFmtId="0" fontId="8" fillId="0" borderId="10" xfId="65" applyFont="1" applyFill="1" applyBorder="1" applyAlignment="1">
      <alignment vertical="center"/>
      <protection/>
    </xf>
    <xf numFmtId="0" fontId="8" fillId="0" borderId="23" xfId="65" applyFont="1" applyFill="1" applyBorder="1" applyAlignment="1">
      <alignment vertical="center"/>
      <protection/>
    </xf>
    <xf numFmtId="0" fontId="30" fillId="36" borderId="22" xfId="65" applyFont="1" applyFill="1" applyBorder="1" applyAlignment="1">
      <alignment vertical="center"/>
      <protection/>
    </xf>
    <xf numFmtId="0" fontId="7" fillId="36" borderId="10" xfId="65" applyFont="1" applyFill="1" applyBorder="1" applyAlignment="1">
      <alignment vertical="center"/>
      <protection/>
    </xf>
    <xf numFmtId="3" fontId="7" fillId="36" borderId="10" xfId="65" applyNumberFormat="1" applyFont="1" applyFill="1" applyBorder="1" applyAlignment="1">
      <alignment vertical="center"/>
      <protection/>
    </xf>
    <xf numFmtId="2" fontId="7" fillId="36" borderId="10" xfId="65" applyNumberFormat="1" applyFont="1" applyFill="1" applyBorder="1" applyAlignment="1">
      <alignment horizontal="right" vertical="center"/>
      <protection/>
    </xf>
    <xf numFmtId="2" fontId="7" fillId="36" borderId="23" xfId="65" applyNumberFormat="1" applyFont="1" applyFill="1" applyBorder="1" applyAlignment="1">
      <alignment horizontal="right" vertical="center"/>
      <protection/>
    </xf>
    <xf numFmtId="0" fontId="30" fillId="0" borderId="22" xfId="65" applyFont="1" applyFill="1" applyBorder="1" applyAlignment="1">
      <alignment vertical="center"/>
      <protection/>
    </xf>
    <xf numFmtId="0" fontId="7" fillId="0" borderId="10" xfId="65" applyFont="1" applyFill="1" applyBorder="1" applyAlignment="1">
      <alignment vertical="center"/>
      <protection/>
    </xf>
    <xf numFmtId="3" fontId="7" fillId="0" borderId="10" xfId="65" applyNumberFormat="1" applyFont="1" applyFill="1" applyBorder="1" applyAlignment="1">
      <alignment vertical="center"/>
      <protection/>
    </xf>
    <xf numFmtId="2" fontId="7" fillId="0" borderId="10" xfId="65" applyNumberFormat="1" applyFont="1" applyFill="1" applyBorder="1" applyAlignment="1">
      <alignment horizontal="right" vertical="center"/>
      <protection/>
    </xf>
    <xf numFmtId="2" fontId="7" fillId="0" borderId="23" xfId="65" applyNumberFormat="1" applyFont="1" applyFill="1" applyBorder="1" applyAlignment="1">
      <alignment horizontal="right" vertical="center"/>
      <protection/>
    </xf>
    <xf numFmtId="0" fontId="7" fillId="36" borderId="22" xfId="65" applyFont="1" applyFill="1" applyBorder="1" applyAlignment="1">
      <alignment vertical="center"/>
      <protection/>
    </xf>
    <xf numFmtId="166" fontId="7" fillId="36" borderId="10" xfId="65" applyNumberFormat="1" applyFont="1" applyFill="1" applyBorder="1" applyAlignment="1">
      <alignment horizontal="right" vertical="center"/>
      <protection/>
    </xf>
    <xf numFmtId="166" fontId="7" fillId="36" borderId="23" xfId="65" applyNumberFormat="1" applyFont="1" applyFill="1" applyBorder="1" applyAlignment="1">
      <alignment horizontal="right" vertical="center"/>
      <protection/>
    </xf>
    <xf numFmtId="0" fontId="7" fillId="0" borderId="22" xfId="65" applyFont="1" applyFill="1" applyBorder="1" applyAlignment="1">
      <alignment horizontal="left" vertical="center"/>
      <protection/>
    </xf>
    <xf numFmtId="166" fontId="7" fillId="0" borderId="10" xfId="65" applyNumberFormat="1" applyFont="1" applyFill="1" applyBorder="1" applyAlignment="1">
      <alignment vertical="center"/>
      <protection/>
    </xf>
    <xf numFmtId="166" fontId="7" fillId="0" borderId="23" xfId="65" applyNumberFormat="1" applyFont="1" applyFill="1" applyBorder="1" applyAlignment="1">
      <alignment vertical="center"/>
      <protection/>
    </xf>
    <xf numFmtId="0" fontId="7" fillId="0" borderId="22" xfId="65" applyFont="1" applyFill="1" applyBorder="1" applyAlignment="1">
      <alignment horizontal="right" vertical="center"/>
      <protection/>
    </xf>
    <xf numFmtId="0" fontId="8" fillId="0" borderId="0" xfId="65" applyFont="1">
      <alignment/>
      <protection/>
    </xf>
    <xf numFmtId="0" fontId="8" fillId="0" borderId="22" xfId="65" applyFont="1" applyFill="1" applyBorder="1" applyAlignment="1">
      <alignment horizontal="right" vertical="center"/>
      <protection/>
    </xf>
    <xf numFmtId="3" fontId="8" fillId="0" borderId="10" xfId="65" applyNumberFormat="1" applyFont="1" applyFill="1" applyBorder="1" applyAlignment="1">
      <alignment horizontal="right" vertical="center"/>
      <protection/>
    </xf>
    <xf numFmtId="166" fontId="8" fillId="0" borderId="10" xfId="65" applyNumberFormat="1" applyFont="1" applyFill="1" applyBorder="1" applyAlignment="1">
      <alignment vertical="center"/>
      <protection/>
    </xf>
    <xf numFmtId="166" fontId="8" fillId="0" borderId="23" xfId="65" applyNumberFormat="1" applyFont="1" applyFill="1" applyBorder="1" applyAlignment="1">
      <alignment vertical="center"/>
      <protection/>
    </xf>
    <xf numFmtId="166" fontId="7" fillId="0" borderId="10" xfId="65" applyNumberFormat="1" applyFont="1" applyFill="1" applyBorder="1" applyAlignment="1">
      <alignment horizontal="right" vertical="center"/>
      <protection/>
    </xf>
    <xf numFmtId="166" fontId="7" fillId="0" borderId="23" xfId="65" applyNumberFormat="1" applyFont="1" applyFill="1" applyBorder="1" applyAlignment="1">
      <alignment horizontal="right" vertical="center"/>
      <protection/>
    </xf>
    <xf numFmtId="0" fontId="8" fillId="0" borderId="10" xfId="66" applyFont="1" applyFill="1" applyBorder="1" applyAlignment="1">
      <alignment vertical="center" wrapText="1"/>
      <protection/>
    </xf>
    <xf numFmtId="0" fontId="7" fillId="0" borderId="10" xfId="65" applyFont="1" applyFill="1" applyBorder="1" applyAlignment="1">
      <alignment vertical="center" wrapText="1"/>
      <protection/>
    </xf>
    <xf numFmtId="2" fontId="8" fillId="0" borderId="10" xfId="65" applyNumberFormat="1" applyFont="1" applyFill="1" applyBorder="1" applyAlignment="1">
      <alignment vertical="center" wrapText="1"/>
      <protection/>
    </xf>
    <xf numFmtId="3" fontId="7" fillId="36" borderId="10" xfId="65" applyNumberFormat="1" applyFont="1" applyFill="1" applyBorder="1" applyAlignment="1">
      <alignment horizontal="right" vertical="center"/>
      <protection/>
    </xf>
    <xf numFmtId="1" fontId="7" fillId="36" borderId="10" xfId="65" applyNumberFormat="1" applyFont="1" applyFill="1" applyBorder="1" applyAlignment="1">
      <alignment horizontal="right" vertical="center"/>
      <protection/>
    </xf>
    <xf numFmtId="3" fontId="8" fillId="0" borderId="10" xfId="65" applyNumberFormat="1" applyFont="1" applyFill="1" applyBorder="1" applyAlignment="1">
      <alignment vertical="center"/>
      <protection/>
    </xf>
    <xf numFmtId="0" fontId="8" fillId="0" borderId="10" xfId="65" applyFont="1" applyFill="1" applyBorder="1" applyAlignment="1" applyProtection="1">
      <alignment horizontal="left" vertical="center" wrapText="1"/>
      <protection/>
    </xf>
    <xf numFmtId="167" fontId="7" fillId="0" borderId="10" xfId="65" applyNumberFormat="1" applyFont="1" applyFill="1" applyBorder="1" applyAlignment="1">
      <alignment vertical="center"/>
      <protection/>
    </xf>
    <xf numFmtId="167" fontId="7" fillId="0" borderId="23" xfId="65" applyNumberFormat="1" applyFont="1" applyFill="1" applyBorder="1" applyAlignment="1">
      <alignment vertical="center"/>
      <protection/>
    </xf>
    <xf numFmtId="0" fontId="8" fillId="0" borderId="24" xfId="65" applyFont="1" applyFill="1" applyBorder="1">
      <alignment/>
      <protection/>
    </xf>
    <xf numFmtId="0" fontId="8" fillId="0" borderId="18" xfId="65" applyFont="1" applyFill="1" applyBorder="1">
      <alignment/>
      <protection/>
    </xf>
    <xf numFmtId="0" fontId="35" fillId="0" borderId="18" xfId="65" applyFont="1" applyFill="1" applyBorder="1">
      <alignment/>
      <protection/>
    </xf>
    <xf numFmtId="0" fontId="8" fillId="0" borderId="25" xfId="65" applyFont="1" applyFill="1" applyBorder="1">
      <alignment/>
      <protection/>
    </xf>
    <xf numFmtId="0" fontId="8" fillId="0" borderId="0" xfId="65" applyFont="1" applyAlignment="1">
      <alignment horizontal="right"/>
      <protection/>
    </xf>
    <xf numFmtId="0" fontId="3" fillId="0" borderId="0" xfId="65" applyFont="1" applyAlignment="1">
      <alignment horizontal="right"/>
      <protection/>
    </xf>
    <xf numFmtId="0" fontId="3" fillId="0" borderId="0" xfId="65" applyFont="1">
      <alignment/>
      <protection/>
    </xf>
    <xf numFmtId="2" fontId="14" fillId="33" borderId="0" xfId="60" applyNumberFormat="1" applyFont="1" applyFill="1" applyBorder="1" applyAlignment="1" applyProtection="1">
      <alignment horizontal="left" wrapText="1"/>
      <protection/>
    </xf>
    <xf numFmtId="2" fontId="3" fillId="33" borderId="10" xfId="60" applyNumberFormat="1" applyFont="1" applyFill="1" applyBorder="1" applyAlignment="1">
      <alignment wrapText="1"/>
      <protection/>
    </xf>
    <xf numFmtId="0" fontId="3" fillId="0" borderId="13" xfId="60" applyFont="1" applyBorder="1" applyAlignment="1">
      <alignment horizontal="right" vertical="center" wrapText="1"/>
      <protection/>
    </xf>
    <xf numFmtId="0" fontId="3" fillId="0" borderId="13" xfId="60" applyFont="1" applyBorder="1" applyAlignment="1">
      <alignment horizontal="left" vertical="center" wrapText="1"/>
      <protection/>
    </xf>
    <xf numFmtId="41" fontId="3" fillId="0" borderId="10" xfId="60" applyNumberFormat="1" applyFont="1" applyFill="1" applyBorder="1" applyAlignment="1">
      <alignment horizontal="center" wrapText="1"/>
      <protection/>
    </xf>
    <xf numFmtId="41" fontId="3" fillId="0" borderId="12" xfId="60" applyNumberFormat="1" applyFont="1" applyFill="1" applyBorder="1" applyAlignment="1">
      <alignment horizontal="right" wrapText="1"/>
      <protection/>
    </xf>
    <xf numFmtId="0" fontId="74" fillId="0" borderId="0" xfId="0" applyFont="1" applyAlignment="1">
      <alignment/>
    </xf>
    <xf numFmtId="0" fontId="74" fillId="0" borderId="10" xfId="0" applyFont="1" applyBorder="1" applyAlignment="1">
      <alignment vertical="center" wrapText="1"/>
    </xf>
    <xf numFmtId="3" fontId="74" fillId="0" borderId="10" xfId="0" applyNumberFormat="1" applyFont="1" applyBorder="1" applyAlignment="1">
      <alignment vertical="center" wrapText="1"/>
    </xf>
    <xf numFmtId="0" fontId="74" fillId="0" borderId="13" xfId="0" applyFont="1" applyBorder="1" applyAlignment="1">
      <alignment vertical="center" wrapText="1"/>
    </xf>
    <xf numFmtId="3" fontId="74" fillId="0" borderId="13" xfId="0" applyNumberFormat="1" applyFont="1" applyBorder="1" applyAlignment="1">
      <alignment vertical="center" wrapText="1"/>
    </xf>
    <xf numFmtId="0" fontId="74" fillId="0" borderId="13" xfId="0" applyFont="1" applyBorder="1" applyAlignment="1">
      <alignment horizontal="center" vertical="center" wrapText="1"/>
    </xf>
    <xf numFmtId="0" fontId="74"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center" vertical="center" wrapText="1"/>
    </xf>
    <xf numFmtId="3" fontId="5" fillId="0" borderId="10" xfId="0" applyNumberFormat="1" applyFont="1" applyBorder="1" applyAlignment="1">
      <alignment wrapText="1"/>
    </xf>
    <xf numFmtId="0" fontId="3" fillId="0" borderId="10" xfId="0" applyFont="1" applyBorder="1" applyAlignment="1">
      <alignment wrapText="1"/>
    </xf>
    <xf numFmtId="0" fontId="3" fillId="0" borderId="14" xfId="0" applyFont="1" applyBorder="1" applyAlignment="1">
      <alignment horizontal="center" vertical="center" wrapText="1"/>
    </xf>
    <xf numFmtId="0" fontId="3" fillId="0" borderId="10" xfId="0" applyFont="1" applyBorder="1" applyAlignment="1">
      <alignment vertical="center" wrapText="1"/>
    </xf>
    <xf numFmtId="3" fontId="3" fillId="0" borderId="10" xfId="0" applyNumberFormat="1" applyFont="1" applyBorder="1" applyAlignment="1">
      <alignment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10" xfId="0" applyFont="1" applyBorder="1" applyAlignment="1">
      <alignment horizontal="right" vertical="center" wrapText="1"/>
    </xf>
    <xf numFmtId="0" fontId="74" fillId="0" borderId="24" xfId="0" applyFont="1" applyBorder="1" applyAlignment="1">
      <alignment vertical="center" wrapText="1"/>
    </xf>
    <xf numFmtId="0" fontId="74" fillId="0" borderId="18" xfId="0" applyFont="1" applyBorder="1" applyAlignment="1">
      <alignment horizontal="center" vertical="center" wrapText="1"/>
    </xf>
    <xf numFmtId="0" fontId="75" fillId="0" borderId="18" xfId="0" applyFont="1" applyBorder="1" applyAlignment="1">
      <alignment horizontal="right" vertical="center" wrapText="1"/>
    </xf>
    <xf numFmtId="3" fontId="3" fillId="0" borderId="10" xfId="60" applyNumberFormat="1" applyFont="1" applyFill="1" applyBorder="1" applyAlignment="1">
      <alignment/>
      <protection/>
    </xf>
    <xf numFmtId="165" fontId="5" fillId="0" borderId="10" xfId="60" applyNumberFormat="1" applyFont="1" applyBorder="1" applyAlignment="1">
      <alignment horizontal="right" wrapText="1"/>
      <protection/>
    </xf>
    <xf numFmtId="165" fontId="23" fillId="0" borderId="10" xfId="60" applyNumberFormat="1" applyFont="1" applyBorder="1" applyAlignment="1">
      <alignment horizontal="right" wrapText="1"/>
      <protection/>
    </xf>
    <xf numFmtId="0" fontId="19" fillId="0" borderId="12" xfId="55" applyFont="1" applyBorder="1" applyAlignment="1">
      <alignment horizontal="left" wrapText="1"/>
    </xf>
    <xf numFmtId="165" fontId="5" fillId="0" borderId="11" xfId="60" applyNumberFormat="1" applyFont="1" applyBorder="1" applyAlignment="1">
      <alignment horizontal="right" wrapText="1"/>
      <protection/>
    </xf>
    <xf numFmtId="0" fontId="5" fillId="0" borderId="12" xfId="60" applyFont="1" applyFill="1" applyBorder="1">
      <alignment/>
      <protection/>
    </xf>
    <xf numFmtId="0" fontId="15" fillId="0" borderId="12" xfId="60" applyFont="1" applyFill="1" applyBorder="1" applyAlignment="1">
      <alignment horizontal="left" vertical="center"/>
      <protection/>
    </xf>
    <xf numFmtId="168" fontId="7" fillId="0" borderId="12" xfId="75" applyNumberFormat="1" applyFont="1" applyBorder="1" applyAlignment="1">
      <alignment horizontal="right" wrapText="1"/>
    </xf>
    <xf numFmtId="168" fontId="7" fillId="0" borderId="11" xfId="75" applyNumberFormat="1" applyFont="1" applyBorder="1" applyAlignment="1">
      <alignment horizontal="right" wrapText="1"/>
    </xf>
    <xf numFmtId="3" fontId="3" fillId="0" borderId="10" xfId="61" applyNumberFormat="1" applyFont="1" applyFill="1" applyBorder="1" applyAlignment="1">
      <alignment/>
      <protection/>
    </xf>
    <xf numFmtId="3" fontId="3" fillId="0" borderId="10" xfId="61" applyNumberFormat="1" applyFont="1" applyFill="1" applyBorder="1">
      <alignment/>
      <protection/>
    </xf>
    <xf numFmtId="3" fontId="3" fillId="0" borderId="12" xfId="61" applyNumberFormat="1" applyFont="1" applyFill="1" applyBorder="1" applyAlignment="1">
      <alignment/>
      <protection/>
    </xf>
    <xf numFmtId="3" fontId="5" fillId="0" borderId="10" xfId="60" applyNumberFormat="1" applyFont="1" applyFill="1" applyBorder="1">
      <alignment/>
      <protection/>
    </xf>
    <xf numFmtId="3" fontId="2" fillId="0" borderId="10" xfId="60" applyNumberFormat="1" applyFill="1" applyBorder="1" applyAlignment="1">
      <alignment/>
      <protection/>
    </xf>
    <xf numFmtId="3" fontId="5" fillId="0" borderId="10" xfId="44" applyNumberFormat="1" applyFont="1" applyFill="1" applyBorder="1" applyAlignment="1">
      <alignment horizontal="right" wrapText="1"/>
    </xf>
    <xf numFmtId="3" fontId="5" fillId="0" borderId="10" xfId="60" applyNumberFormat="1" applyFont="1" applyFill="1" applyBorder="1" applyAlignment="1">
      <alignment horizontal="right"/>
      <protection/>
    </xf>
    <xf numFmtId="3" fontId="3" fillId="0" borderId="10" xfId="74" applyNumberFormat="1" applyFont="1" applyFill="1" applyBorder="1" applyAlignment="1">
      <alignment horizontal="right" wrapText="1"/>
    </xf>
    <xf numFmtId="3" fontId="3" fillId="0" borderId="12" xfId="74" applyNumberFormat="1" applyFont="1" applyFill="1" applyBorder="1" applyAlignment="1">
      <alignment wrapText="1"/>
    </xf>
    <xf numFmtId="3" fontId="3" fillId="0" borderId="13" xfId="74" applyNumberFormat="1" applyFont="1" applyFill="1" applyBorder="1" applyAlignment="1">
      <alignment wrapText="1"/>
    </xf>
    <xf numFmtId="3" fontId="24" fillId="0" borderId="10" xfId="60" applyNumberFormat="1" applyFont="1" applyFill="1" applyBorder="1" applyAlignment="1">
      <alignment horizontal="right" vertical="center" wrapText="1"/>
      <protection/>
    </xf>
    <xf numFmtId="3" fontId="5" fillId="0" borderId="10" xfId="60" applyNumberFormat="1" applyFont="1" applyFill="1" applyBorder="1" applyAlignment="1">
      <alignment vertical="center" wrapText="1"/>
      <protection/>
    </xf>
    <xf numFmtId="3" fontId="3" fillId="0" borderId="18" xfId="60" applyNumberFormat="1" applyFont="1" applyFill="1" applyBorder="1" applyAlignment="1">
      <alignment horizontal="right" vertical="center" wrapText="1"/>
      <protection/>
    </xf>
    <xf numFmtId="3" fontId="3" fillId="0" borderId="12" xfId="60" applyNumberFormat="1" applyFont="1" applyFill="1" applyBorder="1" applyAlignment="1">
      <alignment vertical="center" wrapText="1"/>
      <protection/>
    </xf>
    <xf numFmtId="3" fontId="3" fillId="0" borderId="10" xfId="60" applyNumberFormat="1" applyFont="1" applyFill="1" applyBorder="1" applyAlignment="1">
      <alignment horizontal="right" vertical="center"/>
      <protection/>
    </xf>
    <xf numFmtId="3" fontId="3" fillId="0" borderId="18" xfId="60" applyNumberFormat="1" applyFont="1" applyFill="1" applyBorder="1" applyAlignment="1">
      <alignment horizontal="right" wrapText="1"/>
      <protection/>
    </xf>
    <xf numFmtId="3" fontId="5" fillId="0" borderId="11" xfId="60" applyNumberFormat="1" applyFont="1" applyFill="1" applyBorder="1" applyAlignment="1">
      <alignment horizontal="right"/>
      <protection/>
    </xf>
    <xf numFmtId="3" fontId="3" fillId="0" borderId="10" xfId="60" applyNumberFormat="1" applyFont="1" applyBorder="1" applyAlignment="1">
      <alignment horizontal="right" vertical="center" wrapText="1"/>
      <protection/>
    </xf>
    <xf numFmtId="3" fontId="19" fillId="0" borderId="10" xfId="60" applyNumberFormat="1" applyFont="1" applyBorder="1" applyAlignment="1">
      <alignment horizontal="right" vertical="center" wrapText="1"/>
      <protection/>
    </xf>
    <xf numFmtId="3" fontId="8" fillId="0" borderId="10" xfId="60" applyNumberFormat="1" applyFont="1" applyBorder="1" applyAlignment="1">
      <alignment horizontal="right" vertical="center" wrapText="1"/>
      <protection/>
    </xf>
    <xf numFmtId="3" fontId="8" fillId="0" borderId="10" xfId="60" applyNumberFormat="1" applyFont="1" applyFill="1" applyBorder="1" applyAlignment="1">
      <alignment horizontal="right" vertical="center"/>
      <protection/>
    </xf>
    <xf numFmtId="3" fontId="8" fillId="0" borderId="10" xfId="60" applyNumberFormat="1" applyFont="1" applyFill="1" applyBorder="1" applyAlignment="1">
      <alignment horizontal="right" vertical="center" wrapText="1"/>
      <protection/>
    </xf>
    <xf numFmtId="3" fontId="8" fillId="0" borderId="12" xfId="60" applyNumberFormat="1" applyFont="1" applyFill="1" applyBorder="1" applyAlignment="1">
      <alignment horizontal="right" vertical="center" wrapText="1"/>
      <protection/>
    </xf>
    <xf numFmtId="3" fontId="8" fillId="0" borderId="12" xfId="60" applyNumberFormat="1" applyFont="1" applyBorder="1" applyAlignment="1">
      <alignment horizontal="right" vertical="center" wrapText="1"/>
      <protection/>
    </xf>
    <xf numFmtId="3" fontId="8" fillId="33" borderId="10" xfId="60" applyNumberFormat="1" applyFont="1" applyFill="1" applyBorder="1" applyAlignment="1">
      <alignment horizontal="right" vertical="center" wrapText="1"/>
      <protection/>
    </xf>
    <xf numFmtId="3" fontId="8" fillId="33" borderId="12" xfId="60" applyNumberFormat="1" applyFont="1" applyFill="1" applyBorder="1" applyAlignment="1">
      <alignment horizontal="right" vertical="center" wrapText="1"/>
      <protection/>
    </xf>
    <xf numFmtId="3" fontId="8" fillId="33" borderId="10" xfId="60" applyNumberFormat="1" applyFont="1" applyFill="1" applyBorder="1" applyAlignment="1">
      <alignment horizontal="right" vertical="center"/>
      <protection/>
    </xf>
    <xf numFmtId="3" fontId="8" fillId="0" borderId="10" xfId="60" applyNumberFormat="1" applyFont="1" applyBorder="1" applyAlignment="1">
      <alignment horizontal="right" vertical="center"/>
      <protection/>
    </xf>
    <xf numFmtId="4" fontId="8" fillId="0" borderId="30" xfId="0" applyNumberFormat="1" applyFont="1" applyBorder="1" applyAlignment="1">
      <alignment horizontal="right" vertical="center" wrapText="1"/>
    </xf>
    <xf numFmtId="4" fontId="8" fillId="0" borderId="23" xfId="0" applyNumberFormat="1" applyFont="1" applyBorder="1" applyAlignment="1">
      <alignment horizontal="right" vertical="center" wrapText="1"/>
    </xf>
    <xf numFmtId="4" fontId="74" fillId="0" borderId="23" xfId="0" applyNumberFormat="1" applyFont="1" applyBorder="1" applyAlignment="1">
      <alignment horizontal="right" vertical="center" wrapText="1"/>
    </xf>
    <xf numFmtId="4" fontId="75" fillId="0" borderId="25" xfId="0" applyNumberFormat="1" applyFont="1" applyBorder="1" applyAlignment="1">
      <alignment horizontal="right" vertical="center" wrapText="1"/>
    </xf>
    <xf numFmtId="0" fontId="3" fillId="33" borderId="10" xfId="61" applyFont="1" applyFill="1" applyBorder="1">
      <alignment/>
      <protection/>
    </xf>
    <xf numFmtId="0" fontId="3" fillId="33" borderId="10" xfId="61" applyFont="1" applyFill="1" applyBorder="1" applyAlignment="1">
      <alignment/>
      <protection/>
    </xf>
    <xf numFmtId="0" fontId="3" fillId="33" borderId="10" xfId="61" applyFont="1" applyFill="1" applyBorder="1" applyAlignment="1">
      <alignment horizontal="right"/>
      <protection/>
    </xf>
    <xf numFmtId="0" fontId="3" fillId="33" borderId="10" xfId="61" applyNumberFormat="1" applyFont="1" applyFill="1" applyBorder="1" applyAlignment="1">
      <alignment wrapText="1"/>
      <protection/>
    </xf>
    <xf numFmtId="0" fontId="3" fillId="33" borderId="12" xfId="61" applyNumberFormat="1" applyFont="1" applyFill="1" applyBorder="1" applyAlignment="1">
      <alignment wrapText="1"/>
      <protection/>
    </xf>
    <xf numFmtId="0" fontId="5" fillId="0" borderId="0" xfId="64" applyFont="1" applyFill="1" applyBorder="1">
      <alignment/>
      <protection/>
    </xf>
    <xf numFmtId="0" fontId="5" fillId="0" borderId="0" xfId="64" applyFont="1" applyBorder="1">
      <alignment/>
      <protection/>
    </xf>
    <xf numFmtId="3" fontId="3" fillId="33" borderId="10" xfId="61" applyNumberFormat="1" applyFont="1" applyFill="1" applyBorder="1">
      <alignment/>
      <protection/>
    </xf>
    <xf numFmtId="0" fontId="3" fillId="35" borderId="10" xfId="64" applyFont="1" applyFill="1" applyBorder="1" applyAlignment="1">
      <alignment horizontal="center" vertical="top" wrapText="1"/>
      <protection/>
    </xf>
    <xf numFmtId="0" fontId="3" fillId="35" borderId="10" xfId="64" applyFont="1" applyFill="1" applyBorder="1" applyAlignment="1">
      <alignment vertical="top" wrapText="1"/>
      <protection/>
    </xf>
    <xf numFmtId="3" fontId="3" fillId="35" borderId="10" xfId="64" applyNumberFormat="1" applyFont="1" applyFill="1" applyBorder="1" applyAlignment="1">
      <alignment wrapText="1"/>
      <protection/>
    </xf>
    <xf numFmtId="1" fontId="3" fillId="35" borderId="10" xfId="64" applyNumberFormat="1" applyFont="1" applyFill="1" applyBorder="1" applyAlignment="1">
      <alignment wrapText="1"/>
      <protection/>
    </xf>
    <xf numFmtId="0" fontId="4" fillId="0" borderId="0" xfId="62" applyFont="1" applyAlignment="1">
      <alignment wrapText="1"/>
      <protection/>
    </xf>
    <xf numFmtId="0" fontId="28" fillId="0" borderId="0" xfId="62" applyFont="1">
      <alignment/>
      <protection/>
    </xf>
    <xf numFmtId="0" fontId="26" fillId="0" borderId="0" xfId="62" applyFont="1">
      <alignment/>
      <protection/>
    </xf>
    <xf numFmtId="0" fontId="27" fillId="0" borderId="0" xfId="62" applyFont="1" applyAlignment="1">
      <alignment horizontal="left"/>
      <protection/>
    </xf>
    <xf numFmtId="49" fontId="27" fillId="0" borderId="0" xfId="62" applyNumberFormat="1" applyFont="1" applyAlignment="1">
      <alignment horizontal="left"/>
      <protection/>
    </xf>
    <xf numFmtId="0" fontId="26" fillId="0" borderId="0" xfId="62" applyFont="1" applyBorder="1">
      <alignment/>
      <protection/>
    </xf>
    <xf numFmtId="0" fontId="27" fillId="0" borderId="31" xfId="62" applyFont="1" applyBorder="1" applyAlignment="1">
      <alignment horizontal="left"/>
      <protection/>
    </xf>
    <xf numFmtId="49" fontId="27" fillId="0" borderId="31" xfId="62" applyNumberFormat="1" applyFont="1" applyBorder="1" applyAlignment="1">
      <alignment horizontal="left"/>
      <protection/>
    </xf>
    <xf numFmtId="0" fontId="26" fillId="33" borderId="31" xfId="62" applyFont="1" applyFill="1" applyBorder="1" applyAlignment="1">
      <alignment/>
      <protection/>
    </xf>
    <xf numFmtId="0" fontId="8" fillId="0" borderId="32" xfId="62" applyFont="1" applyBorder="1" applyAlignment="1">
      <alignment horizontal="center" vertical="center" wrapText="1"/>
      <protection/>
    </xf>
    <xf numFmtId="49" fontId="8" fillId="0" borderId="33" xfId="62" applyNumberFormat="1" applyFont="1" applyBorder="1" applyAlignment="1">
      <alignment horizontal="center" vertical="center" wrapText="1"/>
      <protection/>
    </xf>
    <xf numFmtId="3" fontId="8" fillId="33" borderId="34" xfId="62" applyNumberFormat="1" applyFont="1" applyFill="1" applyBorder="1" applyAlignment="1">
      <alignment horizontal="center" vertical="center" wrapText="1"/>
      <protection/>
    </xf>
    <xf numFmtId="3" fontId="8" fillId="0" borderId="35" xfId="62" applyNumberFormat="1" applyFont="1" applyBorder="1" applyAlignment="1">
      <alignment horizontal="center" vertical="center" wrapText="1"/>
      <protection/>
    </xf>
    <xf numFmtId="3" fontId="8" fillId="0" borderId="36" xfId="62" applyNumberFormat="1" applyFont="1" applyBorder="1" applyAlignment="1">
      <alignment horizontal="center" vertical="center" wrapText="1"/>
      <protection/>
    </xf>
    <xf numFmtId="3" fontId="8" fillId="0" borderId="37" xfId="62" applyNumberFormat="1" applyFont="1" applyBorder="1" applyAlignment="1">
      <alignment horizontal="center" vertical="center" wrapText="1"/>
      <protection/>
    </xf>
    <xf numFmtId="0" fontId="7" fillId="0" borderId="38" xfId="62" applyFont="1" applyBorder="1" applyAlignment="1">
      <alignment horizontal="center" vertical="center"/>
      <protection/>
    </xf>
    <xf numFmtId="0" fontId="7" fillId="0" borderId="39" xfId="62" applyFont="1" applyBorder="1">
      <alignment/>
      <protection/>
    </xf>
    <xf numFmtId="0" fontId="7" fillId="0" borderId="29" xfId="62" applyFont="1" applyBorder="1">
      <alignment/>
      <protection/>
    </xf>
    <xf numFmtId="49" fontId="7" fillId="0" borderId="40" xfId="62" applyNumberFormat="1" applyFont="1" applyBorder="1">
      <alignment/>
      <protection/>
    </xf>
    <xf numFmtId="3" fontId="7" fillId="0" borderId="41" xfId="62" applyNumberFormat="1" applyFont="1" applyBorder="1">
      <alignment/>
      <protection/>
    </xf>
    <xf numFmtId="0" fontId="8" fillId="0" borderId="42" xfId="62" applyFont="1" applyBorder="1" applyAlignment="1">
      <alignment horizontal="center" vertical="center"/>
      <protection/>
    </xf>
    <xf numFmtId="0" fontId="8" fillId="0" borderId="43" xfId="62" applyFont="1" applyBorder="1" applyAlignment="1">
      <alignment wrapText="1"/>
      <protection/>
    </xf>
    <xf numFmtId="3" fontId="8" fillId="0" borderId="22" xfId="62" applyNumberFormat="1" applyFont="1" applyBorder="1" applyAlignment="1">
      <alignment horizontal="center"/>
      <protection/>
    </xf>
    <xf numFmtId="49" fontId="8" fillId="0" borderId="12" xfId="62" applyNumberFormat="1" applyFont="1" applyBorder="1" applyAlignment="1">
      <alignment horizontal="center"/>
      <protection/>
    </xf>
    <xf numFmtId="3" fontId="8" fillId="0" borderId="44" xfId="62" applyNumberFormat="1" applyFont="1" applyBorder="1" applyAlignment="1">
      <alignment horizontal="right"/>
      <protection/>
    </xf>
    <xf numFmtId="3" fontId="8" fillId="33" borderId="12" xfId="62" applyNumberFormat="1" applyFont="1" applyFill="1" applyBorder="1" applyAlignment="1">
      <alignment horizontal="right"/>
      <protection/>
    </xf>
    <xf numFmtId="3" fontId="8" fillId="0" borderId="23" xfId="62" applyNumberFormat="1" applyFont="1" applyBorder="1" applyAlignment="1">
      <alignment horizontal="right"/>
      <protection/>
    </xf>
    <xf numFmtId="3" fontId="8" fillId="0" borderId="42" xfId="62" applyNumberFormat="1" applyFont="1" applyBorder="1" applyAlignment="1">
      <alignment horizontal="right"/>
      <protection/>
    </xf>
    <xf numFmtId="3" fontId="8" fillId="0" borderId="45" xfId="62" applyNumberFormat="1" applyFont="1" applyBorder="1" applyAlignment="1">
      <alignment horizontal="right"/>
      <protection/>
    </xf>
    <xf numFmtId="0" fontId="8" fillId="0" borderId="0" xfId="62" applyFont="1">
      <alignment/>
      <protection/>
    </xf>
    <xf numFmtId="3" fontId="8" fillId="0" borderId="12" xfId="62" applyNumberFormat="1" applyFont="1" applyBorder="1" applyAlignment="1">
      <alignment horizontal="right"/>
      <protection/>
    </xf>
    <xf numFmtId="0" fontId="7" fillId="0" borderId="42" xfId="62" applyFont="1" applyBorder="1" applyAlignment="1">
      <alignment horizontal="center" vertical="center"/>
      <protection/>
    </xf>
    <xf numFmtId="0" fontId="7" fillId="0" borderId="43" xfId="62" applyFont="1" applyBorder="1" applyAlignment="1">
      <alignment wrapText="1"/>
      <protection/>
    </xf>
    <xf numFmtId="3" fontId="7" fillId="0" borderId="22" xfId="62" applyNumberFormat="1" applyFont="1" applyBorder="1" applyAlignment="1">
      <alignment horizontal="center"/>
      <protection/>
    </xf>
    <xf numFmtId="49" fontId="7" fillId="0" borderId="12" xfId="62" applyNumberFormat="1" applyFont="1" applyBorder="1" applyAlignment="1">
      <alignment horizontal="center"/>
      <protection/>
    </xf>
    <xf numFmtId="3" fontId="7" fillId="0" borderId="44" xfId="62" applyNumberFormat="1" applyFont="1" applyBorder="1" applyAlignment="1">
      <alignment horizontal="right"/>
      <protection/>
    </xf>
    <xf numFmtId="3" fontId="7" fillId="0" borderId="42" xfId="62" applyNumberFormat="1" applyFont="1" applyBorder="1" applyAlignment="1">
      <alignment horizontal="right"/>
      <protection/>
    </xf>
    <xf numFmtId="3" fontId="7" fillId="0" borderId="45" xfId="62" applyNumberFormat="1" applyFont="1" applyBorder="1" applyAlignment="1">
      <alignment horizontal="right"/>
      <protection/>
    </xf>
    <xf numFmtId="3" fontId="8" fillId="33" borderId="44" xfId="62" applyNumberFormat="1" applyFont="1" applyFill="1" applyBorder="1" applyAlignment="1">
      <alignment horizontal="right"/>
      <protection/>
    </xf>
    <xf numFmtId="0" fontId="8" fillId="33" borderId="43" xfId="62" applyFont="1" applyFill="1" applyBorder="1" applyAlignment="1">
      <alignment wrapText="1"/>
      <protection/>
    </xf>
    <xf numFmtId="3" fontId="7" fillId="0" borderId="12" xfId="62" applyNumberFormat="1" applyFont="1" applyBorder="1" applyAlignment="1">
      <alignment horizontal="right"/>
      <protection/>
    </xf>
    <xf numFmtId="3" fontId="7" fillId="0" borderId="23" xfId="62" applyNumberFormat="1" applyFont="1" applyBorder="1" applyAlignment="1">
      <alignment horizontal="right"/>
      <protection/>
    </xf>
    <xf numFmtId="0" fontId="8" fillId="0" borderId="22" xfId="62" applyFont="1" applyBorder="1" applyAlignment="1">
      <alignment horizontal="center" vertical="center"/>
      <protection/>
    </xf>
    <xf numFmtId="0" fontId="8" fillId="0" borderId="14" xfId="62" applyFont="1" applyBorder="1" applyAlignment="1">
      <alignment horizontal="left" wrapText="1"/>
      <protection/>
    </xf>
    <xf numFmtId="49" fontId="8" fillId="0" borderId="10" xfId="62" applyNumberFormat="1" applyFont="1" applyBorder="1" applyAlignment="1">
      <alignment horizontal="center"/>
      <protection/>
    </xf>
    <xf numFmtId="3" fontId="8" fillId="0" borderId="15" xfId="62" applyNumberFormat="1" applyFont="1" applyBorder="1" applyAlignment="1">
      <alignment horizontal="right"/>
      <protection/>
    </xf>
    <xf numFmtId="0" fontId="8" fillId="0" borderId="29" xfId="62" applyFont="1" applyBorder="1" applyAlignment="1">
      <alignment horizontal="center" vertical="center"/>
      <protection/>
    </xf>
    <xf numFmtId="0" fontId="8" fillId="0" borderId="46" xfId="62" applyFont="1" applyBorder="1" applyAlignment="1">
      <alignment horizontal="left" wrapText="1"/>
      <protection/>
    </xf>
    <xf numFmtId="49" fontId="8" fillId="0" borderId="13" xfId="62" applyNumberFormat="1" applyFont="1" applyBorder="1" applyAlignment="1">
      <alignment horizontal="center"/>
      <protection/>
    </xf>
    <xf numFmtId="3" fontId="8" fillId="33" borderId="19" xfId="62" applyNumberFormat="1" applyFont="1" applyFill="1" applyBorder="1" applyAlignment="1">
      <alignment horizontal="right"/>
      <protection/>
    </xf>
    <xf numFmtId="3" fontId="8" fillId="0" borderId="47" xfId="62" applyNumberFormat="1" applyFont="1" applyBorder="1" applyAlignment="1">
      <alignment horizontal="center"/>
      <protection/>
    </xf>
    <xf numFmtId="3" fontId="7" fillId="0" borderId="22" xfId="62" applyNumberFormat="1" applyFont="1" applyBorder="1" applyAlignment="1">
      <alignment horizontal="right"/>
      <protection/>
    </xf>
    <xf numFmtId="0" fontId="8" fillId="0" borderId="22" xfId="62" applyFont="1" applyBorder="1" applyAlignment="1">
      <alignment horizontal="center" vertical="center" wrapText="1" shrinkToFit="1"/>
      <protection/>
    </xf>
    <xf numFmtId="3" fontId="8" fillId="33" borderId="15" xfId="62" applyNumberFormat="1" applyFont="1" applyFill="1" applyBorder="1" applyAlignment="1">
      <alignment horizontal="right"/>
      <protection/>
    </xf>
    <xf numFmtId="0" fontId="8" fillId="0" borderId="14" xfId="62" applyFont="1" applyBorder="1" applyAlignment="1">
      <alignment wrapText="1"/>
      <protection/>
    </xf>
    <xf numFmtId="0" fontId="8" fillId="0" borderId="24" xfId="62" applyFont="1" applyBorder="1" applyAlignment="1">
      <alignment horizontal="center" vertical="center"/>
      <protection/>
    </xf>
    <xf numFmtId="0" fontId="8" fillId="0" borderId="48" xfId="62" applyFont="1" applyBorder="1" applyAlignment="1">
      <alignment wrapText="1"/>
      <protection/>
    </xf>
    <xf numFmtId="0" fontId="8" fillId="0" borderId="37" xfId="62" applyFont="1" applyBorder="1" applyAlignment="1">
      <alignment horizontal="center" vertical="center"/>
      <protection/>
    </xf>
    <xf numFmtId="49" fontId="8" fillId="0" borderId="18" xfId="62" applyNumberFormat="1" applyFont="1" applyBorder="1" applyAlignment="1">
      <alignment horizontal="center" vertical="center"/>
      <protection/>
    </xf>
    <xf numFmtId="3" fontId="8" fillId="0" borderId="49" xfId="62" applyNumberFormat="1" applyFont="1" applyBorder="1" applyAlignment="1">
      <alignment horizontal="right" vertical="center"/>
      <protection/>
    </xf>
    <xf numFmtId="3" fontId="8" fillId="33" borderId="18" xfId="62" applyNumberFormat="1" applyFont="1" applyFill="1" applyBorder="1" applyAlignment="1">
      <alignment horizontal="right" vertical="center"/>
      <protection/>
    </xf>
    <xf numFmtId="3" fontId="8" fillId="0" borderId="25" xfId="62" applyNumberFormat="1" applyFont="1" applyBorder="1" applyAlignment="1">
      <alignment horizontal="right"/>
      <protection/>
    </xf>
    <xf numFmtId="0" fontId="7" fillId="0" borderId="37" xfId="62" applyFont="1" applyBorder="1" applyAlignment="1">
      <alignment horizontal="center" vertical="center"/>
      <protection/>
    </xf>
    <xf numFmtId="0" fontId="7" fillId="0" borderId="50" xfId="62" applyFont="1" applyBorder="1" applyAlignment="1">
      <alignment wrapText="1"/>
      <protection/>
    </xf>
    <xf numFmtId="49" fontId="7" fillId="0" borderId="35" xfId="62" applyNumberFormat="1" applyFont="1" applyBorder="1" applyAlignment="1">
      <alignment horizontal="center" vertical="center"/>
      <protection/>
    </xf>
    <xf numFmtId="3" fontId="7" fillId="0" borderId="34" xfId="62" applyNumberFormat="1" applyFont="1" applyBorder="1" applyAlignment="1">
      <alignment horizontal="right"/>
      <protection/>
    </xf>
    <xf numFmtId="0" fontId="8" fillId="0" borderId="50" xfId="62" applyFont="1" applyBorder="1" applyAlignment="1">
      <alignment wrapText="1"/>
      <protection/>
    </xf>
    <xf numFmtId="49" fontId="8" fillId="0" borderId="35" xfId="62" applyNumberFormat="1" applyFont="1" applyBorder="1" applyAlignment="1">
      <alignment horizontal="center" vertical="center"/>
      <protection/>
    </xf>
    <xf numFmtId="3" fontId="8" fillId="0" borderId="34" xfId="62" applyNumberFormat="1" applyFont="1" applyBorder="1" applyAlignment="1">
      <alignment horizontal="right"/>
      <protection/>
    </xf>
    <xf numFmtId="3" fontId="8" fillId="33" borderId="35" xfId="62" applyNumberFormat="1" applyFont="1" applyFill="1" applyBorder="1" applyAlignment="1">
      <alignment horizontal="right"/>
      <protection/>
    </xf>
    <xf numFmtId="3" fontId="8" fillId="0" borderId="36" xfId="62" applyNumberFormat="1" applyFont="1" applyBorder="1" applyAlignment="1">
      <alignment horizontal="right"/>
      <protection/>
    </xf>
    <xf numFmtId="3" fontId="8" fillId="0" borderId="37" xfId="62" applyNumberFormat="1" applyFont="1" applyBorder="1" applyAlignment="1">
      <alignment horizontal="right"/>
      <protection/>
    </xf>
    <xf numFmtId="3" fontId="8" fillId="0" borderId="51" xfId="62" applyNumberFormat="1" applyFont="1" applyBorder="1" applyAlignment="1">
      <alignment horizontal="right"/>
      <protection/>
    </xf>
    <xf numFmtId="0" fontId="8" fillId="0" borderId="37" xfId="62" applyFont="1" applyBorder="1">
      <alignment/>
      <protection/>
    </xf>
    <xf numFmtId="0" fontId="7" fillId="0" borderId="50" xfId="62" applyFont="1" applyBorder="1" applyAlignment="1">
      <alignment horizontal="right"/>
      <protection/>
    </xf>
    <xf numFmtId="3" fontId="7" fillId="0" borderId="37" xfId="62" applyNumberFormat="1" applyFont="1" applyBorder="1">
      <alignment/>
      <protection/>
    </xf>
    <xf numFmtId="49" fontId="8" fillId="0" borderId="35" xfId="62" applyNumberFormat="1" applyFont="1" applyBorder="1">
      <alignment/>
      <protection/>
    </xf>
    <xf numFmtId="0" fontId="28" fillId="0" borderId="0" xfId="62" applyFont="1" applyBorder="1">
      <alignment/>
      <protection/>
    </xf>
    <xf numFmtId="0" fontId="26" fillId="0" borderId="32" xfId="62" applyFont="1" applyBorder="1">
      <alignment/>
      <protection/>
    </xf>
    <xf numFmtId="0" fontId="27" fillId="0" borderId="52" xfId="62" applyFont="1" applyBorder="1" applyAlignment="1">
      <alignment horizontal="right"/>
      <protection/>
    </xf>
    <xf numFmtId="49" fontId="26" fillId="0" borderId="53" xfId="62" applyNumberFormat="1" applyFont="1" applyBorder="1">
      <alignment/>
      <protection/>
    </xf>
    <xf numFmtId="49" fontId="28" fillId="0" borderId="0" xfId="62" applyNumberFormat="1" applyFont="1">
      <alignment/>
      <protection/>
    </xf>
    <xf numFmtId="2" fontId="3" fillId="0" borderId="12" xfId="60" applyNumberFormat="1" applyFont="1" applyFill="1" applyBorder="1" applyAlignment="1">
      <alignment horizontal="left" wrapText="1"/>
      <protection/>
    </xf>
    <xf numFmtId="1" fontId="76" fillId="0" borderId="10" xfId="64" applyNumberFormat="1" applyFont="1" applyFill="1" applyBorder="1" applyAlignment="1">
      <alignment wrapText="1"/>
      <protection/>
    </xf>
    <xf numFmtId="0" fontId="7" fillId="0" borderId="47" xfId="62" applyFont="1" applyBorder="1" applyAlignment="1">
      <alignment horizontal="center" vertical="center"/>
      <protection/>
    </xf>
    <xf numFmtId="0" fontId="8" fillId="0" borderId="47" xfId="62" applyFont="1" applyBorder="1" applyAlignment="1">
      <alignment horizontal="left" vertical="center"/>
      <protection/>
    </xf>
    <xf numFmtId="3" fontId="7" fillId="0" borderId="13" xfId="62" applyNumberFormat="1" applyFont="1" applyBorder="1">
      <alignment/>
      <protection/>
    </xf>
    <xf numFmtId="3" fontId="7" fillId="0" borderId="19" xfId="62" applyNumberFormat="1" applyFont="1" applyBorder="1">
      <alignment/>
      <protection/>
    </xf>
    <xf numFmtId="0" fontId="8" fillId="0" borderId="54" xfId="62" applyFont="1" applyBorder="1" applyAlignment="1">
      <alignment horizontal="left" vertical="center" wrapText="1"/>
      <protection/>
    </xf>
    <xf numFmtId="0" fontId="8" fillId="0" borderId="55" xfId="62" applyFont="1" applyBorder="1" applyAlignment="1">
      <alignment horizontal="center" vertical="center" wrapText="1"/>
      <protection/>
    </xf>
    <xf numFmtId="49" fontId="8" fillId="0" borderId="55" xfId="62" applyNumberFormat="1" applyFont="1" applyBorder="1" applyAlignment="1">
      <alignment horizontal="center" vertical="center" wrapText="1"/>
      <protection/>
    </xf>
    <xf numFmtId="3" fontId="8" fillId="33" borderId="55" xfId="62" applyNumberFormat="1" applyFont="1" applyFill="1" applyBorder="1" applyAlignment="1">
      <alignment horizontal="center" vertical="center" wrapText="1"/>
      <protection/>
    </xf>
    <xf numFmtId="3" fontId="8" fillId="0" borderId="55" xfId="62" applyNumberFormat="1" applyFont="1" applyBorder="1" applyAlignment="1">
      <alignment horizontal="center" vertical="center" wrapText="1"/>
      <protection/>
    </xf>
    <xf numFmtId="3" fontId="8" fillId="0" borderId="56" xfId="62" applyNumberFormat="1" applyFont="1" applyBorder="1" applyAlignment="1">
      <alignment horizontal="center" vertical="center" wrapText="1"/>
      <protection/>
    </xf>
    <xf numFmtId="0" fontId="8" fillId="0" borderId="50" xfId="62" applyFont="1" applyBorder="1" applyAlignment="1">
      <alignment horizontal="left" vertical="center" wrapText="1"/>
      <protection/>
    </xf>
    <xf numFmtId="0" fontId="8" fillId="0" borderId="31" xfId="62" applyFont="1" applyBorder="1" applyAlignment="1">
      <alignment horizontal="center" vertical="center" wrapText="1"/>
      <protection/>
    </xf>
    <xf numFmtId="49" fontId="8" fillId="0" borderId="31" xfId="62" applyNumberFormat="1" applyFont="1" applyBorder="1" applyAlignment="1">
      <alignment horizontal="center" vertical="center" wrapText="1"/>
      <protection/>
    </xf>
    <xf numFmtId="3" fontId="8" fillId="33" borderId="31" xfId="62" applyNumberFormat="1" applyFont="1" applyFill="1" applyBorder="1" applyAlignment="1">
      <alignment horizontal="center" vertical="center" wrapText="1"/>
      <protection/>
    </xf>
    <xf numFmtId="3" fontId="8" fillId="0" borderId="31" xfId="62" applyNumberFormat="1" applyFont="1" applyBorder="1" applyAlignment="1">
      <alignment horizontal="center" vertical="center" wrapText="1"/>
      <protection/>
    </xf>
    <xf numFmtId="3" fontId="8" fillId="0" borderId="51" xfId="62" applyNumberFormat="1" applyFont="1" applyBorder="1" applyAlignment="1">
      <alignment horizontal="center" vertical="center" wrapText="1"/>
      <protection/>
    </xf>
    <xf numFmtId="0" fontId="7" fillId="0" borderId="57" xfId="62" applyFont="1" applyBorder="1" applyAlignment="1">
      <alignment wrapText="1"/>
      <protection/>
    </xf>
    <xf numFmtId="3" fontId="7" fillId="0" borderId="29" xfId="62" applyNumberFormat="1" applyFont="1" applyBorder="1" applyAlignment="1">
      <alignment horizontal="center"/>
      <protection/>
    </xf>
    <xf numFmtId="49" fontId="7" fillId="0" borderId="16" xfId="62" applyNumberFormat="1" applyFont="1" applyBorder="1" applyAlignment="1">
      <alignment horizontal="center"/>
      <protection/>
    </xf>
    <xf numFmtId="3" fontId="7" fillId="0" borderId="40" xfId="62" applyNumberFormat="1" applyFont="1" applyBorder="1" applyAlignment="1">
      <alignment horizontal="right"/>
      <protection/>
    </xf>
    <xf numFmtId="3" fontId="7" fillId="0" borderId="16" xfId="62" applyNumberFormat="1" applyFont="1" applyBorder="1" applyAlignment="1">
      <alignment horizontal="right"/>
      <protection/>
    </xf>
    <xf numFmtId="3" fontId="7" fillId="0" borderId="30" xfId="62" applyNumberFormat="1" applyFont="1" applyBorder="1" applyAlignment="1">
      <alignment horizontal="right"/>
      <protection/>
    </xf>
    <xf numFmtId="3" fontId="7" fillId="0" borderId="47" xfId="62" applyNumberFormat="1" applyFont="1" applyBorder="1" applyAlignment="1">
      <alignment horizontal="right"/>
      <protection/>
    </xf>
    <xf numFmtId="3" fontId="7" fillId="0" borderId="58" xfId="62" applyNumberFormat="1" applyFont="1" applyBorder="1" applyAlignment="1">
      <alignment horizontal="right"/>
      <protection/>
    </xf>
    <xf numFmtId="0" fontId="8" fillId="0" borderId="59" xfId="62" applyFont="1" applyBorder="1" applyAlignment="1">
      <alignment horizontal="left" vertical="center"/>
      <protection/>
    </xf>
    <xf numFmtId="0" fontId="8" fillId="0" borderId="37" xfId="62" applyFont="1" applyBorder="1" applyAlignment="1">
      <alignment horizontal="left" vertical="center"/>
      <protection/>
    </xf>
    <xf numFmtId="3" fontId="8" fillId="33" borderId="10" xfId="62" applyNumberFormat="1" applyFont="1" applyFill="1" applyBorder="1" applyAlignment="1">
      <alignment horizontal="right"/>
      <protection/>
    </xf>
    <xf numFmtId="3" fontId="7" fillId="0" borderId="36" xfId="62" applyNumberFormat="1" applyFont="1" applyBorder="1" applyAlignment="1">
      <alignment horizontal="right"/>
      <protection/>
    </xf>
    <xf numFmtId="0" fontId="3" fillId="0" borderId="35" xfId="60" applyFont="1" applyBorder="1" applyAlignment="1">
      <alignment wrapText="1"/>
      <protection/>
    </xf>
    <xf numFmtId="3" fontId="8" fillId="0" borderId="37" xfId="62" applyNumberFormat="1" applyFont="1" applyBorder="1" applyAlignment="1">
      <alignment horizontal="center"/>
      <protection/>
    </xf>
    <xf numFmtId="49" fontId="8" fillId="0" borderId="35" xfId="62" applyNumberFormat="1" applyFont="1" applyBorder="1" applyAlignment="1">
      <alignment horizontal="center"/>
      <protection/>
    </xf>
    <xf numFmtId="0" fontId="7" fillId="0" borderId="60" xfId="62" applyFont="1" applyBorder="1" applyAlignment="1">
      <alignment vertical="center" wrapText="1"/>
      <protection/>
    </xf>
    <xf numFmtId="0" fontId="7" fillId="0" borderId="61" xfId="62" applyFont="1" applyBorder="1" applyAlignment="1">
      <alignment vertical="center" wrapText="1"/>
      <protection/>
    </xf>
    <xf numFmtId="3" fontId="7" fillId="0" borderId="61" xfId="62" applyNumberFormat="1" applyFont="1" applyBorder="1" applyAlignment="1">
      <alignment vertical="center" wrapText="1"/>
      <protection/>
    </xf>
    <xf numFmtId="3" fontId="7" fillId="0" borderId="60" xfId="62" applyNumberFormat="1" applyFont="1" applyBorder="1" applyAlignment="1">
      <alignment vertical="center" wrapText="1"/>
      <protection/>
    </xf>
    <xf numFmtId="3" fontId="7" fillId="0" borderId="41" xfId="62" applyNumberFormat="1" applyFont="1" applyBorder="1" applyAlignment="1">
      <alignment vertical="center" wrapText="1"/>
      <protection/>
    </xf>
    <xf numFmtId="3" fontId="8" fillId="0" borderId="22" xfId="62" applyNumberFormat="1" applyFont="1" applyBorder="1" applyAlignment="1">
      <alignment horizontal="center" wrapText="1"/>
      <protection/>
    </xf>
    <xf numFmtId="1" fontId="3" fillId="33" borderId="10" xfId="60" applyNumberFormat="1" applyFont="1" applyFill="1" applyBorder="1" applyAlignment="1">
      <alignment wrapText="1"/>
      <protection/>
    </xf>
    <xf numFmtId="1" fontId="5" fillId="33" borderId="10" xfId="60" applyNumberFormat="1" applyFont="1" applyFill="1" applyBorder="1" applyAlignment="1">
      <alignment wrapText="1"/>
      <protection/>
    </xf>
    <xf numFmtId="1" fontId="5" fillId="33" borderId="10" xfId="60" applyNumberFormat="1" applyFont="1" applyFill="1" applyBorder="1" applyAlignment="1">
      <alignment horizontal="right" wrapText="1"/>
      <protection/>
    </xf>
    <xf numFmtId="1" fontId="3" fillId="33" borderId="10" xfId="60" applyNumberFormat="1" applyFont="1" applyFill="1" applyBorder="1" applyAlignment="1">
      <alignment/>
      <protection/>
    </xf>
    <xf numFmtId="1" fontId="5" fillId="33" borderId="10" xfId="60" applyNumberFormat="1" applyFont="1" applyFill="1" applyBorder="1" applyAlignment="1">
      <alignment horizontal="right"/>
      <protection/>
    </xf>
    <xf numFmtId="1" fontId="3" fillId="33" borderId="12" xfId="60" applyNumberFormat="1" applyFont="1" applyFill="1" applyBorder="1" applyAlignment="1">
      <alignment wrapText="1"/>
      <protection/>
    </xf>
    <xf numFmtId="1" fontId="3" fillId="33" borderId="12" xfId="60" applyNumberFormat="1" applyFont="1" applyFill="1" applyBorder="1" applyAlignment="1">
      <alignment/>
      <protection/>
    </xf>
    <xf numFmtId="1" fontId="5" fillId="33" borderId="10" xfId="60" applyNumberFormat="1" applyFont="1" applyFill="1" applyBorder="1" applyAlignment="1">
      <alignment horizontal="right" vertical="center" wrapText="1"/>
      <protection/>
    </xf>
    <xf numFmtId="1" fontId="3" fillId="33" borderId="10" xfId="60" applyNumberFormat="1" applyFont="1" applyFill="1" applyBorder="1" applyAlignment="1">
      <alignment vertical="center"/>
      <protection/>
    </xf>
    <xf numFmtId="3" fontId="5" fillId="33" borderId="11" xfId="60" applyNumberFormat="1" applyFont="1" applyFill="1" applyBorder="1">
      <alignment/>
      <protection/>
    </xf>
    <xf numFmtId="0" fontId="7" fillId="0" borderId="20" xfId="60" applyFont="1" applyBorder="1">
      <alignment/>
      <protection/>
    </xf>
    <xf numFmtId="0" fontId="10" fillId="0" borderId="20" xfId="60" applyFont="1" applyBorder="1" applyAlignment="1">
      <alignment horizontal="center"/>
      <protection/>
    </xf>
    <xf numFmtId="0" fontId="28" fillId="0" borderId="0" xfId="62" applyFont="1" applyAlignment="1">
      <alignment horizontal="right"/>
      <protection/>
    </xf>
    <xf numFmtId="0" fontId="28" fillId="0" borderId="0" xfId="64" applyFont="1" applyAlignment="1">
      <alignment horizontal="right"/>
      <protection/>
    </xf>
    <xf numFmtId="0" fontId="34" fillId="0" borderId="0" xfId="64" applyFont="1">
      <alignment/>
      <protection/>
    </xf>
    <xf numFmtId="0" fontId="28" fillId="0" borderId="0" xfId="60" applyFont="1" applyFill="1">
      <alignment/>
      <protection/>
    </xf>
    <xf numFmtId="0" fontId="28" fillId="0" borderId="0" xfId="60" applyFont="1" applyFill="1" applyAlignment="1">
      <alignment horizontal="right"/>
      <protection/>
    </xf>
    <xf numFmtId="0" fontId="28" fillId="0" borderId="0" xfId="60" applyFont="1">
      <alignment/>
      <protection/>
    </xf>
    <xf numFmtId="0" fontId="28" fillId="0" borderId="0" xfId="60" applyFont="1" applyAlignment="1">
      <alignment horizontal="right"/>
      <protection/>
    </xf>
    <xf numFmtId="0" fontId="34" fillId="0" borderId="0" xfId="60" applyFont="1" applyFill="1" applyAlignment="1">
      <alignment horizontal="right"/>
      <protection/>
    </xf>
    <xf numFmtId="0" fontId="34" fillId="0" borderId="0" xfId="60" applyFont="1" applyFill="1">
      <alignment/>
      <protection/>
    </xf>
    <xf numFmtId="0" fontId="34" fillId="0" borderId="0" xfId="60" applyFont="1" applyFill="1" applyAlignment="1">
      <alignment/>
      <protection/>
    </xf>
    <xf numFmtId="1" fontId="28" fillId="0" borderId="0" xfId="60" applyNumberFormat="1" applyFont="1">
      <alignment/>
      <protection/>
    </xf>
    <xf numFmtId="0" fontId="28" fillId="0" borderId="0" xfId="61" applyFont="1" applyFill="1" applyAlignment="1">
      <alignment horizontal="right" vertical="center"/>
      <protection/>
    </xf>
    <xf numFmtId="0" fontId="28" fillId="0" borderId="0" xfId="61" applyFont="1" applyFill="1" applyAlignment="1">
      <alignment vertical="center" wrapText="1"/>
      <protection/>
    </xf>
    <xf numFmtId="41" fontId="4" fillId="0" borderId="0" xfId="61" applyNumberFormat="1" applyFont="1" applyFill="1">
      <alignment/>
      <protection/>
    </xf>
    <xf numFmtId="0" fontId="28" fillId="0" borderId="0" xfId="61" applyFont="1" applyFill="1">
      <alignment/>
      <protection/>
    </xf>
    <xf numFmtId="0" fontId="28" fillId="0" borderId="0" xfId="61" applyFont="1" applyFill="1" applyAlignment="1">
      <alignment horizontal="right"/>
      <protection/>
    </xf>
    <xf numFmtId="0" fontId="77" fillId="0" borderId="0" xfId="0" applyFont="1" applyAlignment="1">
      <alignment/>
    </xf>
    <xf numFmtId="0" fontId="78" fillId="0" borderId="0" xfId="0" applyFont="1" applyAlignment="1">
      <alignment horizontal="right"/>
    </xf>
    <xf numFmtId="49" fontId="39" fillId="0" borderId="0" xfId="65" applyNumberFormat="1" applyFont="1" applyFill="1" applyAlignment="1">
      <alignment horizontal="right"/>
      <protection/>
    </xf>
    <xf numFmtId="0" fontId="39" fillId="0" borderId="0" xfId="65" applyFont="1" applyFill="1">
      <alignment/>
      <protection/>
    </xf>
    <xf numFmtId="0" fontId="39" fillId="0" borderId="0" xfId="65" applyFont="1" applyFill="1" applyAlignment="1">
      <alignment horizontal="right"/>
      <protection/>
    </xf>
    <xf numFmtId="0" fontId="28" fillId="0" borderId="0" xfId="65" applyFont="1" applyAlignment="1">
      <alignment horizontal="right"/>
      <protection/>
    </xf>
    <xf numFmtId="0" fontId="34" fillId="0" borderId="0" xfId="65" applyFont="1">
      <alignment/>
      <protection/>
    </xf>
    <xf numFmtId="49" fontId="28" fillId="0" borderId="0" xfId="60" applyNumberFormat="1" applyFont="1" applyAlignment="1">
      <alignment horizontal="right"/>
      <protection/>
    </xf>
    <xf numFmtId="0" fontId="28" fillId="0" borderId="0" xfId="60" applyFont="1" applyAlignment="1">
      <alignment horizontal="center"/>
      <protection/>
    </xf>
    <xf numFmtId="3" fontId="27" fillId="0" borderId="52" xfId="62" applyNumberFormat="1" applyFont="1" applyBorder="1" applyAlignment="1">
      <alignment horizontal="center"/>
      <protection/>
    </xf>
    <xf numFmtId="0" fontId="27" fillId="0" borderId="52" xfId="62" applyFont="1" applyBorder="1" applyAlignment="1">
      <alignment horizontal="center"/>
      <protection/>
    </xf>
    <xf numFmtId="0" fontId="27" fillId="0" borderId="62" xfId="62" applyFont="1" applyBorder="1" applyAlignment="1">
      <alignment horizontal="center"/>
      <protection/>
    </xf>
    <xf numFmtId="3" fontId="27" fillId="0" borderId="63" xfId="62" applyNumberFormat="1" applyFont="1" applyBorder="1" applyAlignment="1">
      <alignment horizontal="center"/>
      <protection/>
    </xf>
    <xf numFmtId="0" fontId="29" fillId="0" borderId="0" xfId="62" applyFont="1" applyAlignment="1">
      <alignment horizontal="center" wrapText="1"/>
      <protection/>
    </xf>
    <xf numFmtId="0" fontId="7" fillId="0" borderId="59"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54" xfId="62" applyFont="1" applyBorder="1" applyAlignment="1">
      <alignment horizontal="center" vertical="center" wrapText="1"/>
      <protection/>
    </xf>
    <xf numFmtId="0" fontId="7" fillId="0" borderId="50" xfId="62" applyFont="1" applyBorder="1" applyAlignment="1">
      <alignment horizontal="center" vertical="center" wrapText="1"/>
      <protection/>
    </xf>
    <xf numFmtId="3" fontId="7" fillId="0" borderId="63" xfId="62" applyNumberFormat="1" applyFont="1" applyBorder="1" applyAlignment="1">
      <alignment horizontal="center" vertical="center" wrapText="1"/>
      <protection/>
    </xf>
    <xf numFmtId="3" fontId="7" fillId="0" borderId="52" xfId="62" applyNumberFormat="1" applyFont="1" applyBorder="1" applyAlignment="1">
      <alignment horizontal="center" vertical="center" wrapText="1"/>
      <protection/>
    </xf>
    <xf numFmtId="3" fontId="7" fillId="0" borderId="62" xfId="62" applyNumberFormat="1" applyFont="1" applyBorder="1" applyAlignment="1">
      <alignment horizontal="center" vertical="center" wrapText="1"/>
      <protection/>
    </xf>
    <xf numFmtId="0" fontId="8" fillId="33" borderId="54" xfId="62" applyFont="1" applyFill="1" applyBorder="1" applyAlignment="1">
      <alignment horizontal="left" wrapText="1"/>
      <protection/>
    </xf>
    <xf numFmtId="0" fontId="8" fillId="33" borderId="55" xfId="62" applyFont="1" applyFill="1" applyBorder="1" applyAlignment="1">
      <alignment horizontal="left" wrapText="1"/>
      <protection/>
    </xf>
    <xf numFmtId="0" fontId="8" fillId="33" borderId="56" xfId="62" applyFont="1" applyFill="1" applyBorder="1" applyAlignment="1">
      <alignment horizontal="left" wrapText="1"/>
      <protection/>
    </xf>
    <xf numFmtId="0" fontId="3" fillId="0" borderId="50" xfId="60" applyFont="1" applyBorder="1" applyAlignment="1">
      <alignment horizontal="left"/>
      <protection/>
    </xf>
    <xf numFmtId="0" fontId="3" fillId="0" borderId="31" xfId="60" applyFont="1" applyBorder="1" applyAlignment="1">
      <alignment horizontal="left"/>
      <protection/>
    </xf>
    <xf numFmtId="0" fontId="3" fillId="0" borderId="51" xfId="60" applyFont="1" applyBorder="1" applyAlignment="1">
      <alignment horizontal="left"/>
      <protection/>
    </xf>
    <xf numFmtId="0" fontId="8" fillId="0" borderId="54" xfId="62" applyFont="1" applyBorder="1" applyAlignment="1">
      <alignment horizontal="left" wrapText="1"/>
      <protection/>
    </xf>
    <xf numFmtId="0" fontId="8" fillId="0" borderId="55" xfId="62" applyFont="1" applyBorder="1" applyAlignment="1">
      <alignment horizontal="left" wrapText="1"/>
      <protection/>
    </xf>
    <xf numFmtId="0" fontId="8" fillId="0" borderId="56" xfId="62" applyFont="1" applyBorder="1" applyAlignment="1">
      <alignment horizontal="left" wrapText="1"/>
      <protection/>
    </xf>
    <xf numFmtId="0" fontId="8" fillId="0" borderId="50" xfId="62" applyFont="1" applyBorder="1" applyAlignment="1">
      <alignment horizontal="left" vertical="center" wrapText="1"/>
      <protection/>
    </xf>
    <xf numFmtId="0" fontId="8" fillId="0" borderId="31" xfId="62" applyFont="1" applyBorder="1" applyAlignment="1">
      <alignment horizontal="left" vertical="center" wrapText="1"/>
      <protection/>
    </xf>
    <xf numFmtId="0" fontId="8" fillId="0" borderId="51" xfId="62" applyFont="1" applyBorder="1" applyAlignment="1">
      <alignment horizontal="left" vertical="center" wrapText="1"/>
      <protection/>
    </xf>
    <xf numFmtId="0" fontId="26" fillId="0" borderId="10" xfId="65" applyFont="1" applyFill="1" applyBorder="1" applyAlignment="1">
      <alignment horizontal="center" vertical="center" wrapText="1"/>
      <protection/>
    </xf>
    <xf numFmtId="0" fontId="26" fillId="0" borderId="23" xfId="65" applyFont="1" applyFill="1" applyBorder="1" applyAlignment="1">
      <alignment horizontal="center" vertical="center" wrapText="1"/>
      <protection/>
    </xf>
    <xf numFmtId="1" fontId="29" fillId="0" borderId="0" xfId="65" applyNumberFormat="1" applyFont="1" applyFill="1" applyAlignment="1">
      <alignment horizontal="center"/>
      <protection/>
    </xf>
    <xf numFmtId="0" fontId="8" fillId="0" borderId="38" xfId="65" applyFont="1" applyFill="1" applyBorder="1" applyAlignment="1">
      <alignment horizontal="center" vertical="center" wrapText="1"/>
      <protection/>
    </xf>
    <xf numFmtId="0" fontId="8" fillId="0" borderId="22" xfId="65" applyFont="1" applyFill="1" applyBorder="1" applyAlignment="1">
      <alignment horizontal="center" vertical="center" wrapText="1"/>
      <protection/>
    </xf>
    <xf numFmtId="0" fontId="8" fillId="0" borderId="61"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7" fillId="0" borderId="61" xfId="65"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xf numFmtId="0" fontId="7" fillId="0" borderId="61" xfId="65" applyFont="1" applyFill="1" applyBorder="1" applyAlignment="1">
      <alignment horizontal="center" vertical="center"/>
      <protection/>
    </xf>
    <xf numFmtId="2" fontId="7" fillId="0" borderId="61" xfId="65" applyNumberFormat="1" applyFont="1" applyFill="1" applyBorder="1" applyAlignment="1">
      <alignment horizontal="center" vertical="center" wrapText="1"/>
      <protection/>
    </xf>
    <xf numFmtId="2" fontId="7" fillId="0" borderId="41" xfId="65" applyNumberFormat="1" applyFont="1" applyFill="1" applyBorder="1" applyAlignment="1">
      <alignment horizontal="center" vertical="center" wrapText="1"/>
      <protection/>
    </xf>
    <xf numFmtId="0" fontId="4" fillId="0" borderId="0" xfId="0" applyFont="1" applyBorder="1" applyAlignment="1">
      <alignment horizontal="center" vertical="center" wrapText="1"/>
    </xf>
    <xf numFmtId="0" fontId="5" fillId="0" borderId="63" xfId="60" applyFont="1" applyBorder="1" applyAlignment="1">
      <alignment horizontal="right"/>
      <protection/>
    </xf>
    <xf numFmtId="0" fontId="5" fillId="0" borderId="62" xfId="60" applyFont="1" applyBorder="1" applyAlignment="1">
      <alignment horizontal="right"/>
      <protection/>
    </xf>
    <xf numFmtId="1" fontId="3" fillId="0" borderId="12" xfId="60" applyNumberFormat="1" applyFont="1" applyFill="1" applyBorder="1" applyAlignment="1">
      <alignment horizontal="right" vertical="center" wrapText="1"/>
      <protection/>
    </xf>
    <xf numFmtId="1" fontId="3" fillId="0" borderId="16" xfId="60" applyNumberFormat="1" applyFont="1" applyFill="1" applyBorder="1" applyAlignment="1">
      <alignment horizontal="right" vertical="center" wrapText="1"/>
      <protection/>
    </xf>
    <xf numFmtId="1" fontId="3" fillId="0" borderId="13" xfId="60" applyNumberFormat="1" applyFont="1" applyFill="1" applyBorder="1" applyAlignment="1">
      <alignment horizontal="right" vertical="center" wrapText="1"/>
      <protection/>
    </xf>
    <xf numFmtId="0" fontId="3" fillId="0" borderId="12"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3" fillId="0" borderId="13" xfId="60" applyFont="1" applyFill="1" applyBorder="1" applyAlignment="1">
      <alignment horizontal="center" vertical="center" wrapText="1"/>
      <protection/>
    </xf>
    <xf numFmtId="49" fontId="3" fillId="0" borderId="12" xfId="60" applyNumberFormat="1" applyFont="1" applyFill="1" applyBorder="1" applyAlignment="1">
      <alignment horizontal="right" vertical="center"/>
      <protection/>
    </xf>
    <xf numFmtId="49" fontId="3" fillId="0" borderId="16" xfId="60" applyNumberFormat="1" applyFont="1" applyFill="1" applyBorder="1" applyAlignment="1">
      <alignment horizontal="right" vertical="center"/>
      <protection/>
    </xf>
    <xf numFmtId="49" fontId="3" fillId="0" borderId="13" xfId="60" applyNumberFormat="1" applyFont="1" applyFill="1" applyBorder="1" applyAlignment="1">
      <alignment horizontal="right" vertical="center"/>
      <protection/>
    </xf>
    <xf numFmtId="0" fontId="3" fillId="0" borderId="12" xfId="60" applyFont="1" applyFill="1" applyBorder="1" applyAlignment="1">
      <alignment horizontal="left" vertical="center" wrapText="1"/>
      <protection/>
    </xf>
    <xf numFmtId="0" fontId="3" fillId="0" borderId="16" xfId="60" applyFont="1" applyFill="1" applyBorder="1" applyAlignment="1">
      <alignment horizontal="left" vertical="center" wrapText="1"/>
      <protection/>
    </xf>
    <xf numFmtId="0" fontId="3" fillId="0" borderId="13" xfId="60" applyFont="1" applyFill="1" applyBorder="1" applyAlignment="1">
      <alignment horizontal="left" vertical="center" wrapText="1"/>
      <protection/>
    </xf>
    <xf numFmtId="3" fontId="3" fillId="0" borderId="12" xfId="60" applyNumberFormat="1" applyFont="1" applyFill="1" applyBorder="1" applyAlignment="1">
      <alignment horizontal="right" vertical="center" wrapText="1"/>
      <protection/>
    </xf>
    <xf numFmtId="3" fontId="3" fillId="0" borderId="16" xfId="60" applyNumberFormat="1" applyFont="1" applyFill="1" applyBorder="1" applyAlignment="1">
      <alignment horizontal="right" vertical="center" wrapText="1"/>
      <protection/>
    </xf>
    <xf numFmtId="3" fontId="3" fillId="0" borderId="13" xfId="60" applyNumberFormat="1" applyFont="1" applyFill="1" applyBorder="1" applyAlignment="1">
      <alignment horizontal="right" vertical="center" wrapText="1"/>
      <protection/>
    </xf>
    <xf numFmtId="0" fontId="3" fillId="0" borderId="0" xfId="60" applyFont="1" applyFill="1" applyBorder="1" applyAlignment="1">
      <alignment horizontal="left"/>
      <protection/>
    </xf>
    <xf numFmtId="49" fontId="3" fillId="0" borderId="0" xfId="60" applyNumberFormat="1" applyFont="1" applyBorder="1" applyAlignment="1">
      <alignment horizontal="left"/>
      <protection/>
    </xf>
    <xf numFmtId="0" fontId="3" fillId="0" borderId="10" xfId="60" applyFont="1" applyBorder="1" applyAlignment="1">
      <alignment horizontal="center" vertical="center" wrapText="1"/>
      <protection/>
    </xf>
    <xf numFmtId="0" fontId="5" fillId="0" borderId="14" xfId="60" applyFont="1" applyBorder="1" applyAlignment="1">
      <alignment horizontal="right" wrapText="1"/>
      <protection/>
    </xf>
    <xf numFmtId="0" fontId="5" fillId="0" borderId="15" xfId="60" applyFont="1" applyBorder="1" applyAlignment="1">
      <alignment horizontal="right" wrapText="1"/>
      <protection/>
    </xf>
    <xf numFmtId="0" fontId="3" fillId="0" borderId="0" xfId="60" applyFont="1" applyBorder="1" applyAlignment="1">
      <alignment horizontal="left"/>
      <protection/>
    </xf>
    <xf numFmtId="0" fontId="3" fillId="0" borderId="0" xfId="60" applyFont="1" applyFill="1" applyBorder="1" applyAlignment="1">
      <alignment horizontal="left" wrapText="1"/>
      <protection/>
    </xf>
    <xf numFmtId="0" fontId="3" fillId="0" borderId="10" xfId="60" applyFont="1" applyFill="1" applyBorder="1" applyAlignment="1">
      <alignment horizontal="left" vertical="center" wrapText="1"/>
      <protection/>
    </xf>
    <xf numFmtId="3" fontId="3" fillId="0" borderId="10" xfId="60" applyNumberFormat="1" applyFont="1" applyFill="1" applyBorder="1" applyAlignment="1">
      <alignment horizontal="right" vertical="center" wrapText="1"/>
      <protection/>
    </xf>
    <xf numFmtId="3" fontId="3" fillId="0" borderId="12" xfId="60" applyNumberFormat="1" applyFont="1" applyFill="1" applyBorder="1" applyAlignment="1">
      <alignment horizontal="center" vertical="center" wrapText="1"/>
      <protection/>
    </xf>
    <xf numFmtId="3" fontId="3" fillId="0" borderId="13" xfId="60" applyNumberFormat="1" applyFont="1" applyFill="1" applyBorder="1" applyAlignment="1">
      <alignment horizontal="center" vertical="center" wrapText="1"/>
      <protection/>
    </xf>
    <xf numFmtId="3" fontId="3" fillId="0" borderId="16" xfId="60" applyNumberFormat="1" applyFont="1" applyFill="1" applyBorder="1" applyAlignment="1">
      <alignment horizontal="center" vertical="center" wrapText="1"/>
      <protection/>
    </xf>
    <xf numFmtId="1" fontId="3" fillId="0" borderId="12" xfId="60" applyNumberFormat="1" applyFont="1" applyFill="1" applyBorder="1" applyAlignment="1">
      <alignment horizontal="center" vertical="center" wrapText="1"/>
      <protection/>
    </xf>
    <xf numFmtId="1" fontId="3" fillId="0" borderId="16" xfId="60" applyNumberFormat="1" applyFont="1" applyFill="1" applyBorder="1" applyAlignment="1">
      <alignment horizontal="center" vertical="center" wrapText="1"/>
      <protection/>
    </xf>
    <xf numFmtId="1" fontId="3" fillId="0" borderId="13" xfId="60" applyNumberFormat="1" applyFont="1" applyFill="1" applyBorder="1" applyAlignment="1">
      <alignment horizontal="center" vertical="center" wrapText="1"/>
      <protection/>
    </xf>
    <xf numFmtId="0" fontId="3" fillId="0" borderId="12" xfId="60" applyFont="1" applyFill="1" applyBorder="1" applyAlignment="1">
      <alignment horizontal="left" wrapText="1"/>
      <protection/>
    </xf>
    <xf numFmtId="0" fontId="3" fillId="0" borderId="13" xfId="60" applyFont="1" applyFill="1" applyBorder="1" applyAlignment="1">
      <alignment horizontal="left" wrapText="1"/>
      <protection/>
    </xf>
    <xf numFmtId="49" fontId="3" fillId="0" borderId="12" xfId="60" applyNumberFormat="1" applyFont="1" applyFill="1" applyBorder="1" applyAlignment="1">
      <alignment horizontal="right"/>
      <protection/>
    </xf>
    <xf numFmtId="49" fontId="3" fillId="0" borderId="13" xfId="60" applyNumberFormat="1" applyFont="1" applyFill="1" applyBorder="1" applyAlignment="1">
      <alignment horizontal="right"/>
      <protection/>
    </xf>
    <xf numFmtId="49" fontId="3" fillId="0" borderId="12" xfId="60" applyNumberFormat="1" applyFont="1" applyFill="1" applyBorder="1" applyAlignment="1">
      <alignment horizontal="right" vertical="center" wrapText="1"/>
      <protection/>
    </xf>
    <xf numFmtId="49" fontId="3" fillId="0" borderId="13" xfId="60" applyNumberFormat="1" applyFont="1" applyFill="1" applyBorder="1" applyAlignment="1">
      <alignment horizontal="right" vertical="center" wrapText="1"/>
      <protection/>
    </xf>
    <xf numFmtId="0" fontId="3" fillId="0" borderId="0" xfId="60" applyFont="1" applyAlignment="1">
      <alignment horizontal="left"/>
      <protection/>
    </xf>
    <xf numFmtId="0" fontId="6" fillId="0" borderId="0" xfId="60" applyFont="1" applyAlignment="1">
      <alignment horizontal="center"/>
      <protection/>
    </xf>
    <xf numFmtId="0" fontId="3" fillId="0" borderId="17" xfId="60" applyFont="1" applyBorder="1" applyAlignment="1">
      <alignment horizontal="left"/>
      <protection/>
    </xf>
    <xf numFmtId="0" fontId="3" fillId="0" borderId="16" xfId="60" applyFont="1" applyBorder="1" applyAlignment="1">
      <alignment horizontal="right" vertical="center" wrapText="1"/>
      <protection/>
    </xf>
    <xf numFmtId="0" fontId="3" fillId="0" borderId="13" xfId="60" applyFont="1" applyBorder="1" applyAlignment="1">
      <alignment horizontal="right" vertical="center" wrapText="1"/>
      <protection/>
    </xf>
    <xf numFmtId="0" fontId="3" fillId="0" borderId="16" xfId="60" applyFont="1" applyBorder="1" applyAlignment="1">
      <alignment horizontal="left" vertical="center" wrapText="1"/>
      <protection/>
    </xf>
    <xf numFmtId="0" fontId="3" fillId="0" borderId="13" xfId="60" applyFont="1" applyBorder="1" applyAlignment="1">
      <alignment horizontal="left" vertical="center" wrapText="1"/>
      <protection/>
    </xf>
    <xf numFmtId="0" fontId="3" fillId="0" borderId="12" xfId="60" applyFont="1" applyBorder="1" applyAlignment="1">
      <alignment horizontal="right" vertical="center" wrapText="1"/>
      <protection/>
    </xf>
    <xf numFmtId="0" fontId="3" fillId="0" borderId="12" xfId="60" applyFont="1" applyBorder="1" applyAlignment="1">
      <alignment horizontal="left" vertical="center" wrapText="1"/>
      <protection/>
    </xf>
    <xf numFmtId="0" fontId="3" fillId="0" borderId="12" xfId="60" applyFont="1" applyBorder="1" applyAlignment="1">
      <alignment vertical="center" wrapText="1"/>
      <protection/>
    </xf>
    <xf numFmtId="0" fontId="2" fillId="0" borderId="13" xfId="60" applyBorder="1" applyAlignment="1">
      <alignment vertical="center" wrapText="1"/>
      <protection/>
    </xf>
    <xf numFmtId="0" fontId="2" fillId="0" borderId="16" xfId="60" applyBorder="1" applyAlignment="1">
      <alignment horizontal="left" vertical="center" wrapText="1"/>
      <protection/>
    </xf>
    <xf numFmtId="0" fontId="2" fillId="0" borderId="13" xfId="60" applyBorder="1" applyAlignment="1">
      <alignment horizontal="left" vertical="center" wrapText="1"/>
      <protection/>
    </xf>
    <xf numFmtId="0" fontId="4" fillId="0" borderId="0" xfId="60" applyFont="1" applyAlignment="1">
      <alignment horizontal="center"/>
      <protection/>
    </xf>
    <xf numFmtId="0" fontId="3" fillId="0" borderId="12" xfId="61" applyFont="1" applyFill="1" applyBorder="1" applyAlignment="1">
      <alignment horizontal="left" vertical="center" wrapText="1"/>
      <protection/>
    </xf>
    <xf numFmtId="0" fontId="3" fillId="0" borderId="16" xfId="61" applyFont="1" applyFill="1" applyBorder="1" applyAlignment="1">
      <alignment horizontal="left" vertical="center" wrapText="1"/>
      <protection/>
    </xf>
    <xf numFmtId="0" fontId="3" fillId="0" borderId="13" xfId="61" applyFont="1" applyFill="1" applyBorder="1" applyAlignment="1">
      <alignment horizontal="left" vertical="center" wrapText="1"/>
      <protection/>
    </xf>
    <xf numFmtId="49" fontId="3" fillId="0" borderId="12" xfId="67" applyNumberFormat="1" applyFont="1" applyFill="1" applyBorder="1" applyAlignment="1">
      <alignment horizontal="right" vertical="center" wrapText="1"/>
      <protection/>
    </xf>
    <xf numFmtId="49" fontId="3" fillId="0" borderId="16" xfId="67" applyNumberFormat="1" applyFont="1" applyFill="1" applyBorder="1" applyAlignment="1">
      <alignment horizontal="right" vertical="center" wrapText="1"/>
      <protection/>
    </xf>
    <xf numFmtId="49" fontId="3" fillId="0" borderId="13" xfId="67" applyNumberFormat="1" applyFont="1" applyFill="1" applyBorder="1" applyAlignment="1">
      <alignment horizontal="right" vertical="center" wrapText="1"/>
      <protection/>
    </xf>
    <xf numFmtId="0" fontId="5" fillId="0" borderId="43" xfId="61" applyFont="1" applyFill="1" applyBorder="1" applyAlignment="1">
      <alignment horizontal="right" wrapText="1"/>
      <protection/>
    </xf>
    <xf numFmtId="0" fontId="5" fillId="0" borderId="44" xfId="61" applyFont="1" applyFill="1" applyBorder="1" applyAlignment="1">
      <alignment horizontal="right" wrapText="1"/>
      <protection/>
    </xf>
    <xf numFmtId="0" fontId="5" fillId="0" borderId="63" xfId="61" applyFont="1" applyFill="1" applyBorder="1" applyAlignment="1">
      <alignment horizontal="right"/>
      <protection/>
    </xf>
    <xf numFmtId="0" fontId="5" fillId="0" borderId="62" xfId="61" applyFont="1" applyFill="1" applyBorder="1" applyAlignment="1">
      <alignment horizontal="right"/>
      <protection/>
    </xf>
    <xf numFmtId="0" fontId="3" fillId="0" borderId="0" xfId="61" applyFont="1" applyFill="1" applyBorder="1" applyAlignment="1">
      <alignment horizontal="left"/>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3" fillId="0" borderId="12" xfId="67" applyFont="1" applyFill="1" applyBorder="1" applyAlignment="1">
      <alignment vertical="center" wrapText="1"/>
      <protection/>
    </xf>
    <xf numFmtId="0" fontId="3" fillId="0" borderId="16" xfId="67" applyFont="1" applyFill="1" applyBorder="1" applyAlignment="1">
      <alignment vertical="center" wrapText="1"/>
      <protection/>
    </xf>
    <xf numFmtId="0" fontId="3" fillId="0" borderId="13" xfId="67" applyFont="1" applyFill="1" applyBorder="1" applyAlignment="1">
      <alignment vertical="center" wrapText="1"/>
      <protection/>
    </xf>
    <xf numFmtId="0" fontId="3" fillId="0" borderId="12" xfId="61" applyFont="1" applyFill="1" applyBorder="1" applyAlignment="1">
      <alignment horizontal="left" vertical="center"/>
      <protection/>
    </xf>
    <xf numFmtId="0" fontId="3" fillId="0" borderId="16" xfId="61" applyFont="1" applyFill="1" applyBorder="1" applyAlignment="1">
      <alignment horizontal="left" vertical="center"/>
      <protection/>
    </xf>
    <xf numFmtId="0" fontId="3" fillId="0" borderId="13" xfId="61" applyFont="1" applyFill="1" applyBorder="1" applyAlignment="1">
      <alignment horizontal="left" vertical="center"/>
      <protection/>
    </xf>
    <xf numFmtId="0" fontId="3" fillId="0" borderId="10" xfId="67" applyFont="1" applyFill="1" applyBorder="1" applyAlignment="1">
      <alignment vertical="center" wrapText="1"/>
      <protection/>
    </xf>
    <xf numFmtId="0" fontId="3" fillId="0" borderId="12" xfId="67" applyFont="1" applyFill="1" applyBorder="1" applyAlignment="1">
      <alignment horizontal="left" vertical="center" wrapText="1"/>
      <protection/>
    </xf>
    <xf numFmtId="0" fontId="3" fillId="0" borderId="16" xfId="67" applyFont="1" applyFill="1" applyBorder="1" applyAlignment="1">
      <alignment horizontal="left" vertical="center" wrapText="1"/>
      <protection/>
    </xf>
    <xf numFmtId="0" fontId="3" fillId="0" borderId="13" xfId="67" applyFont="1" applyFill="1" applyBorder="1" applyAlignment="1">
      <alignment horizontal="left" vertical="center" wrapText="1"/>
      <protection/>
    </xf>
    <xf numFmtId="49" fontId="3" fillId="0" borderId="12" xfId="61" applyNumberFormat="1" applyFont="1" applyFill="1" applyBorder="1" applyAlignment="1">
      <alignment horizontal="right" vertical="center"/>
      <protection/>
    </xf>
    <xf numFmtId="49" fontId="3" fillId="0" borderId="13" xfId="61" applyNumberFormat="1" applyFont="1" applyFill="1" applyBorder="1" applyAlignment="1">
      <alignment horizontal="right" vertical="center"/>
      <protection/>
    </xf>
    <xf numFmtId="0" fontId="3" fillId="0" borderId="12" xfId="61" applyFont="1" applyFill="1" applyBorder="1" applyAlignment="1">
      <alignment vertical="center" wrapText="1"/>
      <protection/>
    </xf>
    <xf numFmtId="0" fontId="3" fillId="0" borderId="13" xfId="61" applyFont="1" applyFill="1" applyBorder="1" applyAlignment="1">
      <alignment vertical="center" wrapText="1"/>
      <protection/>
    </xf>
    <xf numFmtId="49" fontId="3" fillId="0" borderId="16" xfId="61" applyNumberFormat="1" applyFont="1" applyFill="1" applyBorder="1" applyAlignment="1">
      <alignment horizontal="right" vertical="center"/>
      <protection/>
    </xf>
    <xf numFmtId="0" fontId="3" fillId="0" borderId="16" xfId="61" applyFont="1" applyFill="1" applyBorder="1" applyAlignment="1">
      <alignment vertical="center" wrapText="1"/>
      <protection/>
    </xf>
    <xf numFmtId="49" fontId="3" fillId="0" borderId="10" xfId="61" applyNumberFormat="1" applyFont="1" applyFill="1" applyBorder="1" applyAlignment="1">
      <alignment horizontal="right"/>
      <protection/>
    </xf>
    <xf numFmtId="0" fontId="3" fillId="0" borderId="10" xfId="61" applyFont="1" applyFill="1" applyBorder="1" applyAlignment="1">
      <alignment wrapText="1"/>
      <protection/>
    </xf>
    <xf numFmtId="49" fontId="3" fillId="0" borderId="12" xfId="61" applyNumberFormat="1" applyFont="1" applyFill="1" applyBorder="1" applyAlignment="1">
      <alignment horizontal="right"/>
      <protection/>
    </xf>
    <xf numFmtId="49" fontId="3" fillId="0" borderId="16" xfId="61" applyNumberFormat="1" applyFont="1" applyFill="1" applyBorder="1" applyAlignment="1">
      <alignment horizontal="right"/>
      <protection/>
    </xf>
    <xf numFmtId="49" fontId="3" fillId="0" borderId="13" xfId="61" applyNumberFormat="1" applyFont="1" applyFill="1" applyBorder="1" applyAlignment="1">
      <alignment horizontal="right"/>
      <protection/>
    </xf>
    <xf numFmtId="49" fontId="3" fillId="0" borderId="10" xfId="67" applyNumberFormat="1" applyFont="1" applyFill="1" applyBorder="1" applyAlignment="1">
      <alignment horizontal="right" vertical="center" wrapText="1"/>
      <protection/>
    </xf>
    <xf numFmtId="49" fontId="3" fillId="0" borderId="10" xfId="61" applyNumberFormat="1" applyFont="1" applyFill="1" applyBorder="1" applyAlignment="1">
      <alignment horizontal="right" vertical="center"/>
      <protection/>
    </xf>
    <xf numFmtId="0" fontId="3" fillId="0" borderId="10" xfId="61" applyFont="1" applyFill="1" applyBorder="1" applyAlignment="1">
      <alignment vertical="center" wrapText="1"/>
      <protection/>
    </xf>
    <xf numFmtId="0" fontId="3" fillId="0" borderId="12" xfId="61" applyNumberFormat="1" applyFont="1" applyFill="1" applyBorder="1" applyAlignment="1">
      <alignment horizontal="right" vertical="center" wrapText="1"/>
      <protection/>
    </xf>
    <xf numFmtId="0" fontId="3" fillId="0" borderId="13" xfId="61" applyNumberFormat="1" applyFont="1" applyFill="1" applyBorder="1" applyAlignment="1">
      <alignment horizontal="right" vertical="center" wrapText="1"/>
      <protection/>
    </xf>
    <xf numFmtId="0" fontId="3" fillId="0" borderId="12" xfId="61" applyFont="1" applyFill="1" applyBorder="1" applyAlignment="1">
      <alignment horizontal="right" vertical="center"/>
      <protection/>
    </xf>
    <xf numFmtId="0" fontId="3" fillId="0" borderId="13" xfId="61" applyFont="1" applyFill="1" applyBorder="1" applyAlignment="1">
      <alignment horizontal="right" vertical="center"/>
      <protection/>
    </xf>
    <xf numFmtId="0" fontId="3" fillId="0" borderId="0" xfId="61" applyFont="1" applyFill="1" applyAlignment="1">
      <alignment horizontal="left"/>
      <protection/>
    </xf>
    <xf numFmtId="0" fontId="6" fillId="0" borderId="0" xfId="61" applyFont="1" applyFill="1" applyAlignment="1">
      <alignment horizontal="center"/>
      <protection/>
    </xf>
    <xf numFmtId="0" fontId="5" fillId="0" borderId="10" xfId="60" applyFont="1" applyBorder="1" applyAlignment="1">
      <alignment horizontal="right" wrapText="1"/>
      <protection/>
    </xf>
    <xf numFmtId="0" fontId="3" fillId="0" borderId="12" xfId="60" applyFont="1" applyBorder="1" applyAlignment="1">
      <alignment horizontal="left" wrapText="1"/>
      <protection/>
    </xf>
    <xf numFmtId="0" fontId="3" fillId="0" borderId="13" xfId="60" applyFont="1" applyBorder="1" applyAlignment="1">
      <alignment horizontal="left" wrapText="1"/>
      <protection/>
    </xf>
    <xf numFmtId="0" fontId="3" fillId="0" borderId="12" xfId="60" applyFont="1" applyBorder="1" applyAlignment="1">
      <alignment horizontal="right" wrapText="1"/>
      <protection/>
    </xf>
    <xf numFmtId="0" fontId="3" fillId="0" borderId="13" xfId="60" applyFont="1" applyBorder="1" applyAlignment="1">
      <alignment horizontal="right" wrapText="1"/>
      <protection/>
    </xf>
    <xf numFmtId="0" fontId="3" fillId="0" borderId="12" xfId="60" applyFont="1" applyBorder="1" applyAlignment="1">
      <alignment horizontal="center" vertical="center" wrapText="1"/>
      <protection/>
    </xf>
    <xf numFmtId="0" fontId="3" fillId="0" borderId="13" xfId="60" applyFont="1" applyBorder="1" applyAlignment="1">
      <alignment horizontal="center" vertical="center" wrapText="1"/>
      <protection/>
    </xf>
    <xf numFmtId="3" fontId="3" fillId="0" borderId="12" xfId="60" applyNumberFormat="1" applyFont="1" applyBorder="1" applyAlignment="1">
      <alignment horizontal="right" vertical="center" wrapText="1"/>
      <protection/>
    </xf>
    <xf numFmtId="3" fontId="3" fillId="0" borderId="13" xfId="60" applyNumberFormat="1" applyFont="1" applyBorder="1" applyAlignment="1">
      <alignment horizontal="right" vertical="center" wrapText="1"/>
      <protection/>
    </xf>
    <xf numFmtId="2" fontId="14" fillId="0" borderId="12" xfId="60" applyNumberFormat="1" applyFont="1" applyFill="1" applyBorder="1" applyAlignment="1" applyProtection="1">
      <alignment horizontal="left" vertical="center" wrapText="1"/>
      <protection/>
    </xf>
    <xf numFmtId="2" fontId="14" fillId="0" borderId="16" xfId="60" applyNumberFormat="1" applyFont="1" applyFill="1" applyBorder="1" applyAlignment="1" applyProtection="1">
      <alignment horizontal="left" vertical="center" wrapText="1"/>
      <protection/>
    </xf>
    <xf numFmtId="2" fontId="14" fillId="0" borderId="13" xfId="60" applyNumberFormat="1" applyFont="1" applyFill="1" applyBorder="1" applyAlignment="1" applyProtection="1">
      <alignment horizontal="left" vertical="center" wrapText="1"/>
      <protection/>
    </xf>
    <xf numFmtId="0" fontId="3" fillId="0" borderId="10" xfId="60" applyFont="1" applyBorder="1" applyAlignment="1">
      <alignment horizontal="right" vertical="center" wrapText="1"/>
      <protection/>
    </xf>
    <xf numFmtId="0" fontId="3" fillId="0" borderId="16" xfId="60" applyFont="1" applyBorder="1" applyAlignment="1">
      <alignment horizontal="right" wrapText="1"/>
      <protection/>
    </xf>
    <xf numFmtId="2" fontId="3" fillId="0" borderId="12" xfId="60" applyNumberFormat="1" applyFont="1" applyFill="1" applyBorder="1" applyAlignment="1">
      <alignment horizontal="left" vertical="center" wrapText="1"/>
      <protection/>
    </xf>
    <xf numFmtId="2" fontId="3" fillId="0" borderId="16" xfId="60" applyNumberFormat="1" applyFont="1" applyFill="1" applyBorder="1" applyAlignment="1">
      <alignment horizontal="left" vertical="center" wrapText="1"/>
      <protection/>
    </xf>
    <xf numFmtId="2" fontId="3" fillId="0" borderId="13" xfId="60" applyNumberFormat="1" applyFont="1" applyFill="1" applyBorder="1" applyAlignment="1">
      <alignment horizontal="left" vertical="center" wrapText="1"/>
      <protection/>
    </xf>
    <xf numFmtId="0" fontId="3" fillId="0" borderId="12" xfId="60" applyFont="1" applyBorder="1" applyAlignment="1">
      <alignment horizontal="right" vertical="center"/>
      <protection/>
    </xf>
    <xf numFmtId="0" fontId="3" fillId="0" borderId="16" xfId="60" applyFont="1" applyBorder="1" applyAlignment="1">
      <alignment horizontal="right" vertical="center"/>
      <protection/>
    </xf>
    <xf numFmtId="0" fontId="3" fillId="0" borderId="13" xfId="60" applyFont="1" applyBorder="1" applyAlignment="1">
      <alignment horizontal="right" vertical="center"/>
      <protection/>
    </xf>
    <xf numFmtId="2" fontId="3" fillId="0" borderId="12" xfId="60" applyNumberFormat="1" applyFont="1" applyFill="1" applyBorder="1" applyAlignment="1">
      <alignment horizontal="left" wrapText="1"/>
      <protection/>
    </xf>
    <xf numFmtId="2" fontId="3" fillId="0" borderId="13" xfId="60" applyNumberFormat="1" applyFont="1" applyFill="1" applyBorder="1" applyAlignment="1">
      <alignment horizontal="left" wrapText="1"/>
      <protection/>
    </xf>
    <xf numFmtId="0" fontId="3" fillId="0" borderId="12" xfId="60" applyFont="1" applyBorder="1" applyAlignment="1">
      <alignment horizontal="left" vertical="center"/>
      <protection/>
    </xf>
    <xf numFmtId="0" fontId="3" fillId="0" borderId="13" xfId="60" applyFont="1" applyBorder="1" applyAlignment="1">
      <alignment horizontal="left" vertical="center"/>
      <protection/>
    </xf>
    <xf numFmtId="2" fontId="3" fillId="33" borderId="12" xfId="60" applyNumberFormat="1" applyFont="1" applyFill="1" applyBorder="1" applyAlignment="1">
      <alignment horizontal="left" vertical="center" wrapText="1"/>
      <protection/>
    </xf>
    <xf numFmtId="2" fontId="3" fillId="33" borderId="16" xfId="60" applyNumberFormat="1" applyFont="1" applyFill="1" applyBorder="1" applyAlignment="1">
      <alignment horizontal="left" vertical="center" wrapText="1"/>
      <protection/>
    </xf>
    <xf numFmtId="2" fontId="3" fillId="33" borderId="13" xfId="60" applyNumberFormat="1" applyFont="1" applyFill="1" applyBorder="1" applyAlignment="1">
      <alignment horizontal="left" vertical="center" wrapText="1"/>
      <protection/>
    </xf>
    <xf numFmtId="2" fontId="14" fillId="33" borderId="12" xfId="60" applyNumberFormat="1" applyFont="1" applyFill="1" applyBorder="1" applyAlignment="1" applyProtection="1">
      <alignment horizontal="left" vertical="center" wrapText="1"/>
      <protection/>
    </xf>
    <xf numFmtId="2" fontId="14" fillId="33" borderId="16" xfId="60" applyNumberFormat="1" applyFont="1" applyFill="1" applyBorder="1" applyAlignment="1" applyProtection="1">
      <alignment horizontal="left" vertical="center" wrapText="1"/>
      <protection/>
    </xf>
    <xf numFmtId="2" fontId="14" fillId="33" borderId="13" xfId="60" applyNumberFormat="1" applyFont="1" applyFill="1" applyBorder="1" applyAlignment="1" applyProtection="1">
      <alignment horizontal="left" vertical="center" wrapText="1"/>
      <protection/>
    </xf>
    <xf numFmtId="0" fontId="5" fillId="0" borderId="11" xfId="60" applyFont="1" applyBorder="1" applyAlignment="1">
      <alignment horizontal="right"/>
      <protection/>
    </xf>
    <xf numFmtId="0" fontId="3" fillId="33" borderId="12" xfId="60" applyFont="1" applyFill="1" applyBorder="1" applyAlignment="1">
      <alignment horizontal="left" vertical="center" wrapText="1"/>
      <protection/>
    </xf>
    <xf numFmtId="0" fontId="3" fillId="33" borderId="13" xfId="60" applyFont="1" applyFill="1" applyBorder="1" applyAlignment="1">
      <alignment horizontal="left" vertical="center" wrapText="1"/>
      <protection/>
    </xf>
    <xf numFmtId="0" fontId="3" fillId="33" borderId="16" xfId="60" applyFont="1" applyFill="1" applyBorder="1" applyAlignment="1">
      <alignment horizontal="left" vertical="center" wrapText="1"/>
      <protection/>
    </xf>
    <xf numFmtId="1" fontId="3" fillId="0" borderId="10" xfId="60" applyNumberFormat="1" applyFont="1" applyBorder="1" applyAlignment="1">
      <alignment horizontal="center" vertical="center" wrapText="1"/>
      <protection/>
    </xf>
    <xf numFmtId="1" fontId="3" fillId="0" borderId="12" xfId="60" applyNumberFormat="1" applyFont="1" applyBorder="1" applyAlignment="1">
      <alignment horizontal="right" vertical="center" wrapText="1"/>
      <protection/>
    </xf>
    <xf numFmtId="1" fontId="3" fillId="0" borderId="13" xfId="60" applyNumberFormat="1" applyFont="1" applyBorder="1" applyAlignment="1">
      <alignment horizontal="right" vertical="center" wrapText="1"/>
      <protection/>
    </xf>
    <xf numFmtId="0" fontId="19" fillId="0" borderId="10" xfId="55" applyFont="1" applyBorder="1" applyAlignment="1">
      <alignment horizontal="left" vertical="center" wrapText="1"/>
    </xf>
    <xf numFmtId="0" fontId="8" fillId="0" borderId="10" xfId="60" applyFont="1" applyBorder="1" applyAlignment="1">
      <alignment horizontal="right" vertical="center" wrapText="1"/>
      <protection/>
    </xf>
    <xf numFmtId="0" fontId="8" fillId="0" borderId="10" xfId="60" applyFont="1" applyBorder="1" applyAlignment="1">
      <alignment horizontal="left" vertical="center" wrapText="1"/>
      <protection/>
    </xf>
    <xf numFmtId="0" fontId="8" fillId="0" borderId="12" xfId="60" applyFont="1" applyBorder="1" applyAlignment="1">
      <alignment horizontal="left" wrapText="1"/>
      <protection/>
    </xf>
    <xf numFmtId="0" fontId="8" fillId="0" borderId="13" xfId="60" applyFont="1" applyBorder="1" applyAlignment="1">
      <alignment horizontal="left" wrapText="1"/>
      <protection/>
    </xf>
    <xf numFmtId="0" fontId="8" fillId="0" borderId="12" xfId="60" applyFont="1" applyBorder="1" applyAlignment="1">
      <alignment horizontal="center" wrapText="1"/>
      <protection/>
    </xf>
    <xf numFmtId="0" fontId="8" fillId="0" borderId="13" xfId="60" applyFont="1" applyBorder="1" applyAlignment="1">
      <alignment horizontal="center" wrapText="1"/>
      <protection/>
    </xf>
    <xf numFmtId="0" fontId="5" fillId="0" borderId="43" xfId="60" applyFont="1" applyBorder="1" applyAlignment="1">
      <alignment horizontal="right" wrapText="1"/>
      <protection/>
    </xf>
    <xf numFmtId="0" fontId="5" fillId="0" borderId="44" xfId="60" applyFont="1" applyBorder="1" applyAlignment="1">
      <alignment horizontal="right" wrapText="1"/>
      <protection/>
    </xf>
    <xf numFmtId="0" fontId="16" fillId="0" borderId="12" xfId="60" applyFont="1" applyFill="1" applyBorder="1" applyAlignment="1">
      <alignment horizontal="right" vertical="center" wrapText="1"/>
      <protection/>
    </xf>
    <xf numFmtId="0" fontId="16" fillId="0" borderId="13" xfId="60" applyFont="1" applyFill="1" applyBorder="1" applyAlignment="1">
      <alignment horizontal="right" vertical="center" wrapText="1"/>
      <protection/>
    </xf>
    <xf numFmtId="0" fontId="14" fillId="0" borderId="12" xfId="60" applyFont="1" applyFill="1" applyBorder="1" applyAlignment="1" applyProtection="1">
      <alignment horizontal="left" vertical="center" wrapText="1"/>
      <protection locked="0"/>
    </xf>
    <xf numFmtId="0" fontId="14" fillId="0" borderId="13" xfId="60" applyFont="1" applyFill="1" applyBorder="1" applyAlignment="1" applyProtection="1">
      <alignment horizontal="left" vertical="center" wrapText="1"/>
      <protection locked="0"/>
    </xf>
    <xf numFmtId="0" fontId="16" fillId="0" borderId="10" xfId="60" applyFont="1" applyFill="1" applyBorder="1" applyAlignment="1">
      <alignment horizontal="right" vertical="center" wrapText="1"/>
      <protection/>
    </xf>
    <xf numFmtId="0" fontId="14" fillId="0" borderId="10" xfId="60" applyFont="1" applyFill="1" applyBorder="1" applyAlignment="1" applyProtection="1">
      <alignment horizontal="left" vertical="center" wrapText="1"/>
      <protection locked="0"/>
    </xf>
    <xf numFmtId="0" fontId="20" fillId="0" borderId="12" xfId="60" applyFont="1" applyFill="1" applyBorder="1" applyAlignment="1">
      <alignment horizontal="right" vertical="center" wrapText="1"/>
      <protection/>
    </xf>
    <xf numFmtId="0" fontId="20" fillId="0" borderId="16" xfId="60" applyFont="1" applyFill="1" applyBorder="1" applyAlignment="1">
      <alignment horizontal="right" vertical="center" wrapText="1"/>
      <protection/>
    </xf>
    <xf numFmtId="0" fontId="20" fillId="0" borderId="12" xfId="60" applyFont="1" applyFill="1" applyBorder="1" applyAlignment="1">
      <alignment horizontal="left" vertical="center" wrapText="1"/>
      <protection/>
    </xf>
    <xf numFmtId="0" fontId="20" fillId="0" borderId="16" xfId="60" applyFont="1" applyFill="1" applyBorder="1" applyAlignment="1">
      <alignment horizontal="left" vertical="center" wrapText="1"/>
      <protection/>
    </xf>
    <xf numFmtId="0" fontId="16" fillId="0" borderId="10" xfId="60" applyFont="1" applyFill="1" applyBorder="1" applyAlignment="1">
      <alignment horizontal="right" vertical="center"/>
      <protection/>
    </xf>
    <xf numFmtId="0" fontId="14" fillId="0" borderId="10" xfId="60" applyFont="1" applyFill="1" applyBorder="1" applyAlignment="1">
      <alignment horizontal="left" vertical="center" wrapText="1"/>
      <protection/>
    </xf>
    <xf numFmtId="0" fontId="3" fillId="0" borderId="10" xfId="60" applyFont="1" applyFill="1" applyBorder="1" applyAlignment="1">
      <alignment horizontal="center" vertical="center" wrapText="1"/>
      <protection/>
    </xf>
    <xf numFmtId="0" fontId="5" fillId="0" borderId="10" xfId="60" applyFont="1" applyFill="1" applyBorder="1" applyAlignment="1">
      <alignment horizontal="right" wrapText="1"/>
      <protection/>
    </xf>
    <xf numFmtId="0" fontId="5" fillId="0" borderId="14" xfId="60" applyFont="1" applyFill="1" applyBorder="1" applyAlignment="1">
      <alignment horizontal="left" wrapText="1"/>
      <protection/>
    </xf>
    <xf numFmtId="0" fontId="5" fillId="0" borderId="15" xfId="60" applyFont="1" applyFill="1" applyBorder="1" applyAlignment="1">
      <alignment horizontal="left" wrapText="1"/>
      <protection/>
    </xf>
    <xf numFmtId="0" fontId="3" fillId="0" borderId="10" xfId="60" applyFont="1" applyFill="1" applyBorder="1" applyAlignment="1">
      <alignment horizontal="right" vertical="center"/>
      <protection/>
    </xf>
    <xf numFmtId="3" fontId="3" fillId="0" borderId="12" xfId="60" applyNumberFormat="1" applyFont="1" applyFill="1" applyBorder="1" applyAlignment="1">
      <alignment vertical="center" wrapText="1"/>
      <protection/>
    </xf>
    <xf numFmtId="3" fontId="3" fillId="0" borderId="16" xfId="60" applyNumberFormat="1" applyFont="1" applyFill="1" applyBorder="1" applyAlignment="1">
      <alignment vertical="center" wrapText="1"/>
      <protection/>
    </xf>
    <xf numFmtId="3" fontId="3" fillId="0" borderId="13" xfId="60" applyNumberFormat="1" applyFont="1" applyFill="1" applyBorder="1" applyAlignment="1">
      <alignment vertical="center" wrapText="1"/>
      <protection/>
    </xf>
    <xf numFmtId="0" fontId="3" fillId="0" borderId="0" xfId="60" applyFont="1" applyFill="1" applyAlignment="1">
      <alignment horizontal="left"/>
      <protection/>
    </xf>
    <xf numFmtId="0" fontId="6" fillId="0" borderId="0" xfId="60" applyFont="1" applyFill="1" applyAlignment="1">
      <alignment horizontal="center"/>
      <protection/>
    </xf>
    <xf numFmtId="0" fontId="3" fillId="0" borderId="10" xfId="60" applyFont="1" applyFill="1" applyBorder="1" applyAlignment="1">
      <alignment horizontal="right" vertical="center" wrapText="1"/>
      <protection/>
    </xf>
    <xf numFmtId="0" fontId="3" fillId="0" borderId="10" xfId="60" applyFont="1" applyFill="1" applyBorder="1" applyAlignment="1">
      <alignment vertical="center" wrapText="1"/>
      <protection/>
    </xf>
    <xf numFmtId="0" fontId="3" fillId="0" borderId="12" xfId="60" applyFont="1" applyFill="1" applyBorder="1" applyAlignment="1">
      <alignment horizontal="right" vertical="center" wrapText="1"/>
      <protection/>
    </xf>
    <xf numFmtId="0" fontId="3" fillId="0" borderId="16" xfId="60" applyFont="1" applyFill="1" applyBorder="1" applyAlignment="1">
      <alignment horizontal="right" vertical="center" wrapText="1"/>
      <protection/>
    </xf>
    <xf numFmtId="0" fontId="3" fillId="0" borderId="13" xfId="60" applyFont="1" applyFill="1" applyBorder="1" applyAlignment="1">
      <alignment horizontal="right" vertical="center" wrapText="1"/>
      <protection/>
    </xf>
    <xf numFmtId="1" fontId="3" fillId="33" borderId="10" xfId="60" applyNumberFormat="1" applyFont="1" applyFill="1" applyBorder="1" applyAlignment="1">
      <alignment vertical="center"/>
      <protection/>
    </xf>
    <xf numFmtId="0" fontId="5" fillId="0" borderId="16" xfId="60" applyFont="1" applyFill="1" applyBorder="1" applyAlignment="1">
      <alignment horizontal="left" vertical="center" wrapText="1"/>
      <protection/>
    </xf>
    <xf numFmtId="0" fontId="5" fillId="0" borderId="13" xfId="60" applyFont="1" applyFill="1" applyBorder="1" applyAlignment="1">
      <alignment horizontal="left" vertical="center" wrapText="1"/>
      <protection/>
    </xf>
    <xf numFmtId="3" fontId="3" fillId="0" borderId="10" xfId="60" applyNumberFormat="1" applyFont="1" applyFill="1" applyBorder="1" applyAlignment="1">
      <alignment horizontal="right" vertical="center"/>
      <protection/>
    </xf>
    <xf numFmtId="3" fontId="3" fillId="0" borderId="12" xfId="60" applyNumberFormat="1" applyFont="1" applyFill="1" applyBorder="1" applyAlignment="1">
      <alignment wrapText="1"/>
      <protection/>
    </xf>
    <xf numFmtId="3" fontId="3" fillId="0" borderId="13" xfId="60" applyNumberFormat="1" applyFont="1" applyFill="1" applyBorder="1" applyAlignment="1">
      <alignment wrapText="1"/>
      <protection/>
    </xf>
    <xf numFmtId="44" fontId="3" fillId="0" borderId="12" xfId="48" applyFont="1" applyFill="1" applyBorder="1" applyAlignment="1">
      <alignment horizontal="left" vertical="center" wrapText="1"/>
    </xf>
    <xf numFmtId="44" fontId="3" fillId="0" borderId="16" xfId="48" applyFont="1" applyFill="1" applyBorder="1" applyAlignment="1">
      <alignment horizontal="left" vertical="center" wrapText="1"/>
    </xf>
    <xf numFmtId="44" fontId="3" fillId="0" borderId="13" xfId="48" applyFont="1" applyFill="1" applyBorder="1" applyAlignment="1">
      <alignment horizontal="left" vertical="center" wrapText="1"/>
    </xf>
    <xf numFmtId="3" fontId="3" fillId="0" borderId="16" xfId="60" applyNumberFormat="1" applyFont="1" applyFill="1" applyBorder="1" applyAlignment="1">
      <alignment wrapText="1"/>
      <protection/>
    </xf>
    <xf numFmtId="0" fontId="5" fillId="0" borderId="10" xfId="60" applyFont="1" applyFill="1" applyBorder="1" applyAlignment="1">
      <alignment horizontal="left" wrapText="1"/>
      <protection/>
    </xf>
    <xf numFmtId="0" fontId="3" fillId="0" borderId="12" xfId="60" applyFont="1" applyFill="1" applyBorder="1" applyAlignment="1">
      <alignment horizontal="right" vertical="center"/>
      <protection/>
    </xf>
    <xf numFmtId="0" fontId="3" fillId="0" borderId="13" xfId="60" applyFont="1" applyFill="1" applyBorder="1" applyAlignment="1">
      <alignment horizontal="right" vertical="center"/>
      <protection/>
    </xf>
    <xf numFmtId="0" fontId="5" fillId="0" borderId="63" xfId="60" applyFont="1" applyFill="1" applyBorder="1" applyAlignment="1">
      <alignment horizontal="right"/>
      <protection/>
    </xf>
    <xf numFmtId="0" fontId="5" fillId="0" borderId="62" xfId="60" applyFont="1" applyFill="1" applyBorder="1" applyAlignment="1">
      <alignment horizontal="right"/>
      <protection/>
    </xf>
    <xf numFmtId="0" fontId="3" fillId="0" borderId="10" xfId="60" applyFont="1" applyFill="1" applyBorder="1" applyAlignment="1">
      <alignment horizontal="left" vertical="center"/>
      <protection/>
    </xf>
    <xf numFmtId="3" fontId="3" fillId="0" borderId="12" xfId="60" applyNumberFormat="1" applyFont="1" applyFill="1" applyBorder="1" applyAlignment="1">
      <alignment vertical="center"/>
      <protection/>
    </xf>
    <xf numFmtId="3" fontId="3" fillId="0" borderId="13" xfId="60" applyNumberFormat="1" applyFont="1" applyFill="1" applyBorder="1" applyAlignment="1">
      <alignment vertical="center"/>
      <protection/>
    </xf>
    <xf numFmtId="3" fontId="3" fillId="0" borderId="16" xfId="60" applyNumberFormat="1" applyFont="1" applyFill="1" applyBorder="1" applyAlignment="1">
      <alignment vertical="center"/>
      <protection/>
    </xf>
    <xf numFmtId="3" fontId="3" fillId="0" borderId="12" xfId="60" applyNumberFormat="1" applyFont="1" applyFill="1" applyBorder="1" applyAlignment="1">
      <alignment/>
      <protection/>
    </xf>
    <xf numFmtId="3" fontId="3" fillId="0" borderId="13" xfId="60" applyNumberFormat="1" applyFont="1" applyFill="1" applyBorder="1" applyAlignment="1">
      <alignment/>
      <protection/>
    </xf>
    <xf numFmtId="0" fontId="4" fillId="0" borderId="0" xfId="60" applyFont="1" applyFill="1" applyAlignment="1">
      <alignment horizontal="center"/>
      <protection/>
    </xf>
    <xf numFmtId="0" fontId="3" fillId="0" borderId="12" xfId="60" applyFont="1" applyFill="1" applyBorder="1" applyAlignment="1">
      <alignment horizontal="left" vertical="center"/>
      <protection/>
    </xf>
    <xf numFmtId="0" fontId="3" fillId="0" borderId="13" xfId="60" applyFont="1" applyFill="1" applyBorder="1" applyAlignment="1">
      <alignment horizontal="left" vertical="center"/>
      <protection/>
    </xf>
    <xf numFmtId="165" fontId="3" fillId="0" borderId="12" xfId="60" applyNumberFormat="1" applyFont="1" applyFill="1" applyBorder="1" applyAlignment="1">
      <alignment horizontal="right" vertical="center" wrapText="1"/>
      <protection/>
    </xf>
    <xf numFmtId="165" fontId="3" fillId="0" borderId="13" xfId="60" applyNumberFormat="1" applyFont="1" applyFill="1" applyBorder="1" applyAlignment="1">
      <alignment horizontal="right" vertical="center" wrapText="1"/>
      <protection/>
    </xf>
    <xf numFmtId="2" fontId="3" fillId="0" borderId="12" xfId="60" applyNumberFormat="1" applyFont="1" applyFill="1" applyBorder="1" applyAlignment="1">
      <alignment horizontal="right" vertical="center" wrapText="1"/>
      <protection/>
    </xf>
    <xf numFmtId="2" fontId="3" fillId="0" borderId="16" xfId="60" applyNumberFormat="1" applyFont="1" applyFill="1" applyBorder="1" applyAlignment="1">
      <alignment horizontal="right" vertical="center" wrapText="1"/>
      <protection/>
    </xf>
    <xf numFmtId="2" fontId="3" fillId="0" borderId="13" xfId="60" applyNumberFormat="1" applyFont="1" applyFill="1" applyBorder="1" applyAlignment="1">
      <alignment horizontal="right" vertical="center" wrapText="1"/>
      <protection/>
    </xf>
    <xf numFmtId="0" fontId="5" fillId="0" borderId="11" xfId="60" applyFont="1" applyFill="1" applyBorder="1" applyAlignment="1">
      <alignment horizontal="right"/>
      <protection/>
    </xf>
    <xf numFmtId="0" fontId="7" fillId="0" borderId="0" xfId="60" applyFont="1" applyFill="1" applyBorder="1" applyAlignment="1">
      <alignment horizontal="left" wrapText="1"/>
      <protection/>
    </xf>
    <xf numFmtId="0" fontId="5" fillId="0" borderId="63" xfId="68" applyFont="1" applyBorder="1" applyAlignment="1">
      <alignment horizontal="right"/>
      <protection/>
    </xf>
    <xf numFmtId="0" fontId="5" fillId="0" borderId="62" xfId="68" applyFont="1" applyBorder="1" applyAlignment="1">
      <alignment horizontal="right"/>
      <protection/>
    </xf>
    <xf numFmtId="0" fontId="3" fillId="0" borderId="0" xfId="68" applyFont="1" applyBorder="1" applyAlignment="1">
      <alignment horizontal="left"/>
      <protection/>
    </xf>
    <xf numFmtId="0" fontId="3" fillId="0" borderId="17" xfId="68" applyFont="1" applyBorder="1" applyAlignment="1">
      <alignment horizontal="left"/>
      <protection/>
    </xf>
    <xf numFmtId="0" fontId="5" fillId="0" borderId="14" xfId="68" applyFont="1" applyBorder="1" applyAlignment="1">
      <alignment horizontal="right" wrapText="1"/>
      <protection/>
    </xf>
    <xf numFmtId="0" fontId="5" fillId="0" borderId="44" xfId="68" applyFont="1" applyBorder="1" applyAlignment="1">
      <alignment horizontal="right" wrapText="1"/>
      <protection/>
    </xf>
    <xf numFmtId="0" fontId="5" fillId="0" borderId="10" xfId="68" applyFont="1" applyBorder="1" applyAlignment="1">
      <alignment horizontal="right" wrapText="1"/>
      <protection/>
    </xf>
    <xf numFmtId="0" fontId="5" fillId="0" borderId="12" xfId="68" applyFont="1" applyBorder="1" applyAlignment="1">
      <alignment horizontal="right" wrapText="1"/>
      <protection/>
    </xf>
    <xf numFmtId="0" fontId="3" fillId="0" borderId="0" xfId="68" applyFont="1" applyAlignment="1">
      <alignment horizontal="left"/>
      <protection/>
    </xf>
    <xf numFmtId="0" fontId="4" fillId="0" borderId="0" xfId="68" applyFont="1" applyAlignment="1">
      <alignment horizontal="center"/>
      <protection/>
    </xf>
    <xf numFmtId="0" fontId="7" fillId="0" borderId="63" xfId="68" applyFont="1" applyBorder="1" applyAlignment="1">
      <alignment horizontal="right"/>
      <protection/>
    </xf>
    <xf numFmtId="0" fontId="7" fillId="0" borderId="62" xfId="68" applyFont="1" applyBorder="1" applyAlignment="1">
      <alignment horizontal="right"/>
      <protection/>
    </xf>
    <xf numFmtId="0" fontId="8" fillId="0" borderId="17" xfId="68" applyFont="1" applyBorder="1" applyAlignment="1">
      <alignment horizontal="left"/>
      <protection/>
    </xf>
    <xf numFmtId="0" fontId="7" fillId="0" borderId="14" xfId="68" applyFont="1" applyBorder="1" applyAlignment="1">
      <alignment horizontal="right" wrapText="1"/>
      <protection/>
    </xf>
    <xf numFmtId="0" fontId="7" fillId="0" borderId="44" xfId="68" applyFont="1" applyBorder="1" applyAlignment="1">
      <alignment horizontal="right" wrapText="1"/>
      <protection/>
    </xf>
    <xf numFmtId="0" fontId="8" fillId="0" borderId="0" xfId="68" applyFont="1" applyAlignment="1">
      <alignment horizontal="left"/>
      <protection/>
    </xf>
    <xf numFmtId="0" fontId="8" fillId="0" borderId="0" xfId="68" applyFont="1" applyBorder="1" applyAlignment="1">
      <alignment horizontal="left"/>
      <protection/>
    </xf>
    <xf numFmtId="0" fontId="7" fillId="0" borderId="10" xfId="68" applyFont="1" applyBorder="1" applyAlignment="1">
      <alignment horizontal="right" wrapText="1"/>
      <protection/>
    </xf>
    <xf numFmtId="0" fontId="7" fillId="0" borderId="12" xfId="68" applyFont="1" applyBorder="1" applyAlignment="1">
      <alignment horizontal="right" wrapText="1"/>
      <protection/>
    </xf>
    <xf numFmtId="0" fontId="8" fillId="0" borderId="12" xfId="60" applyFont="1" applyBorder="1" applyAlignment="1">
      <alignment horizontal="left" vertical="center" wrapText="1"/>
      <protection/>
    </xf>
    <xf numFmtId="0" fontId="8" fillId="0" borderId="16" xfId="60" applyFont="1" applyBorder="1" applyAlignment="1">
      <alignment horizontal="left" vertical="center" wrapText="1"/>
      <protection/>
    </xf>
    <xf numFmtId="0" fontId="8" fillId="0" borderId="13" xfId="60" applyFont="1" applyBorder="1" applyAlignment="1">
      <alignment horizontal="left" vertical="center" wrapText="1"/>
      <protection/>
    </xf>
    <xf numFmtId="0" fontId="8" fillId="0" borderId="12" xfId="68" applyFont="1" applyBorder="1" applyAlignment="1">
      <alignment horizontal="center" vertical="center" wrapText="1"/>
      <protection/>
    </xf>
    <xf numFmtId="0" fontId="8" fillId="0" borderId="16" xfId="68" applyFont="1" applyBorder="1" applyAlignment="1">
      <alignment horizontal="center" vertical="center" wrapText="1"/>
      <protection/>
    </xf>
    <xf numFmtId="0" fontId="8" fillId="0" borderId="13" xfId="68" applyFont="1" applyBorder="1" applyAlignment="1">
      <alignment horizontal="center" vertical="center" wrapText="1"/>
      <protection/>
    </xf>
    <xf numFmtId="3" fontId="8" fillId="0" borderId="12" xfId="60" applyNumberFormat="1" applyFont="1" applyFill="1" applyBorder="1" applyAlignment="1">
      <alignment horizontal="right" vertical="center" wrapText="1"/>
      <protection/>
    </xf>
    <xf numFmtId="3" fontId="8" fillId="0" borderId="16" xfId="60" applyNumberFormat="1" applyFont="1" applyFill="1" applyBorder="1" applyAlignment="1">
      <alignment horizontal="right" vertical="center" wrapText="1"/>
      <protection/>
    </xf>
    <xf numFmtId="3" fontId="8" fillId="0" borderId="13" xfId="60" applyNumberFormat="1" applyFont="1" applyFill="1" applyBorder="1" applyAlignment="1">
      <alignment horizontal="right" vertical="center" wrapText="1"/>
      <protection/>
    </xf>
    <xf numFmtId="0" fontId="3" fillId="0" borderId="0" xfId="64" applyFont="1" applyAlignment="1">
      <alignment horizontal="left"/>
      <protection/>
    </xf>
    <xf numFmtId="0" fontId="4" fillId="0" borderId="0" xfId="64" applyFont="1" applyAlignment="1">
      <alignment horizontal="center"/>
      <protection/>
    </xf>
    <xf numFmtId="0" fontId="3" fillId="0" borderId="0" xfId="64" applyFont="1" applyBorder="1" applyAlignment="1">
      <alignment horizontal="left"/>
      <protection/>
    </xf>
    <xf numFmtId="0" fontId="3" fillId="34" borderId="10" xfId="64" applyFont="1" applyFill="1" applyBorder="1" applyAlignment="1">
      <alignment horizontal="center" vertical="top" wrapText="1"/>
      <protection/>
    </xf>
    <xf numFmtId="0" fontId="8" fillId="34" borderId="10" xfId="64" applyFont="1" applyFill="1" applyBorder="1" applyAlignment="1">
      <alignment vertical="top" wrapText="1"/>
      <protection/>
    </xf>
    <xf numFmtId="0" fontId="2" fillId="0" borderId="10" xfId="64" applyBorder="1" applyAlignment="1">
      <alignment vertical="top"/>
      <protection/>
    </xf>
    <xf numFmtId="0" fontId="2" fillId="0" borderId="10" xfId="64" applyBorder="1" applyAlignment="1">
      <alignment/>
      <protection/>
    </xf>
    <xf numFmtId="0" fontId="3" fillId="34" borderId="10" xfId="64" applyFont="1" applyFill="1" applyBorder="1" applyAlignment="1">
      <alignment vertical="top" wrapText="1"/>
      <protection/>
    </xf>
    <xf numFmtId="0" fontId="3" fillId="34" borderId="10" xfId="64" applyFont="1" applyFill="1" applyBorder="1" applyAlignment="1">
      <alignment vertical="center" wrapText="1"/>
      <protection/>
    </xf>
    <xf numFmtId="0" fontId="3" fillId="0" borderId="10" xfId="64" applyFont="1" applyBorder="1" applyAlignment="1">
      <alignment horizontal="center" vertical="top" wrapText="1"/>
      <protection/>
    </xf>
    <xf numFmtId="0" fontId="3" fillId="0" borderId="10" xfId="64" applyFont="1" applyBorder="1" applyAlignment="1">
      <alignment vertical="top" wrapText="1"/>
      <protection/>
    </xf>
    <xf numFmtId="0" fontId="3" fillId="0" borderId="10" xfId="64" applyFont="1" applyBorder="1" applyAlignment="1">
      <alignment horizontal="center"/>
      <protection/>
    </xf>
    <xf numFmtId="0" fontId="3" fillId="0" borderId="10" xfId="64" applyFont="1" applyBorder="1" applyAlignment="1">
      <alignment horizontal="left" vertical="top"/>
      <protection/>
    </xf>
    <xf numFmtId="0" fontId="8" fillId="34" borderId="10" xfId="64" applyFont="1" applyFill="1" applyBorder="1" applyAlignment="1">
      <alignment horizontal="left" vertical="top" wrapText="1"/>
      <protection/>
    </xf>
    <xf numFmtId="49" fontId="3" fillId="0" borderId="10" xfId="64" applyNumberFormat="1" applyFont="1" applyBorder="1" applyAlignment="1">
      <alignment horizontal="center" wrapText="1"/>
      <protection/>
    </xf>
    <xf numFmtId="0" fontId="8" fillId="0" borderId="10" xfId="64" applyFont="1" applyBorder="1" applyAlignment="1">
      <alignment horizontal="left" wrapText="1"/>
      <protection/>
    </xf>
    <xf numFmtId="0" fontId="3" fillId="34" borderId="12" xfId="64" applyFont="1" applyFill="1" applyBorder="1" applyAlignment="1">
      <alignment horizontal="center" vertical="top" wrapText="1"/>
      <protection/>
    </xf>
    <xf numFmtId="0" fontId="3" fillId="34" borderId="13" xfId="64" applyFont="1" applyFill="1" applyBorder="1" applyAlignment="1">
      <alignment horizontal="center" vertical="top" wrapText="1"/>
      <protection/>
    </xf>
    <xf numFmtId="0" fontId="3" fillId="34" borderId="10" xfId="64" applyFont="1" applyFill="1" applyBorder="1" applyAlignment="1">
      <alignment horizontal="center" vertical="top"/>
      <protection/>
    </xf>
    <xf numFmtId="0" fontId="8" fillId="33" borderId="12" xfId="64" applyFont="1" applyFill="1" applyBorder="1" applyAlignment="1">
      <alignment horizontal="left" vertical="top" wrapText="1"/>
      <protection/>
    </xf>
    <xf numFmtId="0" fontId="8" fillId="33" borderId="16" xfId="64" applyFont="1" applyFill="1" applyBorder="1" applyAlignment="1">
      <alignment horizontal="left" vertical="top" wrapText="1"/>
      <protection/>
    </xf>
    <xf numFmtId="0" fontId="8" fillId="33" borderId="13" xfId="64" applyFont="1" applyFill="1" applyBorder="1" applyAlignment="1">
      <alignment horizontal="left" vertical="top" wrapText="1"/>
      <protection/>
    </xf>
    <xf numFmtId="0" fontId="3" fillId="33" borderId="12" xfId="64" applyFont="1" applyFill="1" applyBorder="1" applyAlignment="1">
      <alignment horizontal="center" vertical="top"/>
      <protection/>
    </xf>
    <xf numFmtId="0" fontId="3" fillId="33" borderId="16" xfId="64" applyFont="1" applyFill="1" applyBorder="1" applyAlignment="1">
      <alignment horizontal="center" vertical="top"/>
      <protection/>
    </xf>
    <xf numFmtId="0" fontId="3" fillId="33" borderId="13" xfId="64" applyFont="1" applyFill="1" applyBorder="1" applyAlignment="1">
      <alignment horizontal="center" vertical="top"/>
      <protection/>
    </xf>
    <xf numFmtId="0" fontId="3" fillId="0" borderId="10" xfId="64" applyFont="1" applyFill="1" applyBorder="1" applyAlignment="1">
      <alignment horizontal="center" vertical="center" wrapText="1"/>
      <protection/>
    </xf>
    <xf numFmtId="0" fontId="5" fillId="0" borderId="10" xfId="64" applyFont="1" applyBorder="1" applyAlignment="1">
      <alignment horizontal="right" wrapText="1"/>
      <protection/>
    </xf>
    <xf numFmtId="0" fontId="3" fillId="0" borderId="14" xfId="64" applyFont="1" applyBorder="1" applyAlignment="1">
      <alignment horizontal="left"/>
      <protection/>
    </xf>
    <xf numFmtId="0" fontId="3" fillId="0" borderId="64" xfId="64" applyFont="1" applyBorder="1" applyAlignment="1">
      <alignment horizontal="left"/>
      <protection/>
    </xf>
    <xf numFmtId="0" fontId="3" fillId="0" borderId="15" xfId="64" applyFont="1" applyBorder="1" applyAlignment="1">
      <alignment horizontal="left"/>
      <protection/>
    </xf>
    <xf numFmtId="0" fontId="3" fillId="0" borderId="14" xfId="64" applyFont="1" applyFill="1" applyBorder="1" applyAlignment="1">
      <alignment horizontal="left"/>
      <protection/>
    </xf>
    <xf numFmtId="0" fontId="3" fillId="0" borderId="64" xfId="64" applyFont="1" applyFill="1" applyBorder="1" applyAlignment="1">
      <alignment horizontal="left"/>
      <protection/>
    </xf>
    <xf numFmtId="0" fontId="3" fillId="0" borderId="15" xfId="64" applyFont="1" applyFill="1" applyBorder="1" applyAlignment="1">
      <alignment horizontal="left"/>
      <protection/>
    </xf>
    <xf numFmtId="49" fontId="3" fillId="0" borderId="57" xfId="64" applyNumberFormat="1" applyFont="1" applyBorder="1" applyAlignment="1">
      <alignment horizontal="left"/>
      <protection/>
    </xf>
    <xf numFmtId="49" fontId="3" fillId="0" borderId="0" xfId="64" applyNumberFormat="1" applyFont="1" applyBorder="1" applyAlignment="1">
      <alignment horizontal="left"/>
      <protection/>
    </xf>
    <xf numFmtId="49" fontId="3" fillId="0" borderId="40" xfId="64" applyNumberFormat="1" applyFont="1" applyBorder="1" applyAlignment="1">
      <alignment horizontal="left"/>
      <protection/>
    </xf>
    <xf numFmtId="0" fontId="3" fillId="0" borderId="10" xfId="64" applyFont="1" applyBorder="1" applyAlignment="1">
      <alignment horizontal="center" vertical="center" wrapText="1"/>
      <protection/>
    </xf>
    <xf numFmtId="0" fontId="8" fillId="0" borderId="14" xfId="64" applyFont="1" applyBorder="1" applyAlignment="1">
      <alignment horizontal="center" vertical="center" wrapText="1"/>
      <protection/>
    </xf>
    <xf numFmtId="0" fontId="8" fillId="0" borderId="15" xfId="64" applyFont="1" applyBorder="1" applyAlignment="1">
      <alignment horizontal="center" vertical="center" wrapText="1"/>
      <protection/>
    </xf>
    <xf numFmtId="0" fontId="8" fillId="0" borderId="12" xfId="64" applyFont="1" applyBorder="1" applyAlignment="1">
      <alignment horizontal="center" vertical="center" wrapText="1"/>
      <protection/>
    </xf>
    <xf numFmtId="0" fontId="8" fillId="0" borderId="65" xfId="64" applyFont="1" applyBorder="1" applyAlignment="1">
      <alignment horizontal="center" vertical="center" wrapText="1"/>
      <protection/>
    </xf>
    <xf numFmtId="0" fontId="3"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0" fontId="3" fillId="0" borderId="17" xfId="0" applyFont="1" applyBorder="1" applyAlignment="1" quotePrefix="1">
      <alignment horizontal="left"/>
    </xf>
    <xf numFmtId="0" fontId="3" fillId="0" borderId="17" xfId="0" applyFont="1" applyBorder="1" applyAlignment="1">
      <alignment horizontal="left"/>
    </xf>
    <xf numFmtId="0" fontId="5" fillId="0" borderId="14" xfId="0" applyFont="1" applyBorder="1" applyAlignment="1">
      <alignment horizontal="right" wrapText="1"/>
    </xf>
    <xf numFmtId="0" fontId="5" fillId="0" borderId="15" xfId="0" applyFont="1" applyBorder="1" applyAlignment="1">
      <alignment horizontal="righ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 3 2" xfId="62"/>
    <cellStyle name="Normal 4" xfId="63"/>
    <cellStyle name="Normal 5" xfId="64"/>
    <cellStyle name="Normal 5 2" xfId="65"/>
    <cellStyle name="Normal 6" xfId="66"/>
    <cellStyle name="Normal_09.510_Izgl nod konkursi nometnes 2010" xfId="67"/>
    <cellStyle name="Normal_budžeta nod.2" xfId="68"/>
    <cellStyle name="Note" xfId="69"/>
    <cellStyle name="Output" xfId="70"/>
    <cellStyle name="Percent" xfId="71"/>
    <cellStyle name="Percent 2" xfId="72"/>
    <cellStyle name="Percent 3" xfId="73"/>
    <cellStyle name="Percent 4" xfId="74"/>
    <cellStyle name="Percent 5" xfId="75"/>
    <cellStyle name="Title" xfId="76"/>
    <cellStyle name="Total" xfId="77"/>
    <cellStyle name="Warning Text" xfId="7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43"/>
  <sheetViews>
    <sheetView zoomScaleSheetLayoutView="100" zoomScalePageLayoutView="0" workbookViewId="0" topLeftCell="D1">
      <selection activeCell="I21" sqref="I21"/>
    </sheetView>
  </sheetViews>
  <sheetFormatPr defaultColWidth="9.140625" defaultRowHeight="15"/>
  <cols>
    <col min="1" max="1" width="15.00390625" style="590" customWidth="1"/>
    <col min="2" max="2" width="41.421875" style="590" customWidth="1"/>
    <col min="3" max="3" width="12.140625" style="590" customWidth="1"/>
    <col min="4" max="4" width="11.140625" style="670" bestFit="1" customWidth="1"/>
    <col min="5" max="5" width="14.57421875" style="670" customWidth="1"/>
    <col min="6" max="6" width="12.57421875" style="590" customWidth="1"/>
    <col min="7" max="7" width="13.140625" style="590" bestFit="1" customWidth="1"/>
    <col min="8" max="8" width="11.7109375" style="590" customWidth="1"/>
    <col min="9" max="9" width="11.140625" style="590" customWidth="1"/>
    <col min="10" max="11" width="11.57421875" style="590" customWidth="1"/>
    <col min="17" max="16384" width="9.140625" style="590" customWidth="1"/>
  </cols>
  <sheetData>
    <row r="1" ht="13.5" customHeight="1">
      <c r="K1" s="722" t="s">
        <v>1631</v>
      </c>
    </row>
    <row r="2" ht="13.5" customHeight="1">
      <c r="K2" s="722" t="s">
        <v>1632</v>
      </c>
    </row>
    <row r="3" ht="13.5" customHeight="1">
      <c r="K3" s="722" t="s">
        <v>1628</v>
      </c>
    </row>
    <row r="4" ht="13.5" customHeight="1">
      <c r="J4" s="618"/>
    </row>
    <row r="5" spans="1:10" ht="15.75" customHeight="1">
      <c r="A5" s="589"/>
      <c r="B5" s="589"/>
      <c r="C5" s="751" t="s">
        <v>1601</v>
      </c>
      <c r="D5" s="751"/>
      <c r="E5" s="751"/>
      <c r="F5" s="751"/>
      <c r="G5" s="751"/>
      <c r="H5" s="751"/>
      <c r="I5" s="751"/>
      <c r="J5" s="751"/>
    </row>
    <row r="6" spans="1:11" ht="14.25" customHeight="1">
      <c r="A6" s="591"/>
      <c r="B6" s="592"/>
      <c r="C6" s="595"/>
      <c r="D6" s="596"/>
      <c r="E6" s="593"/>
      <c r="F6" s="592"/>
      <c r="G6" s="594"/>
      <c r="H6" s="597"/>
      <c r="I6" s="597"/>
      <c r="J6" s="597"/>
      <c r="K6" s="597"/>
    </row>
    <row r="7" spans="1:11" ht="15.75" customHeight="1">
      <c r="A7" s="752" t="s">
        <v>7</v>
      </c>
      <c r="B7" s="754" t="s">
        <v>1552</v>
      </c>
      <c r="C7" s="756" t="s">
        <v>1553</v>
      </c>
      <c r="D7" s="757"/>
      <c r="E7" s="757"/>
      <c r="F7" s="757"/>
      <c r="G7" s="758"/>
      <c r="H7" s="756" t="s">
        <v>1554</v>
      </c>
      <c r="I7" s="758"/>
      <c r="J7" s="756" t="s">
        <v>1555</v>
      </c>
      <c r="K7" s="758"/>
    </row>
    <row r="8" spans="1:11" ht="51">
      <c r="A8" s="753"/>
      <c r="B8" s="755"/>
      <c r="C8" s="598" t="s">
        <v>1556</v>
      </c>
      <c r="D8" s="599" t="s">
        <v>1557</v>
      </c>
      <c r="E8" s="600" t="s">
        <v>1558</v>
      </c>
      <c r="F8" s="601" t="s">
        <v>1559</v>
      </c>
      <c r="G8" s="602" t="s">
        <v>1560</v>
      </c>
      <c r="H8" s="603" t="s">
        <v>1556</v>
      </c>
      <c r="I8" s="602" t="s">
        <v>1561</v>
      </c>
      <c r="J8" s="603" t="s">
        <v>1556</v>
      </c>
      <c r="K8" s="602" t="s">
        <v>1561</v>
      </c>
    </row>
    <row r="9" spans="1:11" ht="15.75">
      <c r="A9" s="674" t="s">
        <v>3</v>
      </c>
      <c r="B9" s="677" t="s">
        <v>23</v>
      </c>
      <c r="C9" s="678"/>
      <c r="D9" s="679"/>
      <c r="E9" s="680"/>
      <c r="F9" s="681"/>
      <c r="G9" s="681"/>
      <c r="H9" s="681"/>
      <c r="I9" s="681"/>
      <c r="J9" s="681"/>
      <c r="K9" s="682"/>
    </row>
    <row r="10" spans="1:11" ht="15.75">
      <c r="A10" s="674" t="s">
        <v>4</v>
      </c>
      <c r="B10" s="683" t="s">
        <v>35</v>
      </c>
      <c r="C10" s="684"/>
      <c r="D10" s="685"/>
      <c r="E10" s="686"/>
      <c r="F10" s="687"/>
      <c r="G10" s="687"/>
      <c r="H10" s="687"/>
      <c r="I10" s="687"/>
      <c r="J10" s="687"/>
      <c r="K10" s="688"/>
    </row>
    <row r="11" spans="1:11" ht="15.75">
      <c r="A11" s="604">
        <v>1</v>
      </c>
      <c r="B11" s="605" t="s">
        <v>1562</v>
      </c>
      <c r="C11" s="606"/>
      <c r="D11" s="607"/>
      <c r="E11" s="675">
        <f aca="true" t="shared" si="0" ref="E11:K11">SUM(E12:E15)</f>
        <v>0</v>
      </c>
      <c r="F11" s="675">
        <f t="shared" si="0"/>
        <v>247198</v>
      </c>
      <c r="G11" s="608">
        <f t="shared" si="0"/>
        <v>0</v>
      </c>
      <c r="H11" s="676">
        <f t="shared" si="0"/>
        <v>0</v>
      </c>
      <c r="I11" s="608">
        <f t="shared" si="0"/>
        <v>525000</v>
      </c>
      <c r="J11" s="676">
        <f t="shared" si="0"/>
        <v>0</v>
      </c>
      <c r="K11" s="675">
        <f t="shared" si="0"/>
        <v>525000</v>
      </c>
    </row>
    <row r="12" spans="1:16" s="618" customFormat="1" ht="15">
      <c r="A12" s="609">
        <v>1.1</v>
      </c>
      <c r="B12" s="610" t="s">
        <v>37</v>
      </c>
      <c r="C12" s="611"/>
      <c r="D12" s="612" t="s">
        <v>1563</v>
      </c>
      <c r="E12" s="613"/>
      <c r="F12" s="614">
        <v>3660</v>
      </c>
      <c r="G12" s="615"/>
      <c r="H12" s="616"/>
      <c r="I12" s="617"/>
      <c r="J12" s="616"/>
      <c r="K12" s="617"/>
      <c r="L12"/>
      <c r="M12"/>
      <c r="N12"/>
      <c r="O12"/>
      <c r="P12"/>
    </row>
    <row r="13" spans="1:16" s="618" customFormat="1" ht="15">
      <c r="A13" s="609">
        <v>1.2</v>
      </c>
      <c r="B13" s="610" t="s">
        <v>40</v>
      </c>
      <c r="C13" s="611"/>
      <c r="D13" s="612" t="s">
        <v>1563</v>
      </c>
      <c r="E13" s="613"/>
      <c r="F13" s="619">
        <v>190000</v>
      </c>
      <c r="G13" s="615"/>
      <c r="H13" s="616"/>
      <c r="I13" s="617"/>
      <c r="J13" s="616"/>
      <c r="K13" s="617"/>
      <c r="L13"/>
      <c r="M13"/>
      <c r="N13"/>
      <c r="O13"/>
      <c r="P13"/>
    </row>
    <row r="14" spans="1:11" ht="15.75">
      <c r="A14" s="609" t="s">
        <v>1227</v>
      </c>
      <c r="B14" s="610" t="s">
        <v>42</v>
      </c>
      <c r="C14" s="611" t="s">
        <v>1580</v>
      </c>
      <c r="D14" s="612" t="s">
        <v>1564</v>
      </c>
      <c r="E14" s="613"/>
      <c r="F14" s="619">
        <v>50000</v>
      </c>
      <c r="G14" s="615"/>
      <c r="H14" s="611" t="s">
        <v>1581</v>
      </c>
      <c r="I14" s="617">
        <v>100000</v>
      </c>
      <c r="J14" s="611" t="s">
        <v>1581</v>
      </c>
      <c r="K14" s="617">
        <v>100000</v>
      </c>
    </row>
    <row r="15" spans="1:11" ht="26.25">
      <c r="A15" s="609" t="s">
        <v>1229</v>
      </c>
      <c r="B15" s="610" t="s">
        <v>1109</v>
      </c>
      <c r="C15" s="709" t="s">
        <v>1582</v>
      </c>
      <c r="D15" s="612" t="s">
        <v>1563</v>
      </c>
      <c r="E15" s="613"/>
      <c r="F15" s="613">
        <v>3538</v>
      </c>
      <c r="G15" s="615"/>
      <c r="H15" s="616" t="s">
        <v>1583</v>
      </c>
      <c r="I15" s="617">
        <v>425000</v>
      </c>
      <c r="J15" s="616" t="s">
        <v>1583</v>
      </c>
      <c r="K15" s="617">
        <v>425000</v>
      </c>
    </row>
    <row r="16" spans="1:11" ht="15.75">
      <c r="A16" s="620">
        <v>2</v>
      </c>
      <c r="B16" s="621" t="s">
        <v>44</v>
      </c>
      <c r="C16" s="622"/>
      <c r="D16" s="623"/>
      <c r="E16" s="624">
        <f>SUM(E17,E18)</f>
        <v>0</v>
      </c>
      <c r="F16" s="624">
        <f>SUM(F17,F18)</f>
        <v>355000</v>
      </c>
      <c r="G16" s="624">
        <f>SUM(G17,G18)</f>
        <v>0</v>
      </c>
      <c r="H16" s="625"/>
      <c r="I16" s="626">
        <f>SUM(I17,I18)</f>
        <v>350000</v>
      </c>
      <c r="J16" s="625"/>
      <c r="K16" s="626">
        <f>SUM(K17,K18)</f>
        <v>350000</v>
      </c>
    </row>
    <row r="17" spans="1:16" s="618" customFormat="1" ht="15">
      <c r="A17" s="609">
        <v>2.1</v>
      </c>
      <c r="B17" s="610" t="s">
        <v>46</v>
      </c>
      <c r="C17" s="611" t="s">
        <v>1585</v>
      </c>
      <c r="D17" s="612" t="s">
        <v>1563</v>
      </c>
      <c r="E17" s="627"/>
      <c r="F17" s="614">
        <v>265000</v>
      </c>
      <c r="G17" s="615"/>
      <c r="H17" s="611" t="s">
        <v>1585</v>
      </c>
      <c r="I17" s="617">
        <v>260000</v>
      </c>
      <c r="J17" s="611" t="s">
        <v>1585</v>
      </c>
      <c r="K17" s="617">
        <v>260000</v>
      </c>
      <c r="L17"/>
      <c r="M17"/>
      <c r="N17"/>
      <c r="O17"/>
      <c r="P17"/>
    </row>
    <row r="18" spans="1:16" s="618" customFormat="1" ht="15">
      <c r="A18" s="609">
        <v>2.2</v>
      </c>
      <c r="B18" s="628" t="s">
        <v>48</v>
      </c>
      <c r="C18" s="611" t="s">
        <v>1581</v>
      </c>
      <c r="D18" s="612" t="s">
        <v>1563</v>
      </c>
      <c r="E18" s="627"/>
      <c r="F18" s="614">
        <v>90000</v>
      </c>
      <c r="G18" s="615"/>
      <c r="H18" s="611" t="s">
        <v>1581</v>
      </c>
      <c r="I18" s="617">
        <v>90000</v>
      </c>
      <c r="J18" s="611" t="s">
        <v>1581</v>
      </c>
      <c r="K18" s="617">
        <v>90000</v>
      </c>
      <c r="L18"/>
      <c r="M18"/>
      <c r="N18"/>
      <c r="O18"/>
      <c r="P18"/>
    </row>
    <row r="19" spans="1:16" s="618" customFormat="1" ht="15">
      <c r="A19" s="609"/>
      <c r="B19" s="610"/>
      <c r="C19" s="611"/>
      <c r="D19" s="612"/>
      <c r="E19" s="613"/>
      <c r="F19" s="619"/>
      <c r="G19" s="615"/>
      <c r="H19" s="616"/>
      <c r="I19" s="617"/>
      <c r="J19" s="616"/>
      <c r="K19" s="617"/>
      <c r="L19"/>
      <c r="M19"/>
      <c r="N19"/>
      <c r="O19"/>
      <c r="P19"/>
    </row>
    <row r="20" spans="1:11" ht="15.75">
      <c r="A20" s="620">
        <v>3</v>
      </c>
      <c r="B20" s="621" t="s">
        <v>50</v>
      </c>
      <c r="C20" s="622"/>
      <c r="D20" s="623"/>
      <c r="E20" s="624">
        <f>SUM(E21:E23)</f>
        <v>175000</v>
      </c>
      <c r="F20" s="629">
        <f aca="true" t="shared" si="1" ref="F20:K20">SUM(F21:F23)</f>
        <v>186000</v>
      </c>
      <c r="G20" s="630">
        <f t="shared" si="1"/>
        <v>0</v>
      </c>
      <c r="H20" s="625"/>
      <c r="I20" s="626">
        <f t="shared" si="1"/>
        <v>285000</v>
      </c>
      <c r="J20" s="625"/>
      <c r="K20" s="626">
        <f t="shared" si="1"/>
        <v>335000</v>
      </c>
    </row>
    <row r="21" spans="1:16" s="618" customFormat="1" ht="15">
      <c r="A21" s="631">
        <v>3.1</v>
      </c>
      <c r="B21" s="632" t="s">
        <v>52</v>
      </c>
      <c r="C21" s="611" t="s">
        <v>1586</v>
      </c>
      <c r="D21" s="633" t="s">
        <v>1565</v>
      </c>
      <c r="E21" s="634"/>
      <c r="F21" s="619">
        <v>66000</v>
      </c>
      <c r="G21" s="615"/>
      <c r="H21" s="611" t="s">
        <v>1587</v>
      </c>
      <c r="I21" s="617"/>
      <c r="J21" s="611" t="s">
        <v>1588</v>
      </c>
      <c r="K21" s="617">
        <v>50000</v>
      </c>
      <c r="L21"/>
      <c r="M21"/>
      <c r="N21"/>
      <c r="O21"/>
      <c r="P21"/>
    </row>
    <row r="22" spans="1:16" s="618" customFormat="1" ht="15">
      <c r="A22" s="635">
        <v>3.2</v>
      </c>
      <c r="B22" s="636" t="s">
        <v>1566</v>
      </c>
      <c r="C22" s="611" t="s">
        <v>1589</v>
      </c>
      <c r="D22" s="637" t="s">
        <v>1565</v>
      </c>
      <c r="E22" s="638">
        <v>175000</v>
      </c>
      <c r="F22" s="619">
        <v>60000</v>
      </c>
      <c r="G22" s="615"/>
      <c r="H22" s="611" t="s">
        <v>1589</v>
      </c>
      <c r="I22" s="617">
        <v>235000</v>
      </c>
      <c r="J22" s="611" t="s">
        <v>1589</v>
      </c>
      <c r="K22" s="617">
        <v>235000</v>
      </c>
      <c r="L22"/>
      <c r="M22"/>
      <c r="N22"/>
      <c r="O22"/>
      <c r="P22"/>
    </row>
    <row r="23" spans="1:16" s="618" customFormat="1" ht="15">
      <c r="A23" s="609">
        <v>3.3</v>
      </c>
      <c r="B23" s="610" t="s">
        <v>56</v>
      </c>
      <c r="C23" s="611" t="s">
        <v>1581</v>
      </c>
      <c r="D23" s="612" t="s">
        <v>1565</v>
      </c>
      <c r="E23" s="613"/>
      <c r="F23" s="619">
        <v>60000</v>
      </c>
      <c r="G23" s="615"/>
      <c r="H23" s="611" t="s">
        <v>1590</v>
      </c>
      <c r="I23" s="617">
        <v>50000</v>
      </c>
      <c r="J23" s="611" t="s">
        <v>1590</v>
      </c>
      <c r="K23" s="617">
        <v>50000</v>
      </c>
      <c r="L23"/>
      <c r="M23"/>
      <c r="N23"/>
      <c r="O23"/>
      <c r="P23"/>
    </row>
    <row r="24" spans="1:16" s="618" customFormat="1" ht="15">
      <c r="A24" s="609"/>
      <c r="B24" s="610"/>
      <c r="C24" s="639"/>
      <c r="D24" s="612"/>
      <c r="E24" s="613"/>
      <c r="F24" s="619"/>
      <c r="G24" s="615"/>
      <c r="H24" s="616"/>
      <c r="I24" s="617"/>
      <c r="J24" s="616"/>
      <c r="K24" s="617"/>
      <c r="L24"/>
      <c r="M24"/>
      <c r="N24"/>
      <c r="O24"/>
      <c r="P24"/>
    </row>
    <row r="25" spans="1:11" ht="15.75">
      <c r="A25" s="620">
        <v>4</v>
      </c>
      <c r="B25" s="621" t="s">
        <v>57</v>
      </c>
      <c r="C25" s="622"/>
      <c r="D25" s="623"/>
      <c r="E25" s="624">
        <f>SUM(E26:E29)</f>
        <v>83500</v>
      </c>
      <c r="F25" s="624">
        <f>SUM(F26:F29)</f>
        <v>0</v>
      </c>
      <c r="G25" s="624">
        <f>SUM(G26:G29)</f>
        <v>0</v>
      </c>
      <c r="H25" s="640"/>
      <c r="I25" s="624">
        <f>SUM(I26:I29)</f>
        <v>83500</v>
      </c>
      <c r="J25" s="640"/>
      <c r="K25" s="630">
        <f>SUM(K26:K29)</f>
        <v>83500</v>
      </c>
    </row>
    <row r="26" spans="1:16" s="618" customFormat="1" ht="15">
      <c r="A26" s="631">
        <v>4.1</v>
      </c>
      <c r="B26" s="632" t="s">
        <v>1567</v>
      </c>
      <c r="C26" s="641" t="s">
        <v>1591</v>
      </c>
      <c r="D26" s="633" t="s">
        <v>1565</v>
      </c>
      <c r="E26" s="642">
        <v>25000</v>
      </c>
      <c r="F26" s="614"/>
      <c r="G26" s="615"/>
      <c r="H26" s="616" t="s">
        <v>1592</v>
      </c>
      <c r="I26" s="617">
        <v>25000</v>
      </c>
      <c r="J26" s="616" t="s">
        <v>1592</v>
      </c>
      <c r="K26" s="617">
        <v>25000</v>
      </c>
      <c r="L26"/>
      <c r="M26"/>
      <c r="N26"/>
      <c r="O26"/>
      <c r="P26"/>
    </row>
    <row r="27" spans="1:16" s="618" customFormat="1" ht="15">
      <c r="A27" s="631">
        <v>4.2</v>
      </c>
      <c r="B27" s="632" t="s">
        <v>63</v>
      </c>
      <c r="C27" s="641" t="s">
        <v>1593</v>
      </c>
      <c r="D27" s="633" t="s">
        <v>1565</v>
      </c>
      <c r="E27" s="642">
        <v>3500</v>
      </c>
      <c r="F27" s="614"/>
      <c r="G27" s="615"/>
      <c r="H27" s="641" t="s">
        <v>1593</v>
      </c>
      <c r="I27" s="617">
        <v>3500</v>
      </c>
      <c r="J27" s="641" t="s">
        <v>1593</v>
      </c>
      <c r="K27" s="617">
        <v>3500</v>
      </c>
      <c r="L27"/>
      <c r="M27"/>
      <c r="N27"/>
      <c r="O27"/>
      <c r="P27"/>
    </row>
    <row r="28" spans="1:16" s="618" customFormat="1" ht="15">
      <c r="A28" s="631">
        <v>4.3</v>
      </c>
      <c r="B28" s="643" t="s">
        <v>61</v>
      </c>
      <c r="C28" s="611" t="s">
        <v>1594</v>
      </c>
      <c r="D28" s="633" t="s">
        <v>1565</v>
      </c>
      <c r="E28" s="642">
        <v>40000</v>
      </c>
      <c r="F28" s="614"/>
      <c r="G28" s="615"/>
      <c r="H28" s="611" t="s">
        <v>1594</v>
      </c>
      <c r="I28" s="617">
        <v>40000</v>
      </c>
      <c r="J28" s="611" t="s">
        <v>1594</v>
      </c>
      <c r="K28" s="617">
        <v>40000</v>
      </c>
      <c r="L28"/>
      <c r="M28"/>
      <c r="N28"/>
      <c r="O28"/>
      <c r="P28"/>
    </row>
    <row r="29" spans="1:16" s="618" customFormat="1" ht="15">
      <c r="A29" s="631">
        <v>4.4</v>
      </c>
      <c r="B29" s="643" t="s">
        <v>67</v>
      </c>
      <c r="C29" s="611" t="s">
        <v>1595</v>
      </c>
      <c r="D29" s="633" t="s">
        <v>1568</v>
      </c>
      <c r="E29" s="642">
        <v>15000</v>
      </c>
      <c r="F29" s="699"/>
      <c r="G29" s="615"/>
      <c r="H29" s="611" t="s">
        <v>1595</v>
      </c>
      <c r="I29" s="615">
        <v>15000</v>
      </c>
      <c r="J29" s="611" t="s">
        <v>1595</v>
      </c>
      <c r="K29" s="615">
        <v>15000</v>
      </c>
      <c r="L29"/>
      <c r="M29"/>
      <c r="N29"/>
      <c r="O29"/>
      <c r="P29"/>
    </row>
    <row r="30" spans="1:16" s="618" customFormat="1" ht="15">
      <c r="A30" s="651">
        <v>5</v>
      </c>
      <c r="B30" s="652" t="s">
        <v>1572</v>
      </c>
      <c r="C30" s="651"/>
      <c r="D30" s="653"/>
      <c r="E30" s="654">
        <f>SUM(E31:E32)</f>
        <v>0</v>
      </c>
      <c r="F30" s="654">
        <f aca="true" t="shared" si="2" ref="F30:K30">SUM(F31:F32)</f>
        <v>68000</v>
      </c>
      <c r="G30" s="700">
        <f t="shared" si="2"/>
        <v>0</v>
      </c>
      <c r="H30" s="654"/>
      <c r="I30" s="700">
        <f t="shared" si="2"/>
        <v>25000</v>
      </c>
      <c r="J30" s="654"/>
      <c r="K30" s="700">
        <f t="shared" si="2"/>
        <v>25000</v>
      </c>
      <c r="L30"/>
      <c r="M30"/>
      <c r="N30"/>
      <c r="O30"/>
      <c r="P30"/>
    </row>
    <row r="31" spans="1:16" s="618" customFormat="1" ht="26.25">
      <c r="A31" s="646" t="s">
        <v>1245</v>
      </c>
      <c r="B31" s="655" t="s">
        <v>1115</v>
      </c>
      <c r="C31" s="646" t="s">
        <v>1584</v>
      </c>
      <c r="D31" s="656" t="s">
        <v>1573</v>
      </c>
      <c r="E31" s="657"/>
      <c r="F31" s="658">
        <v>18000</v>
      </c>
      <c r="G31" s="659"/>
      <c r="H31" s="660"/>
      <c r="I31" s="661"/>
      <c r="J31" s="660"/>
      <c r="K31" s="659"/>
      <c r="L31"/>
      <c r="M31"/>
      <c r="N31"/>
      <c r="O31"/>
      <c r="P31"/>
    </row>
    <row r="32" spans="1:16" s="618" customFormat="1" ht="15">
      <c r="A32" s="646" t="s">
        <v>1246</v>
      </c>
      <c r="B32" s="655" t="s">
        <v>69</v>
      </c>
      <c r="C32" s="646" t="s">
        <v>1596</v>
      </c>
      <c r="D32" s="656" t="s">
        <v>1563</v>
      </c>
      <c r="E32" s="657"/>
      <c r="F32" s="658">
        <v>50000</v>
      </c>
      <c r="G32" s="659"/>
      <c r="H32" s="660" t="s">
        <v>1597</v>
      </c>
      <c r="I32" s="661">
        <v>25000</v>
      </c>
      <c r="J32" s="660" t="s">
        <v>1597</v>
      </c>
      <c r="K32" s="659">
        <v>25000</v>
      </c>
      <c r="L32"/>
      <c r="M32"/>
      <c r="N32"/>
      <c r="O32"/>
      <c r="P32"/>
    </row>
    <row r="33" spans="1:16" s="618" customFormat="1" ht="15" customHeight="1">
      <c r="A33" s="697" t="s">
        <v>3</v>
      </c>
      <c r="B33" s="759" t="s">
        <v>480</v>
      </c>
      <c r="C33" s="760"/>
      <c r="D33" s="760"/>
      <c r="E33" s="760"/>
      <c r="F33" s="760"/>
      <c r="G33" s="760"/>
      <c r="H33" s="760"/>
      <c r="I33" s="760"/>
      <c r="J33" s="760"/>
      <c r="K33" s="761"/>
      <c r="L33"/>
      <c r="M33"/>
      <c r="N33"/>
      <c r="O33"/>
      <c r="P33"/>
    </row>
    <row r="34" spans="1:16" s="618" customFormat="1" ht="15" customHeight="1">
      <c r="A34" s="698" t="s">
        <v>1579</v>
      </c>
      <c r="B34" s="762" t="s">
        <v>1578</v>
      </c>
      <c r="C34" s="763"/>
      <c r="D34" s="763"/>
      <c r="E34" s="763"/>
      <c r="F34" s="763"/>
      <c r="G34" s="763"/>
      <c r="H34" s="763"/>
      <c r="I34" s="763"/>
      <c r="J34" s="763"/>
      <c r="K34" s="764"/>
      <c r="L34"/>
      <c r="M34"/>
      <c r="N34"/>
      <c r="O34"/>
      <c r="P34"/>
    </row>
    <row r="35" spans="1:11" ht="15.75">
      <c r="A35" s="673">
        <v>1</v>
      </c>
      <c r="B35" s="689" t="s">
        <v>496</v>
      </c>
      <c r="C35" s="690"/>
      <c r="D35" s="691"/>
      <c r="E35" s="692">
        <f>SUM(E36,E37)</f>
        <v>217384</v>
      </c>
      <c r="F35" s="693">
        <f aca="true" t="shared" si="3" ref="F35:K35">SUM(F36,F37)</f>
        <v>539297</v>
      </c>
      <c r="G35" s="694">
        <f t="shared" si="3"/>
        <v>0</v>
      </c>
      <c r="H35" s="695"/>
      <c r="I35" s="696">
        <f t="shared" si="3"/>
        <v>756000</v>
      </c>
      <c r="J35" s="695"/>
      <c r="K35" s="696">
        <f t="shared" si="3"/>
        <v>756000</v>
      </c>
    </row>
    <row r="36" spans="1:16" s="618" customFormat="1" ht="26.25">
      <c r="A36" s="609" t="s">
        <v>1223</v>
      </c>
      <c r="B36" s="610" t="s">
        <v>1569</v>
      </c>
      <c r="C36" s="611" t="s">
        <v>1598</v>
      </c>
      <c r="D36" s="612" t="s">
        <v>1570</v>
      </c>
      <c r="E36" s="613"/>
      <c r="F36" s="614">
        <v>76681</v>
      </c>
      <c r="G36" s="617"/>
      <c r="H36" s="611" t="s">
        <v>1598</v>
      </c>
      <c r="I36" s="617">
        <v>76000</v>
      </c>
      <c r="J36" s="611" t="s">
        <v>1598</v>
      </c>
      <c r="K36" s="615">
        <v>76000</v>
      </c>
      <c r="L36"/>
      <c r="M36"/>
      <c r="N36"/>
      <c r="O36"/>
      <c r="P36"/>
    </row>
    <row r="37" spans="1:16" s="618" customFormat="1" ht="28.5" customHeight="1">
      <c r="A37" s="644" t="s">
        <v>1225</v>
      </c>
      <c r="B37" s="645" t="s">
        <v>1571</v>
      </c>
      <c r="C37" s="646" t="s">
        <v>1599</v>
      </c>
      <c r="D37" s="647" t="s">
        <v>1570</v>
      </c>
      <c r="E37" s="648">
        <v>217384</v>
      </c>
      <c r="F37" s="649">
        <v>462616</v>
      </c>
      <c r="G37" s="650"/>
      <c r="H37" s="646" t="s">
        <v>1599</v>
      </c>
      <c r="I37" s="650">
        <v>680000</v>
      </c>
      <c r="J37" s="646" t="s">
        <v>1599</v>
      </c>
      <c r="K37" s="650">
        <v>680000</v>
      </c>
      <c r="L37"/>
      <c r="M37"/>
      <c r="N37"/>
      <c r="O37"/>
      <c r="P37"/>
    </row>
    <row r="38" spans="1:16" s="618" customFormat="1" ht="14.25" customHeight="1">
      <c r="A38" s="697" t="s">
        <v>3</v>
      </c>
      <c r="B38" s="765" t="s">
        <v>167</v>
      </c>
      <c r="C38" s="766"/>
      <c r="D38" s="766"/>
      <c r="E38" s="766"/>
      <c r="F38" s="766"/>
      <c r="G38" s="766"/>
      <c r="H38" s="766"/>
      <c r="I38" s="766"/>
      <c r="J38" s="766"/>
      <c r="K38" s="767"/>
      <c r="L38"/>
      <c r="M38"/>
      <c r="N38"/>
      <c r="O38"/>
      <c r="P38"/>
    </row>
    <row r="39" spans="1:16" s="618" customFormat="1" ht="14.25" customHeight="1">
      <c r="A39" s="698" t="s">
        <v>1579</v>
      </c>
      <c r="B39" s="768" t="s">
        <v>35</v>
      </c>
      <c r="C39" s="769"/>
      <c r="D39" s="769"/>
      <c r="E39" s="769"/>
      <c r="F39" s="769"/>
      <c r="G39" s="769"/>
      <c r="H39" s="769"/>
      <c r="I39" s="769"/>
      <c r="J39" s="769"/>
      <c r="K39" s="770"/>
      <c r="L39"/>
      <c r="M39"/>
      <c r="N39"/>
      <c r="O39"/>
      <c r="P39"/>
    </row>
    <row r="40" spans="1:16" s="618" customFormat="1" ht="14.25" customHeight="1">
      <c r="A40" s="604">
        <v>1</v>
      </c>
      <c r="B40" s="605" t="s">
        <v>1562</v>
      </c>
      <c r="C40" s="704"/>
      <c r="D40" s="705"/>
      <c r="E40" s="706">
        <f>SUM(E41)</f>
        <v>0</v>
      </c>
      <c r="F40" s="706">
        <f>SUM(F41)</f>
        <v>2684</v>
      </c>
      <c r="G40" s="708">
        <f>SUM(G41)</f>
        <v>0</v>
      </c>
      <c r="H40" s="707"/>
      <c r="I40" s="708">
        <f>SUM(I41)</f>
        <v>0</v>
      </c>
      <c r="J40" s="707"/>
      <c r="K40" s="706">
        <f>SUM(K41)</f>
        <v>0</v>
      </c>
      <c r="L40"/>
      <c r="M40"/>
      <c r="N40"/>
      <c r="O40"/>
      <c r="P40"/>
    </row>
    <row r="41" spans="1:16" s="618" customFormat="1" ht="28.5" customHeight="1">
      <c r="A41" s="646" t="s">
        <v>1223</v>
      </c>
      <c r="B41" s="701" t="s">
        <v>1106</v>
      </c>
      <c r="C41" s="702" t="s">
        <v>1584</v>
      </c>
      <c r="D41" s="703" t="s">
        <v>1563</v>
      </c>
      <c r="E41" s="657"/>
      <c r="F41" s="657">
        <v>2684</v>
      </c>
      <c r="G41" s="659"/>
      <c r="H41" s="660"/>
      <c r="I41" s="659"/>
      <c r="J41" s="660"/>
      <c r="K41" s="659"/>
      <c r="L41"/>
      <c r="M41"/>
      <c r="N41"/>
      <c r="O41"/>
      <c r="P41"/>
    </row>
    <row r="42" spans="1:16" s="666" customFormat="1" ht="15.75">
      <c r="A42" s="662"/>
      <c r="B42" s="663" t="s">
        <v>1483</v>
      </c>
      <c r="C42" s="664"/>
      <c r="D42" s="665"/>
      <c r="E42" s="654">
        <f>SUM(E11,E16,E20,E25,E30,E35,E40)</f>
        <v>475884</v>
      </c>
      <c r="F42" s="654">
        <f>SUM(F11,F16,F20,F25,F30,F35,F40)</f>
        <v>1398179</v>
      </c>
      <c r="G42" s="700">
        <f>SUM(G11,G16,G20,G25,G35,G30)</f>
        <v>0</v>
      </c>
      <c r="H42" s="654"/>
      <c r="I42" s="700">
        <f>SUM(I11,I16,I20,I25,I35,I30)</f>
        <v>2024500</v>
      </c>
      <c r="J42" s="654"/>
      <c r="K42" s="700">
        <f>SUM(K11,K16,K20,K25,K35,K30)</f>
        <v>2074500</v>
      </c>
      <c r="L42"/>
      <c r="M42"/>
      <c r="N42"/>
      <c r="O42"/>
      <c r="P42"/>
    </row>
    <row r="43" spans="1:11" ht="15.75">
      <c r="A43" s="667"/>
      <c r="B43" s="668" t="s">
        <v>1574</v>
      </c>
      <c r="C43" s="667"/>
      <c r="D43" s="669"/>
      <c r="E43" s="747">
        <f>SUM(E42,F42,G42)</f>
        <v>1874063</v>
      </c>
      <c r="F43" s="748"/>
      <c r="G43" s="749"/>
      <c r="H43" s="750">
        <f>SUM(I42)</f>
        <v>2024500</v>
      </c>
      <c r="I43" s="749"/>
      <c r="J43" s="750">
        <f>SUM(K42)</f>
        <v>2074500</v>
      </c>
      <c r="K43" s="749"/>
    </row>
    <row r="44" ht="15"/>
    <row r="45" ht="15"/>
    <row r="46" ht="15"/>
    <row r="47" ht="15"/>
    <row r="48" ht="15"/>
    <row r="49" ht="15"/>
    <row r="50" ht="15"/>
    <row r="51" ht="15"/>
    <row r="52" ht="15"/>
    <row r="53" ht="15"/>
    <row r="54" ht="15"/>
  </sheetData>
  <sheetProtection/>
  <mergeCells count="13">
    <mergeCell ref="B34:K34"/>
    <mergeCell ref="B38:K38"/>
    <mergeCell ref="B39:K39"/>
    <mergeCell ref="E43:G43"/>
    <mergeCell ref="H43:I43"/>
    <mergeCell ref="J43:K43"/>
    <mergeCell ref="C5:J5"/>
    <mergeCell ref="A7:A8"/>
    <mergeCell ref="B7:B8"/>
    <mergeCell ref="C7:G7"/>
    <mergeCell ref="H7:I7"/>
    <mergeCell ref="J7:K7"/>
    <mergeCell ref="B33:K33"/>
  </mergeCells>
  <printOptions/>
  <pageMargins left="0.3937007874015748" right="0.3937007874015748" top="0.7874015748031497" bottom="0.7874015748031497" header="0.5118110236220472" footer="0.5118110236220472"/>
  <pageSetup fitToHeight="0" fitToWidth="1" horizontalDpi="600" verticalDpi="600" orientation="portrait" paperSize="9" scale="57" r:id="rId1"/>
</worksheet>
</file>

<file path=xl/worksheets/sheet10.xml><?xml version="1.0" encoding="utf-8"?>
<worksheet xmlns="http://schemas.openxmlformats.org/spreadsheetml/2006/main" xmlns:r="http://schemas.openxmlformats.org/officeDocument/2006/relationships">
  <sheetPr>
    <tabColor rgb="FFFF66FF"/>
    <pageSetUpPr fitToPage="1"/>
  </sheetPr>
  <dimension ref="A1:L164"/>
  <sheetViews>
    <sheetView zoomScalePageLayoutView="0" workbookViewId="0" topLeftCell="A154">
      <selection activeCell="I21" sqref="I21"/>
    </sheetView>
  </sheetViews>
  <sheetFormatPr defaultColWidth="9.140625" defaultRowHeight="15"/>
  <cols>
    <col min="1" max="1" width="6.140625" style="198" customWidth="1"/>
    <col min="2" max="2" width="44.8515625" style="1" customWidth="1"/>
    <col min="3" max="3" width="11.8515625" style="1" customWidth="1"/>
    <col min="4" max="4" width="11.140625" style="1" customWidth="1"/>
    <col min="5" max="5" width="11.7109375" style="1" customWidth="1"/>
    <col min="6" max="6" width="10.421875" style="1" customWidth="1"/>
    <col min="7" max="7" width="10.8515625" style="1" customWidth="1"/>
    <col min="8" max="8" width="21.8515625" style="1" customWidth="1"/>
    <col min="13" max="16384" width="9.140625" style="1" customWidth="1"/>
  </cols>
  <sheetData>
    <row r="1" spans="1:12" s="727" customFormat="1" ht="15.75">
      <c r="A1" s="728"/>
      <c r="H1" s="728" t="s">
        <v>1639</v>
      </c>
      <c r="I1"/>
      <c r="J1"/>
      <c r="K1"/>
      <c r="L1"/>
    </row>
    <row r="2" spans="1:12" s="727" customFormat="1" ht="15.75">
      <c r="A2" s="728"/>
      <c r="H2" s="728" t="s">
        <v>1627</v>
      </c>
      <c r="I2"/>
      <c r="J2"/>
      <c r="K2"/>
      <c r="L2"/>
    </row>
    <row r="3" spans="1:12" s="727" customFormat="1" ht="15.75">
      <c r="A3" s="728"/>
      <c r="H3" s="728" t="s">
        <v>1628</v>
      </c>
      <c r="I3"/>
      <c r="J3"/>
      <c r="K3"/>
      <c r="L3"/>
    </row>
    <row r="4" spans="1:8" ht="15">
      <c r="A4" s="3" t="s">
        <v>18</v>
      </c>
      <c r="B4" s="2"/>
      <c r="C4" s="822" t="s">
        <v>1</v>
      </c>
      <c r="D4" s="822"/>
      <c r="E4" s="822"/>
      <c r="F4" s="822"/>
      <c r="G4" s="822"/>
      <c r="H4" s="822"/>
    </row>
    <row r="5" spans="1:8" ht="15.75">
      <c r="A5" s="835" t="s">
        <v>2</v>
      </c>
      <c r="B5" s="835"/>
      <c r="C5" s="835"/>
      <c r="D5" s="835"/>
      <c r="E5" s="835"/>
      <c r="F5" s="835"/>
      <c r="G5" s="835"/>
      <c r="H5" s="835"/>
    </row>
    <row r="6" spans="1:8" ht="15">
      <c r="A6" s="3" t="s">
        <v>3</v>
      </c>
      <c r="C6" s="822" t="s">
        <v>480</v>
      </c>
      <c r="D6" s="822"/>
      <c r="E6" s="822"/>
      <c r="F6" s="822"/>
      <c r="G6" s="822"/>
      <c r="H6" s="822"/>
    </row>
    <row r="7" spans="1:8" ht="15">
      <c r="A7" s="3" t="s">
        <v>4</v>
      </c>
      <c r="C7" s="806" t="s">
        <v>1396</v>
      </c>
      <c r="D7" s="806"/>
      <c r="E7" s="806"/>
      <c r="F7" s="806"/>
      <c r="G7" s="806"/>
      <c r="H7" s="806"/>
    </row>
    <row r="8" spans="1:8" ht="15">
      <c r="A8" s="3" t="s">
        <v>20</v>
      </c>
      <c r="C8" s="802" t="s">
        <v>1121</v>
      </c>
      <c r="D8" s="802"/>
      <c r="E8" s="802"/>
      <c r="F8" s="802"/>
      <c r="G8" s="802"/>
      <c r="H8" s="802"/>
    </row>
    <row r="9" spans="1:8" ht="36.75">
      <c r="A9" s="885" t="s">
        <v>7</v>
      </c>
      <c r="B9" s="803" t="s">
        <v>8</v>
      </c>
      <c r="C9" s="803" t="s">
        <v>9</v>
      </c>
      <c r="D9" s="803" t="s">
        <v>936</v>
      </c>
      <c r="E9" s="803" t="s">
        <v>10</v>
      </c>
      <c r="F9" s="4" t="s">
        <v>11</v>
      </c>
      <c r="G9" s="4" t="s">
        <v>12</v>
      </c>
      <c r="H9" s="803" t="s">
        <v>13</v>
      </c>
    </row>
    <row r="10" spans="1:8" ht="36">
      <c r="A10" s="886"/>
      <c r="B10" s="803"/>
      <c r="C10" s="803"/>
      <c r="D10" s="803"/>
      <c r="E10" s="803"/>
      <c r="F10" s="5" t="s">
        <v>14</v>
      </c>
      <c r="G10" s="5" t="s">
        <v>15</v>
      </c>
      <c r="H10" s="803"/>
    </row>
    <row r="11" spans="1:8" ht="15">
      <c r="A11" s="880" t="s">
        <v>16</v>
      </c>
      <c r="B11" s="880"/>
      <c r="C11" s="6">
        <f>SUM(C12:C18)</f>
        <v>0</v>
      </c>
      <c r="D11" s="6">
        <f>SUM(D12:D18)</f>
        <v>0</v>
      </c>
      <c r="E11" s="6">
        <f>SUM(E12:E18)</f>
        <v>49446</v>
      </c>
      <c r="F11" s="6"/>
      <c r="G11" s="6">
        <f>SUM(G12:G18)</f>
        <v>49455</v>
      </c>
      <c r="H11" s="537"/>
    </row>
    <row r="12" spans="1:8" ht="15" customHeight="1">
      <c r="A12" s="883">
        <v>1</v>
      </c>
      <c r="B12" s="881" t="s">
        <v>1116</v>
      </c>
      <c r="C12" s="16">
        <v>0</v>
      </c>
      <c r="D12" s="16">
        <v>0</v>
      </c>
      <c r="E12" s="16">
        <v>9637</v>
      </c>
      <c r="F12" s="16">
        <v>1150</v>
      </c>
      <c r="G12" s="16">
        <v>9637</v>
      </c>
      <c r="H12" s="7"/>
    </row>
    <row r="13" spans="1:8" ht="15">
      <c r="A13" s="884"/>
      <c r="B13" s="882"/>
      <c r="C13" s="16">
        <v>0</v>
      </c>
      <c r="D13" s="16">
        <v>0</v>
      </c>
      <c r="E13" s="16">
        <v>2313</v>
      </c>
      <c r="F13" s="17">
        <v>1210</v>
      </c>
      <c r="G13" s="16">
        <v>2322</v>
      </c>
      <c r="H13" s="7"/>
    </row>
    <row r="14" spans="1:8" ht="27.75" customHeight="1">
      <c r="A14" s="22">
        <v>2</v>
      </c>
      <c r="B14" s="7" t="s">
        <v>1117</v>
      </c>
      <c r="C14" s="16">
        <v>0</v>
      </c>
      <c r="D14" s="16">
        <v>0</v>
      </c>
      <c r="E14" s="16">
        <v>1440</v>
      </c>
      <c r="F14" s="17">
        <v>2322</v>
      </c>
      <c r="G14" s="16">
        <v>1440</v>
      </c>
      <c r="H14" s="7"/>
    </row>
    <row r="15" spans="1:8" ht="27.75" customHeight="1">
      <c r="A15" s="22">
        <v>3</v>
      </c>
      <c r="B15" s="7" t="s">
        <v>1118</v>
      </c>
      <c r="C15" s="16">
        <v>0</v>
      </c>
      <c r="D15" s="16">
        <v>0</v>
      </c>
      <c r="E15" s="16">
        <v>240</v>
      </c>
      <c r="F15" s="17">
        <v>2214</v>
      </c>
      <c r="G15" s="16">
        <v>240</v>
      </c>
      <c r="H15" s="7"/>
    </row>
    <row r="16" spans="1:8" ht="27.75" customHeight="1">
      <c r="A16" s="22">
        <v>4</v>
      </c>
      <c r="B16" s="7" t="s">
        <v>1119</v>
      </c>
      <c r="C16" s="16">
        <v>0</v>
      </c>
      <c r="D16" s="16">
        <v>0</v>
      </c>
      <c r="E16" s="16">
        <v>30816</v>
      </c>
      <c r="F16" s="17">
        <v>2112</v>
      </c>
      <c r="G16" s="16">
        <v>30816</v>
      </c>
      <c r="H16" s="7"/>
    </row>
    <row r="17" spans="1:8" ht="26.25" customHeight="1">
      <c r="A17" s="22">
        <v>5</v>
      </c>
      <c r="B17" s="7" t="s">
        <v>1120</v>
      </c>
      <c r="C17" s="16">
        <v>0</v>
      </c>
      <c r="D17" s="16">
        <v>0</v>
      </c>
      <c r="E17" s="16">
        <v>5000</v>
      </c>
      <c r="F17" s="17">
        <v>2312</v>
      </c>
      <c r="G17" s="16">
        <v>5000</v>
      </c>
      <c r="H17" s="7"/>
    </row>
    <row r="18" spans="1:8" ht="15">
      <c r="A18" s="22">
        <v>6</v>
      </c>
      <c r="B18" s="7"/>
      <c r="C18" s="16"/>
      <c r="D18" s="16"/>
      <c r="E18" s="16"/>
      <c r="F18" s="17"/>
      <c r="G18" s="16"/>
      <c r="H18" s="7"/>
    </row>
    <row r="19" spans="1:8" ht="15">
      <c r="A19" s="3"/>
      <c r="C19" s="3"/>
      <c r="D19" s="3"/>
      <c r="E19" s="3"/>
      <c r="F19" s="3"/>
      <c r="G19" s="3"/>
      <c r="H19" s="3"/>
    </row>
    <row r="20" spans="1:8" ht="15">
      <c r="A20" s="3"/>
      <c r="C20" s="3"/>
      <c r="D20" s="3"/>
      <c r="E20" s="3"/>
      <c r="F20" s="3"/>
      <c r="G20" s="3"/>
      <c r="H20" s="3"/>
    </row>
    <row r="21" spans="1:8" ht="15">
      <c r="A21" s="3" t="s">
        <v>4</v>
      </c>
      <c r="C21" s="806" t="s">
        <v>199</v>
      </c>
      <c r="D21" s="806"/>
      <c r="E21" s="806"/>
      <c r="F21" s="806"/>
      <c r="G21" s="806"/>
      <c r="H21" s="806"/>
    </row>
    <row r="22" spans="1:8" ht="15">
      <c r="A22" s="3" t="s">
        <v>20</v>
      </c>
      <c r="C22" s="806" t="s">
        <v>481</v>
      </c>
      <c r="D22" s="806"/>
      <c r="E22" s="806"/>
      <c r="F22" s="806"/>
      <c r="G22" s="806"/>
      <c r="H22" s="806"/>
    </row>
    <row r="23" spans="1:8" ht="36.75">
      <c r="A23" s="885" t="s">
        <v>7</v>
      </c>
      <c r="B23" s="803" t="s">
        <v>8</v>
      </c>
      <c r="C23" s="803" t="s">
        <v>9</v>
      </c>
      <c r="D23" s="803" t="s">
        <v>943</v>
      </c>
      <c r="E23" s="803" t="s">
        <v>10</v>
      </c>
      <c r="F23" s="4" t="s">
        <v>11</v>
      </c>
      <c r="G23" s="4" t="s">
        <v>12</v>
      </c>
      <c r="H23" s="803" t="s">
        <v>13</v>
      </c>
    </row>
    <row r="24" spans="1:8" ht="36">
      <c r="A24" s="886"/>
      <c r="B24" s="803"/>
      <c r="C24" s="803"/>
      <c r="D24" s="803"/>
      <c r="E24" s="803"/>
      <c r="F24" s="5" t="s">
        <v>14</v>
      </c>
      <c r="G24" s="5" t="s">
        <v>15</v>
      </c>
      <c r="H24" s="803"/>
    </row>
    <row r="25" spans="1:8" ht="15">
      <c r="A25" s="880" t="s">
        <v>16</v>
      </c>
      <c r="B25" s="880"/>
      <c r="C25" s="6">
        <f>SUM(C26:C36)</f>
        <v>49411</v>
      </c>
      <c r="D25" s="6">
        <f>SUM(D26:D36)</f>
        <v>48558</v>
      </c>
      <c r="E25" s="6">
        <f>SUM(E26:E36)</f>
        <v>55118</v>
      </c>
      <c r="F25" s="6"/>
      <c r="G25" s="6">
        <f>SUM(G26:G36)</f>
        <v>54600</v>
      </c>
      <c r="H25" s="537" t="s">
        <v>1511</v>
      </c>
    </row>
    <row r="26" spans="1:8" ht="24.75">
      <c r="A26" s="22">
        <v>1</v>
      </c>
      <c r="B26" s="7" t="s">
        <v>482</v>
      </c>
      <c r="C26" s="16">
        <v>21300</v>
      </c>
      <c r="D26" s="16">
        <v>21300</v>
      </c>
      <c r="E26" s="16">
        <v>20000</v>
      </c>
      <c r="F26" s="17">
        <v>2244</v>
      </c>
      <c r="G26" s="16">
        <v>20000</v>
      </c>
      <c r="H26" s="7"/>
    </row>
    <row r="27" spans="1:8" ht="48.75">
      <c r="A27" s="22">
        <v>2</v>
      </c>
      <c r="B27" s="7" t="s">
        <v>483</v>
      </c>
      <c r="C27" s="16">
        <v>10000</v>
      </c>
      <c r="D27" s="16">
        <v>9200</v>
      </c>
      <c r="E27" s="16">
        <v>18000</v>
      </c>
      <c r="F27" s="17">
        <v>2244</v>
      </c>
      <c r="G27" s="16">
        <v>18000</v>
      </c>
      <c r="H27" s="7" t="s">
        <v>484</v>
      </c>
    </row>
    <row r="28" spans="1:8" ht="48.75">
      <c r="A28" s="22">
        <v>3</v>
      </c>
      <c r="B28" s="7" t="s">
        <v>485</v>
      </c>
      <c r="C28" s="16">
        <v>13000</v>
      </c>
      <c r="D28" s="16">
        <v>13000</v>
      </c>
      <c r="E28" s="16">
        <v>10000</v>
      </c>
      <c r="F28" s="17">
        <v>2244</v>
      </c>
      <c r="G28" s="16">
        <v>10000</v>
      </c>
      <c r="H28" s="7" t="s">
        <v>486</v>
      </c>
    </row>
    <row r="29" spans="1:8" ht="36.75">
      <c r="A29" s="22">
        <v>4</v>
      </c>
      <c r="B29" s="7" t="s">
        <v>487</v>
      </c>
      <c r="C29" s="16">
        <v>1500</v>
      </c>
      <c r="D29" s="16">
        <v>1500</v>
      </c>
      <c r="E29" s="16">
        <v>2000</v>
      </c>
      <c r="F29" s="17">
        <v>2244</v>
      </c>
      <c r="G29" s="16">
        <v>2000</v>
      </c>
      <c r="H29" s="7" t="s">
        <v>488</v>
      </c>
    </row>
    <row r="30" spans="1:8" ht="36.75">
      <c r="A30" s="22">
        <v>5</v>
      </c>
      <c r="B30" s="7" t="s">
        <v>489</v>
      </c>
      <c r="C30" s="16">
        <v>2000</v>
      </c>
      <c r="D30" s="16">
        <v>2000</v>
      </c>
      <c r="E30" s="16">
        <v>3000</v>
      </c>
      <c r="F30" s="17">
        <v>2244</v>
      </c>
      <c r="G30" s="16">
        <v>2500</v>
      </c>
      <c r="H30" s="7" t="s">
        <v>490</v>
      </c>
    </row>
    <row r="31" spans="1:8" ht="36.75">
      <c r="A31" s="22">
        <v>6</v>
      </c>
      <c r="B31" s="7" t="s">
        <v>491</v>
      </c>
      <c r="C31" s="16">
        <v>0</v>
      </c>
      <c r="D31" s="16">
        <v>0</v>
      </c>
      <c r="E31" s="16">
        <v>2000</v>
      </c>
      <c r="F31" s="17">
        <v>2244</v>
      </c>
      <c r="G31" s="16">
        <v>2000</v>
      </c>
      <c r="H31" s="7" t="s">
        <v>492</v>
      </c>
    </row>
    <row r="32" spans="1:8" ht="15">
      <c r="A32" s="22">
        <v>7</v>
      </c>
      <c r="B32" s="7" t="s">
        <v>493</v>
      </c>
      <c r="C32" s="16">
        <v>100</v>
      </c>
      <c r="D32" s="16">
        <v>90</v>
      </c>
      <c r="E32" s="16">
        <v>100</v>
      </c>
      <c r="F32" s="17">
        <v>5269</v>
      </c>
      <c r="G32" s="16">
        <v>100</v>
      </c>
      <c r="H32" s="7"/>
    </row>
    <row r="33" spans="1:8" ht="15">
      <c r="A33" s="22">
        <v>8</v>
      </c>
      <c r="B33" s="7" t="s">
        <v>494</v>
      </c>
      <c r="C33" s="16">
        <v>50</v>
      </c>
      <c r="D33" s="16">
        <v>25</v>
      </c>
      <c r="E33" s="16">
        <v>0</v>
      </c>
      <c r="F33" s="17">
        <v>2279</v>
      </c>
      <c r="G33" s="16"/>
      <c r="H33" s="7"/>
    </row>
    <row r="34" spans="1:8" ht="12.75" customHeight="1">
      <c r="A34" s="829">
        <v>9</v>
      </c>
      <c r="B34" s="830" t="s">
        <v>495</v>
      </c>
      <c r="C34" s="16">
        <v>1443</v>
      </c>
      <c r="D34" s="16">
        <v>1443</v>
      </c>
      <c r="E34" s="16">
        <v>0</v>
      </c>
      <c r="F34" s="17">
        <v>2312</v>
      </c>
      <c r="G34" s="16"/>
      <c r="H34" s="830" t="s">
        <v>106</v>
      </c>
    </row>
    <row r="35" spans="1:8" ht="12.75" customHeight="1">
      <c r="A35" s="825"/>
      <c r="B35" s="827"/>
      <c r="C35" s="16">
        <v>18</v>
      </c>
      <c r="D35" s="16">
        <v>0</v>
      </c>
      <c r="E35" s="16">
        <v>18</v>
      </c>
      <c r="F35" s="17">
        <v>2244</v>
      </c>
      <c r="G35" s="16"/>
      <c r="H35" s="828"/>
    </row>
    <row r="36" spans="1:8" ht="15">
      <c r="A36" s="22"/>
      <c r="B36" s="7"/>
      <c r="C36" s="16"/>
      <c r="D36" s="16"/>
      <c r="E36" s="16"/>
      <c r="F36" s="16"/>
      <c r="G36" s="16"/>
      <c r="H36" s="7"/>
    </row>
    <row r="37" spans="1:8" ht="15">
      <c r="A37" s="175"/>
      <c r="B37" s="18"/>
      <c r="C37" s="19"/>
      <c r="D37" s="19"/>
      <c r="E37" s="19"/>
      <c r="F37" s="19"/>
      <c r="G37" s="19"/>
      <c r="H37" s="18"/>
    </row>
    <row r="38" spans="1:8" ht="15">
      <c r="A38" s="2" t="s">
        <v>4</v>
      </c>
      <c r="C38" s="806" t="s">
        <v>1578</v>
      </c>
      <c r="D38" s="806"/>
      <c r="E38" s="806"/>
      <c r="F38" s="806"/>
      <c r="G38" s="806"/>
      <c r="H38" s="806"/>
    </row>
    <row r="39" spans="1:8" ht="15">
      <c r="A39" s="2" t="s">
        <v>20</v>
      </c>
      <c r="C39" s="806" t="s">
        <v>497</v>
      </c>
      <c r="D39" s="806"/>
      <c r="E39" s="806"/>
      <c r="F39" s="806"/>
      <c r="G39" s="806"/>
      <c r="H39" s="806"/>
    </row>
    <row r="40" spans="1:8" ht="36.75">
      <c r="A40" s="885" t="s">
        <v>7</v>
      </c>
      <c r="B40" s="803" t="s">
        <v>8</v>
      </c>
      <c r="C40" s="803" t="s">
        <v>9</v>
      </c>
      <c r="D40" s="803" t="s">
        <v>943</v>
      </c>
      <c r="E40" s="803" t="s">
        <v>10</v>
      </c>
      <c r="F40" s="4" t="s">
        <v>11</v>
      </c>
      <c r="G40" s="4" t="s">
        <v>12</v>
      </c>
      <c r="H40" s="803" t="s">
        <v>13</v>
      </c>
    </row>
    <row r="41" spans="1:8" ht="36">
      <c r="A41" s="886"/>
      <c r="B41" s="803"/>
      <c r="C41" s="803"/>
      <c r="D41" s="803"/>
      <c r="E41" s="803"/>
      <c r="F41" s="5" t="s">
        <v>14</v>
      </c>
      <c r="G41" s="5" t="s">
        <v>15</v>
      </c>
      <c r="H41" s="803"/>
    </row>
    <row r="42" spans="1:8" ht="15">
      <c r="A42" s="880" t="s">
        <v>16</v>
      </c>
      <c r="B42" s="880"/>
      <c r="C42" s="6">
        <f>C43+SUM(C52:C73)</f>
        <v>1365433</v>
      </c>
      <c r="D42" s="6">
        <f>D43+SUM(D52:D73)</f>
        <v>1365486</v>
      </c>
      <c r="E42" s="6">
        <f>E43+SUM(E52:E73)</f>
        <v>1714579</v>
      </c>
      <c r="F42" s="6"/>
      <c r="G42" s="6">
        <f>G43+SUM(G52:G73)</f>
        <v>1506730</v>
      </c>
      <c r="H42" s="537" t="s">
        <v>1575</v>
      </c>
    </row>
    <row r="43" spans="1:8" ht="24.75">
      <c r="A43" s="22">
        <v>1</v>
      </c>
      <c r="B43" s="176" t="s">
        <v>498</v>
      </c>
      <c r="C43" s="16">
        <f>SUM(C44:C51)</f>
        <v>768590</v>
      </c>
      <c r="D43" s="16">
        <f>SUM(D44:D51)</f>
        <v>768590</v>
      </c>
      <c r="E43" s="16">
        <v>770000</v>
      </c>
      <c r="F43" s="17">
        <v>2244</v>
      </c>
      <c r="G43" s="16">
        <v>680000</v>
      </c>
      <c r="H43" s="7"/>
    </row>
    <row r="44" spans="1:12" s="2" customFormat="1" ht="23.25">
      <c r="A44" s="177">
        <v>1.1</v>
      </c>
      <c r="B44" s="178" t="s">
        <v>499</v>
      </c>
      <c r="C44" s="16">
        <v>434706</v>
      </c>
      <c r="D44" s="16">
        <v>434706</v>
      </c>
      <c r="E44" s="16"/>
      <c r="F44" s="17"/>
      <c r="G44" s="16"/>
      <c r="H44" s="7"/>
      <c r="I44"/>
      <c r="J44"/>
      <c r="K44"/>
      <c r="L44"/>
    </row>
    <row r="45" spans="1:12" s="2" customFormat="1" ht="23.25">
      <c r="A45" s="177">
        <v>1.2</v>
      </c>
      <c r="B45" s="178" t="s">
        <v>500</v>
      </c>
      <c r="C45" s="16">
        <v>333884</v>
      </c>
      <c r="D45" s="16">
        <v>333884</v>
      </c>
      <c r="E45" s="16"/>
      <c r="F45" s="17"/>
      <c r="G45" s="16"/>
      <c r="H45" s="179" t="s">
        <v>501</v>
      </c>
      <c r="I45"/>
      <c r="J45"/>
      <c r="K45"/>
      <c r="L45"/>
    </row>
    <row r="46" spans="1:12" s="2" customFormat="1" ht="15">
      <c r="A46" s="177">
        <v>1.3</v>
      </c>
      <c r="B46" s="178" t="s">
        <v>502</v>
      </c>
      <c r="C46" s="16"/>
      <c r="D46" s="16"/>
      <c r="E46" s="16"/>
      <c r="F46" s="17"/>
      <c r="G46" s="16"/>
      <c r="H46" s="179"/>
      <c r="I46"/>
      <c r="J46"/>
      <c r="K46"/>
      <c r="L46"/>
    </row>
    <row r="47" spans="1:12" s="2" customFormat="1" ht="15">
      <c r="A47" s="177">
        <v>1.4</v>
      </c>
      <c r="B47" s="178" t="s">
        <v>503</v>
      </c>
      <c r="C47" s="16"/>
      <c r="D47" s="16"/>
      <c r="E47" s="16"/>
      <c r="F47" s="17"/>
      <c r="G47" s="16"/>
      <c r="H47" s="179"/>
      <c r="I47"/>
      <c r="J47"/>
      <c r="K47"/>
      <c r="L47"/>
    </row>
    <row r="48" spans="1:12" s="2" customFormat="1" ht="23.25">
      <c r="A48" s="177">
        <v>1.5</v>
      </c>
      <c r="B48" s="178" t="s">
        <v>504</v>
      </c>
      <c r="C48" s="16"/>
      <c r="D48" s="16"/>
      <c r="E48" s="16"/>
      <c r="F48" s="17"/>
      <c r="G48" s="16"/>
      <c r="H48" s="179" t="s">
        <v>505</v>
      </c>
      <c r="I48"/>
      <c r="J48"/>
      <c r="K48"/>
      <c r="L48"/>
    </row>
    <row r="49" spans="1:12" s="2" customFormat="1" ht="34.5">
      <c r="A49" s="177">
        <v>1.6</v>
      </c>
      <c r="B49" s="178" t="s">
        <v>506</v>
      </c>
      <c r="C49" s="16"/>
      <c r="D49" s="16"/>
      <c r="E49" s="16"/>
      <c r="F49" s="17"/>
      <c r="G49" s="16"/>
      <c r="H49" s="179" t="s">
        <v>507</v>
      </c>
      <c r="I49"/>
      <c r="J49"/>
      <c r="K49"/>
      <c r="L49"/>
    </row>
    <row r="50" spans="1:12" s="2" customFormat="1" ht="23.25">
      <c r="A50" s="177">
        <v>1.7</v>
      </c>
      <c r="B50" s="178" t="s">
        <v>508</v>
      </c>
      <c r="C50" s="16"/>
      <c r="D50" s="16"/>
      <c r="E50" s="16"/>
      <c r="F50" s="17"/>
      <c r="G50" s="16"/>
      <c r="H50" s="179" t="s">
        <v>505</v>
      </c>
      <c r="I50"/>
      <c r="J50"/>
      <c r="K50"/>
      <c r="L50"/>
    </row>
    <row r="51" spans="1:8" ht="15">
      <c r="A51" s="177">
        <v>1.8</v>
      </c>
      <c r="B51" s="180" t="s">
        <v>509</v>
      </c>
      <c r="C51" s="16"/>
      <c r="D51" s="16"/>
      <c r="E51" s="16"/>
      <c r="F51" s="17"/>
      <c r="G51" s="16"/>
      <c r="H51" s="7"/>
    </row>
    <row r="52" spans="1:8" ht="24.75">
      <c r="A52" s="22">
        <v>2</v>
      </c>
      <c r="B52" s="176" t="s">
        <v>510</v>
      </c>
      <c r="C52" s="16">
        <v>64164</v>
      </c>
      <c r="D52" s="16">
        <v>70000</v>
      </c>
      <c r="E52" s="16">
        <v>76681</v>
      </c>
      <c r="F52" s="17">
        <v>2244</v>
      </c>
      <c r="G52" s="16">
        <v>76681</v>
      </c>
      <c r="H52" s="7" t="s">
        <v>511</v>
      </c>
    </row>
    <row r="53" spans="1:8" ht="36.75">
      <c r="A53" s="22">
        <v>3</v>
      </c>
      <c r="B53" s="176" t="s">
        <v>512</v>
      </c>
      <c r="C53" s="887">
        <v>231163</v>
      </c>
      <c r="D53" s="887">
        <v>231163</v>
      </c>
      <c r="E53" s="16">
        <v>0</v>
      </c>
      <c r="F53" s="17">
        <v>2244</v>
      </c>
      <c r="G53" s="16"/>
      <c r="H53" s="7"/>
    </row>
    <row r="54" spans="1:8" ht="48.75">
      <c r="A54" s="22">
        <v>4</v>
      </c>
      <c r="B54" s="176" t="s">
        <v>513</v>
      </c>
      <c r="C54" s="888"/>
      <c r="D54" s="888"/>
      <c r="E54" s="16">
        <v>430161</v>
      </c>
      <c r="F54" s="17">
        <v>2244</v>
      </c>
      <c r="G54" s="16">
        <v>330000</v>
      </c>
      <c r="H54" s="7" t="s">
        <v>514</v>
      </c>
    </row>
    <row r="55" spans="1:8" ht="24" customHeight="1">
      <c r="A55" s="829">
        <v>5</v>
      </c>
      <c r="B55" s="889" t="s">
        <v>515</v>
      </c>
      <c r="C55" s="16">
        <v>101658</v>
      </c>
      <c r="D55" s="16">
        <v>101660</v>
      </c>
      <c r="E55" s="16">
        <v>109200</v>
      </c>
      <c r="F55" s="17">
        <v>2244</v>
      </c>
      <c r="G55" s="16">
        <v>102000</v>
      </c>
      <c r="H55" s="830" t="s">
        <v>516</v>
      </c>
    </row>
    <row r="56" spans="1:8" ht="21" customHeight="1">
      <c r="A56" s="825"/>
      <c r="B56" s="890"/>
      <c r="C56" s="16">
        <v>1289</v>
      </c>
      <c r="D56" s="16">
        <v>1289</v>
      </c>
      <c r="E56" s="16">
        <v>0</v>
      </c>
      <c r="F56" s="17">
        <v>2241</v>
      </c>
      <c r="G56" s="16"/>
      <c r="H56" s="827"/>
    </row>
    <row r="57" spans="1:8" ht="23.25" customHeight="1">
      <c r="A57" s="825"/>
      <c r="B57" s="890"/>
      <c r="C57" s="16">
        <v>350</v>
      </c>
      <c r="D57" s="16">
        <v>350</v>
      </c>
      <c r="E57" s="16">
        <v>0</v>
      </c>
      <c r="F57" s="17">
        <v>2243</v>
      </c>
      <c r="G57" s="16"/>
      <c r="H57" s="827"/>
    </row>
    <row r="58" spans="1:8" ht="25.5" customHeight="1">
      <c r="A58" s="826"/>
      <c r="B58" s="891"/>
      <c r="C58" s="16">
        <v>1512</v>
      </c>
      <c r="D58" s="16">
        <v>1512</v>
      </c>
      <c r="E58" s="16">
        <v>0</v>
      </c>
      <c r="F58" s="17">
        <v>2223</v>
      </c>
      <c r="G58" s="16"/>
      <c r="H58" s="828"/>
    </row>
    <row r="59" spans="1:8" ht="48.75">
      <c r="A59" s="22">
        <v>6</v>
      </c>
      <c r="B59" s="38" t="s">
        <v>517</v>
      </c>
      <c r="C59" s="16">
        <v>77828</v>
      </c>
      <c r="D59" s="16">
        <v>78628</v>
      </c>
      <c r="E59" s="16">
        <v>51000</v>
      </c>
      <c r="F59" s="17">
        <v>2244</v>
      </c>
      <c r="G59" s="16">
        <v>45000</v>
      </c>
      <c r="H59" s="7" t="s">
        <v>518</v>
      </c>
    </row>
    <row r="60" spans="1:8" ht="48.75">
      <c r="A60" s="22">
        <v>7</v>
      </c>
      <c r="B60" s="38" t="s">
        <v>519</v>
      </c>
      <c r="C60" s="16">
        <v>0</v>
      </c>
      <c r="D60" s="16">
        <v>0</v>
      </c>
      <c r="E60" s="16">
        <v>43440</v>
      </c>
      <c r="F60" s="17">
        <v>2244</v>
      </c>
      <c r="G60" s="16">
        <v>43440</v>
      </c>
      <c r="H60" s="7" t="s">
        <v>520</v>
      </c>
    </row>
    <row r="61" spans="1:8" ht="24.75">
      <c r="A61" s="22">
        <v>8</v>
      </c>
      <c r="B61" s="176" t="s">
        <v>1378</v>
      </c>
      <c r="C61" s="16">
        <v>1208</v>
      </c>
      <c r="D61" s="16">
        <v>1273</v>
      </c>
      <c r="E61" s="16">
        <v>700</v>
      </c>
      <c r="F61" s="17">
        <v>2244</v>
      </c>
      <c r="G61" s="16">
        <v>2212</v>
      </c>
      <c r="H61" s="7" t="s">
        <v>521</v>
      </c>
    </row>
    <row r="62" spans="1:8" ht="36.75">
      <c r="A62" s="22">
        <v>9</v>
      </c>
      <c r="B62" s="176" t="s">
        <v>522</v>
      </c>
      <c r="C62" s="16">
        <v>8220</v>
      </c>
      <c r="D62" s="16">
        <v>8300</v>
      </c>
      <c r="E62" s="16">
        <v>8895</v>
      </c>
      <c r="F62" s="17">
        <v>2244</v>
      </c>
      <c r="G62" s="16">
        <v>8895</v>
      </c>
      <c r="H62" s="7" t="s">
        <v>523</v>
      </c>
    </row>
    <row r="63" spans="1:8" ht="36.75">
      <c r="A63" s="22">
        <v>10</v>
      </c>
      <c r="B63" s="176" t="s">
        <v>524</v>
      </c>
      <c r="C63" s="16">
        <v>2572</v>
      </c>
      <c r="D63" s="16">
        <v>2880</v>
      </c>
      <c r="E63" s="16">
        <v>8926</v>
      </c>
      <c r="F63" s="17">
        <v>2244</v>
      </c>
      <c r="G63" s="16">
        <v>8926</v>
      </c>
      <c r="H63" s="7" t="s">
        <v>523</v>
      </c>
    </row>
    <row r="64" spans="1:8" ht="108.75">
      <c r="A64" s="22">
        <v>11</v>
      </c>
      <c r="B64" s="37" t="s">
        <v>525</v>
      </c>
      <c r="C64" s="16">
        <v>48995</v>
      </c>
      <c r="D64" s="16">
        <v>49127</v>
      </c>
      <c r="E64" s="341">
        <v>86106</v>
      </c>
      <c r="F64" s="17">
        <v>2244</v>
      </c>
      <c r="G64" s="341">
        <f>86106+6000</f>
        <v>92106</v>
      </c>
      <c r="H64" s="7" t="s">
        <v>1427</v>
      </c>
    </row>
    <row r="65" spans="1:8" ht="36.75">
      <c r="A65" s="22">
        <v>12</v>
      </c>
      <c r="B65" s="7" t="s">
        <v>561</v>
      </c>
      <c r="C65" s="16">
        <v>0</v>
      </c>
      <c r="D65" s="16">
        <v>0</v>
      </c>
      <c r="E65" s="20">
        <f>56000</f>
        <v>56000</v>
      </c>
      <c r="F65" s="17">
        <v>5240</v>
      </c>
      <c r="G65" s="341">
        <v>50000</v>
      </c>
      <c r="H65" s="7" t="s">
        <v>562</v>
      </c>
    </row>
    <row r="66" spans="1:8" ht="24.75">
      <c r="A66" s="22">
        <v>13</v>
      </c>
      <c r="B66" s="7" t="s">
        <v>563</v>
      </c>
      <c r="C66" s="16">
        <v>0</v>
      </c>
      <c r="D66" s="16">
        <v>0</v>
      </c>
      <c r="E66" s="16">
        <v>4000</v>
      </c>
      <c r="F66" s="17">
        <v>5240</v>
      </c>
      <c r="G66" s="341">
        <v>4000</v>
      </c>
      <c r="H66" s="7" t="s">
        <v>564</v>
      </c>
    </row>
    <row r="67" spans="1:8" ht="48.75">
      <c r="A67" s="22">
        <v>14</v>
      </c>
      <c r="B67" s="37" t="s">
        <v>526</v>
      </c>
      <c r="C67" s="16">
        <v>14809</v>
      </c>
      <c r="D67" s="16">
        <v>14856</v>
      </c>
      <c r="E67" s="16">
        <v>14000</v>
      </c>
      <c r="F67" s="17">
        <v>5250</v>
      </c>
      <c r="G67" s="16">
        <v>14000</v>
      </c>
      <c r="H67" s="7" t="s">
        <v>527</v>
      </c>
    </row>
    <row r="68" spans="1:8" ht="24.75">
      <c r="A68" s="22">
        <v>15</v>
      </c>
      <c r="B68" s="7" t="s">
        <v>528</v>
      </c>
      <c r="C68" s="16">
        <v>270</v>
      </c>
      <c r="D68" s="16">
        <v>270</v>
      </c>
      <c r="E68" s="16">
        <v>270</v>
      </c>
      <c r="F68" s="17">
        <v>2244</v>
      </c>
      <c r="G68" s="16">
        <v>270</v>
      </c>
      <c r="H68" s="7"/>
    </row>
    <row r="69" spans="1:8" ht="36.75">
      <c r="A69" s="22">
        <v>16</v>
      </c>
      <c r="B69" s="7" t="s">
        <v>529</v>
      </c>
      <c r="C69" s="16">
        <v>0</v>
      </c>
      <c r="D69" s="16">
        <v>0</v>
      </c>
      <c r="E69" s="16">
        <v>1200</v>
      </c>
      <c r="F69" s="17">
        <v>2244</v>
      </c>
      <c r="G69" s="16">
        <v>1200</v>
      </c>
      <c r="H69" s="7" t="s">
        <v>530</v>
      </c>
    </row>
    <row r="70" spans="1:8" ht="48.75">
      <c r="A70" s="22">
        <v>17</v>
      </c>
      <c r="B70" s="176" t="s">
        <v>531</v>
      </c>
      <c r="C70" s="16">
        <v>15000</v>
      </c>
      <c r="D70" s="16">
        <v>15000</v>
      </c>
      <c r="E70" s="16">
        <v>27000</v>
      </c>
      <c r="F70" s="17">
        <v>2224</v>
      </c>
      <c r="G70" s="16">
        <v>24000</v>
      </c>
      <c r="H70" s="7" t="s">
        <v>484</v>
      </c>
    </row>
    <row r="71" spans="1:8" ht="48.75">
      <c r="A71" s="22">
        <v>18</v>
      </c>
      <c r="B71" s="176" t="s">
        <v>532</v>
      </c>
      <c r="C71" s="16">
        <v>22578</v>
      </c>
      <c r="D71" s="16">
        <v>15361</v>
      </c>
      <c r="E71" s="16">
        <v>27000</v>
      </c>
      <c r="F71" s="17">
        <v>2244</v>
      </c>
      <c r="G71" s="16">
        <v>24000</v>
      </c>
      <c r="H71" s="7" t="s">
        <v>484</v>
      </c>
    </row>
    <row r="72" spans="1:8" ht="15">
      <c r="A72" s="22">
        <v>19</v>
      </c>
      <c r="B72" s="176" t="s">
        <v>533</v>
      </c>
      <c r="C72" s="16">
        <v>5000</v>
      </c>
      <c r="D72" s="16">
        <v>5000</v>
      </c>
      <c r="E72" s="16">
        <v>0</v>
      </c>
      <c r="F72" s="17">
        <v>2224</v>
      </c>
      <c r="G72" s="16"/>
      <c r="H72" s="7"/>
    </row>
    <row r="73" spans="1:8" ht="15">
      <c r="A73" s="22">
        <v>20</v>
      </c>
      <c r="B73" s="176" t="s">
        <v>534</v>
      </c>
      <c r="C73" s="16">
        <v>227</v>
      </c>
      <c r="D73" s="16">
        <v>227</v>
      </c>
      <c r="E73" s="16">
        <v>0</v>
      </c>
      <c r="F73" s="17">
        <v>2351</v>
      </c>
      <c r="G73" s="16"/>
      <c r="H73" s="7"/>
    </row>
    <row r="74" spans="1:8" ht="15">
      <c r="A74" s="22"/>
      <c r="B74" s="176"/>
      <c r="C74" s="16"/>
      <c r="D74" s="16"/>
      <c r="E74" s="16"/>
      <c r="F74" s="17"/>
      <c r="G74" s="16"/>
      <c r="H74" s="7"/>
    </row>
    <row r="75" spans="1:8" ht="15">
      <c r="A75" s="175"/>
      <c r="B75" s="181"/>
      <c r="C75" s="19"/>
      <c r="D75" s="19"/>
      <c r="E75" s="19"/>
      <c r="F75" s="174"/>
      <c r="G75" s="19"/>
      <c r="H75" s="18"/>
    </row>
    <row r="76" spans="1:8" ht="15">
      <c r="A76" s="2" t="s">
        <v>4</v>
      </c>
      <c r="C76" s="806" t="s">
        <v>1397</v>
      </c>
      <c r="D76" s="806"/>
      <c r="E76" s="806"/>
      <c r="F76" s="806"/>
      <c r="G76" s="806"/>
      <c r="H76" s="806"/>
    </row>
    <row r="77" spans="1:8" ht="15">
      <c r="A77" s="2" t="s">
        <v>20</v>
      </c>
      <c r="C77" s="806" t="s">
        <v>6</v>
      </c>
      <c r="D77" s="806"/>
      <c r="E77" s="806"/>
      <c r="F77" s="806"/>
      <c r="G77" s="806"/>
      <c r="H77" s="806"/>
    </row>
    <row r="78" spans="1:8" ht="36.75">
      <c r="A78" s="892" t="s">
        <v>7</v>
      </c>
      <c r="B78" s="803" t="s">
        <v>8</v>
      </c>
      <c r="C78" s="803" t="s">
        <v>9</v>
      </c>
      <c r="D78" s="803" t="s">
        <v>936</v>
      </c>
      <c r="E78" s="803" t="s">
        <v>10</v>
      </c>
      <c r="F78" s="4" t="s">
        <v>11</v>
      </c>
      <c r="G78" s="4" t="s">
        <v>12</v>
      </c>
      <c r="H78" s="803" t="s">
        <v>13</v>
      </c>
    </row>
    <row r="79" spans="1:8" ht="36">
      <c r="A79" s="892"/>
      <c r="B79" s="803"/>
      <c r="C79" s="803"/>
      <c r="D79" s="803"/>
      <c r="E79" s="803"/>
      <c r="F79" s="5" t="s">
        <v>14</v>
      </c>
      <c r="G79" s="5" t="s">
        <v>15</v>
      </c>
      <c r="H79" s="803"/>
    </row>
    <row r="80" spans="1:8" ht="15">
      <c r="A80" s="880" t="s">
        <v>16</v>
      </c>
      <c r="B80" s="880"/>
      <c r="C80" s="6">
        <f>SUM(C81:C120)</f>
        <v>136058</v>
      </c>
      <c r="D80" s="6">
        <f>SUM(D81:D120)</f>
        <v>136009</v>
      </c>
      <c r="E80" s="6">
        <f>SUM(E81:E120)</f>
        <v>309911</v>
      </c>
      <c r="F80" s="6"/>
      <c r="G80" s="6">
        <f>SUM(G81:G120)</f>
        <v>292851</v>
      </c>
      <c r="H80" s="537" t="s">
        <v>1609</v>
      </c>
    </row>
    <row r="81" spans="1:12" s="2" customFormat="1" ht="36.75">
      <c r="A81" s="22">
        <v>1</v>
      </c>
      <c r="B81" s="176" t="s">
        <v>535</v>
      </c>
      <c r="C81" s="16">
        <v>30998</v>
      </c>
      <c r="D81" s="16">
        <v>31000</v>
      </c>
      <c r="E81" s="16">
        <v>42000</v>
      </c>
      <c r="F81" s="17">
        <v>2244</v>
      </c>
      <c r="G81" s="16">
        <v>35000</v>
      </c>
      <c r="H81" s="7" t="s">
        <v>536</v>
      </c>
      <c r="I81"/>
      <c r="J81"/>
      <c r="K81"/>
      <c r="L81"/>
    </row>
    <row r="82" spans="1:12" s="2" customFormat="1" ht="15">
      <c r="A82" s="22">
        <v>2</v>
      </c>
      <c r="B82" s="176" t="s">
        <v>537</v>
      </c>
      <c r="C82" s="16">
        <v>21734</v>
      </c>
      <c r="D82" s="16">
        <v>21750</v>
      </c>
      <c r="E82" s="16">
        <v>24000</v>
      </c>
      <c r="F82" s="17">
        <v>2279</v>
      </c>
      <c r="G82" s="16">
        <v>22000</v>
      </c>
      <c r="H82" s="7"/>
      <c r="I82"/>
      <c r="J82"/>
      <c r="K82"/>
      <c r="L82"/>
    </row>
    <row r="83" spans="1:12" s="2" customFormat="1" ht="36.75">
      <c r="A83" s="22">
        <v>3</v>
      </c>
      <c r="B83" s="176" t="s">
        <v>538</v>
      </c>
      <c r="C83" s="16">
        <v>0</v>
      </c>
      <c r="D83" s="16">
        <v>0</v>
      </c>
      <c r="E83" s="16">
        <v>3000</v>
      </c>
      <c r="F83" s="17">
        <v>2244</v>
      </c>
      <c r="G83" s="16">
        <v>3000</v>
      </c>
      <c r="H83" s="7" t="s">
        <v>539</v>
      </c>
      <c r="I83"/>
      <c r="J83"/>
      <c r="K83"/>
      <c r="L83"/>
    </row>
    <row r="84" spans="1:12" s="2" customFormat="1" ht="15">
      <c r="A84" s="883">
        <v>4</v>
      </c>
      <c r="B84" s="900" t="s">
        <v>540</v>
      </c>
      <c r="C84" s="16">
        <v>1500</v>
      </c>
      <c r="D84" s="16">
        <v>1500</v>
      </c>
      <c r="E84" s="16">
        <v>0</v>
      </c>
      <c r="F84" s="17">
        <v>2390</v>
      </c>
      <c r="G84" s="16"/>
      <c r="H84" s="7"/>
      <c r="I84"/>
      <c r="J84"/>
      <c r="K84"/>
      <c r="L84"/>
    </row>
    <row r="85" spans="1:12" s="2" customFormat="1" ht="12.75" customHeight="1">
      <c r="A85" s="884"/>
      <c r="B85" s="901"/>
      <c r="C85" s="16">
        <v>0</v>
      </c>
      <c r="D85" s="16">
        <v>0</v>
      </c>
      <c r="E85" s="16">
        <v>2488</v>
      </c>
      <c r="F85" s="17">
        <v>2244</v>
      </c>
      <c r="G85" s="16">
        <v>2488</v>
      </c>
      <c r="H85" s="7"/>
      <c r="I85"/>
      <c r="J85"/>
      <c r="K85"/>
      <c r="L85"/>
    </row>
    <row r="86" spans="1:12" s="2" customFormat="1" ht="24.75">
      <c r="A86" s="22">
        <v>5</v>
      </c>
      <c r="B86" s="182" t="s">
        <v>541</v>
      </c>
      <c r="C86" s="16">
        <v>0</v>
      </c>
      <c r="D86" s="16">
        <v>0</v>
      </c>
      <c r="E86" s="16">
        <v>5060</v>
      </c>
      <c r="F86" s="17">
        <v>2244</v>
      </c>
      <c r="G86" s="16"/>
      <c r="H86" s="7"/>
      <c r="I86"/>
      <c r="J86"/>
      <c r="K86"/>
      <c r="L86"/>
    </row>
    <row r="87" spans="1:12" s="2" customFormat="1" ht="15">
      <c r="A87" s="883">
        <v>6</v>
      </c>
      <c r="B87" s="900" t="s">
        <v>542</v>
      </c>
      <c r="C87" s="16">
        <v>0</v>
      </c>
      <c r="D87" s="16">
        <v>0</v>
      </c>
      <c r="E87" s="16">
        <v>4326</v>
      </c>
      <c r="F87" s="17">
        <v>2244</v>
      </c>
      <c r="G87" s="16">
        <v>4326</v>
      </c>
      <c r="H87" s="7"/>
      <c r="I87"/>
      <c r="J87"/>
      <c r="K87"/>
      <c r="L87"/>
    </row>
    <row r="88" spans="1:12" s="2" customFormat="1" ht="12.75" customHeight="1">
      <c r="A88" s="884"/>
      <c r="B88" s="901"/>
      <c r="C88" s="16">
        <v>0</v>
      </c>
      <c r="D88" s="16">
        <v>0</v>
      </c>
      <c r="E88" s="16">
        <v>1137</v>
      </c>
      <c r="F88" s="17">
        <v>2312</v>
      </c>
      <c r="G88" s="16">
        <v>1137</v>
      </c>
      <c r="H88" s="7"/>
      <c r="I88"/>
      <c r="J88"/>
      <c r="K88"/>
      <c r="L88"/>
    </row>
    <row r="89" spans="1:12" s="2" customFormat="1" ht="24.75">
      <c r="A89" s="183">
        <v>7</v>
      </c>
      <c r="B89" s="184" t="s">
        <v>543</v>
      </c>
      <c r="C89" s="16">
        <v>3500</v>
      </c>
      <c r="D89" s="16">
        <v>3500</v>
      </c>
      <c r="E89" s="16">
        <v>0</v>
      </c>
      <c r="F89" s="17">
        <v>2244</v>
      </c>
      <c r="G89" s="16"/>
      <c r="H89" s="7"/>
      <c r="I89"/>
      <c r="J89"/>
      <c r="K89"/>
      <c r="L89"/>
    </row>
    <row r="90" spans="1:12" s="2" customFormat="1" ht="24.75">
      <c r="A90" s="185">
        <v>8</v>
      </c>
      <c r="B90" s="38" t="s">
        <v>544</v>
      </c>
      <c r="C90" s="16">
        <v>2032</v>
      </c>
      <c r="D90" s="16">
        <v>2031</v>
      </c>
      <c r="E90" s="20">
        <f>2500</f>
        <v>2500</v>
      </c>
      <c r="F90" s="17">
        <v>2312</v>
      </c>
      <c r="G90" s="16">
        <v>2500</v>
      </c>
      <c r="H90" s="7" t="s">
        <v>545</v>
      </c>
      <c r="I90"/>
      <c r="J90"/>
      <c r="K90"/>
      <c r="L90"/>
    </row>
    <row r="91" spans="1:12" s="2" customFormat="1" ht="24.75">
      <c r="A91" s="22">
        <v>9</v>
      </c>
      <c r="B91" s="38" t="s">
        <v>546</v>
      </c>
      <c r="C91" s="16">
        <v>415</v>
      </c>
      <c r="D91" s="16">
        <v>415</v>
      </c>
      <c r="E91" s="16">
        <v>650</v>
      </c>
      <c r="F91" s="17">
        <v>2243</v>
      </c>
      <c r="G91" s="16">
        <v>450</v>
      </c>
      <c r="H91" s="7"/>
      <c r="I91"/>
      <c r="J91"/>
      <c r="K91"/>
      <c r="L91"/>
    </row>
    <row r="92" spans="1:12" s="2" customFormat="1" ht="30" customHeight="1">
      <c r="A92" s="22">
        <v>10</v>
      </c>
      <c r="B92" s="186" t="s">
        <v>547</v>
      </c>
      <c r="C92" s="16">
        <v>786</v>
      </c>
      <c r="D92" s="16">
        <v>786</v>
      </c>
      <c r="E92" s="16">
        <v>1000</v>
      </c>
      <c r="F92" s="17">
        <v>2243</v>
      </c>
      <c r="G92" s="16">
        <v>800</v>
      </c>
      <c r="H92" s="7"/>
      <c r="I92"/>
      <c r="J92"/>
      <c r="K92"/>
      <c r="L92"/>
    </row>
    <row r="93" spans="1:12" s="2" customFormat="1" ht="30" customHeight="1">
      <c r="A93" s="194"/>
      <c r="B93" s="671" t="s">
        <v>1576</v>
      </c>
      <c r="C93" s="16">
        <v>0</v>
      </c>
      <c r="D93" s="16">
        <v>0</v>
      </c>
      <c r="E93" s="16">
        <v>24000</v>
      </c>
      <c r="F93" s="17">
        <v>5239</v>
      </c>
      <c r="G93" s="16">
        <v>24000</v>
      </c>
      <c r="H93" s="7"/>
      <c r="I93"/>
      <c r="J93"/>
      <c r="K93"/>
      <c r="L93"/>
    </row>
    <row r="94" spans="1:12" s="2" customFormat="1" ht="30" customHeight="1">
      <c r="A94" s="194"/>
      <c r="B94" s="671"/>
      <c r="C94" s="16"/>
      <c r="D94" s="16"/>
      <c r="E94" s="16"/>
      <c r="F94" s="17"/>
      <c r="G94" s="16"/>
      <c r="H94" s="7"/>
      <c r="I94"/>
      <c r="J94"/>
      <c r="K94"/>
      <c r="L94"/>
    </row>
    <row r="95" spans="1:12" s="2" customFormat="1" ht="15">
      <c r="A95" s="883">
        <v>11</v>
      </c>
      <c r="B95" s="894" t="s">
        <v>548</v>
      </c>
      <c r="C95" s="16">
        <v>38432</v>
      </c>
      <c r="D95" s="16">
        <v>39252</v>
      </c>
      <c r="E95" s="16">
        <v>0</v>
      </c>
      <c r="F95" s="17">
        <v>5239</v>
      </c>
      <c r="G95" s="16"/>
      <c r="H95" s="7"/>
      <c r="I95"/>
      <c r="J95"/>
      <c r="K95"/>
      <c r="L95"/>
    </row>
    <row r="96" spans="1:12" s="2" customFormat="1" ht="12.75" customHeight="1">
      <c r="A96" s="893"/>
      <c r="B96" s="895"/>
      <c r="C96" s="16">
        <v>912</v>
      </c>
      <c r="D96" s="16">
        <v>912</v>
      </c>
      <c r="E96" s="16">
        <v>0</v>
      </c>
      <c r="F96" s="17">
        <v>2243</v>
      </c>
      <c r="G96" s="16"/>
      <c r="H96" s="7"/>
      <c r="I96"/>
      <c r="J96"/>
      <c r="K96"/>
      <c r="L96"/>
    </row>
    <row r="97" spans="1:12" s="2" customFormat="1" ht="12.75" customHeight="1">
      <c r="A97" s="893"/>
      <c r="B97" s="895"/>
      <c r="C97" s="16">
        <v>3867</v>
      </c>
      <c r="D97" s="16">
        <v>3939</v>
      </c>
      <c r="E97" s="16">
        <v>0</v>
      </c>
      <c r="F97" s="17">
        <v>2244</v>
      </c>
      <c r="G97" s="16"/>
      <c r="H97" s="7"/>
      <c r="I97"/>
      <c r="J97"/>
      <c r="K97"/>
      <c r="L97"/>
    </row>
    <row r="98" spans="1:12" s="2" customFormat="1" ht="12.75" customHeight="1">
      <c r="A98" s="884"/>
      <c r="B98" s="896"/>
      <c r="C98" s="16">
        <v>8021</v>
      </c>
      <c r="D98" s="16">
        <v>8021</v>
      </c>
      <c r="E98" s="16">
        <v>0</v>
      </c>
      <c r="F98" s="17">
        <v>2390</v>
      </c>
      <c r="G98" s="16"/>
      <c r="H98" s="7"/>
      <c r="I98"/>
      <c r="J98"/>
      <c r="K98"/>
      <c r="L98"/>
    </row>
    <row r="99" spans="1:12" s="2" customFormat="1" ht="24">
      <c r="A99" s="183">
        <v>12</v>
      </c>
      <c r="B99" s="187" t="s">
        <v>549</v>
      </c>
      <c r="C99" s="16">
        <v>7921</v>
      </c>
      <c r="D99" s="16">
        <v>7120</v>
      </c>
      <c r="E99" s="16">
        <v>0</v>
      </c>
      <c r="F99" s="17">
        <v>2243</v>
      </c>
      <c r="G99" s="16"/>
      <c r="H99" s="7"/>
      <c r="I99"/>
      <c r="J99"/>
      <c r="K99"/>
      <c r="L99"/>
    </row>
    <row r="100" spans="1:12" s="2" customFormat="1" ht="15">
      <c r="A100" s="883">
        <v>13</v>
      </c>
      <c r="B100" s="894" t="s">
        <v>550</v>
      </c>
      <c r="C100" s="16">
        <v>854</v>
      </c>
      <c r="D100" s="16">
        <v>854</v>
      </c>
      <c r="E100" s="16">
        <v>0</v>
      </c>
      <c r="F100" s="17">
        <v>5239</v>
      </c>
      <c r="G100" s="16"/>
      <c r="H100" s="7"/>
      <c r="I100"/>
      <c r="J100"/>
      <c r="K100"/>
      <c r="L100"/>
    </row>
    <row r="101" spans="1:12" s="2" customFormat="1" ht="12.75" customHeight="1">
      <c r="A101" s="884"/>
      <c r="B101" s="896"/>
      <c r="C101" s="16">
        <v>186</v>
      </c>
      <c r="D101" s="16">
        <v>185</v>
      </c>
      <c r="E101" s="16">
        <v>0</v>
      </c>
      <c r="F101" s="17">
        <v>2390</v>
      </c>
      <c r="G101" s="16"/>
      <c r="H101" s="7"/>
      <c r="I101"/>
      <c r="J101"/>
      <c r="K101"/>
      <c r="L101"/>
    </row>
    <row r="102" spans="1:12" s="2" customFormat="1" ht="71.25" customHeight="1">
      <c r="A102" s="22">
        <v>14</v>
      </c>
      <c r="B102" s="182" t="s">
        <v>551</v>
      </c>
      <c r="C102" s="16">
        <v>0</v>
      </c>
      <c r="D102" s="16">
        <v>0</v>
      </c>
      <c r="E102" s="20">
        <f>50000</f>
        <v>50000</v>
      </c>
      <c r="F102" s="17">
        <v>5240</v>
      </c>
      <c r="G102" s="16">
        <f>50000+20000-11000</f>
        <v>59000</v>
      </c>
      <c r="H102" s="7" t="s">
        <v>1543</v>
      </c>
      <c r="I102"/>
      <c r="J102"/>
      <c r="K102"/>
      <c r="L102"/>
    </row>
    <row r="103" spans="1:12" s="2" customFormat="1" ht="48.75">
      <c r="A103" s="22">
        <v>15</v>
      </c>
      <c r="B103" s="182" t="s">
        <v>552</v>
      </c>
      <c r="C103" s="16">
        <v>0</v>
      </c>
      <c r="D103" s="16">
        <v>0</v>
      </c>
      <c r="E103" s="20">
        <f>83000</f>
        <v>83000</v>
      </c>
      <c r="F103" s="17">
        <v>5240</v>
      </c>
      <c r="G103" s="16">
        <v>83000</v>
      </c>
      <c r="H103" s="7" t="s">
        <v>553</v>
      </c>
      <c r="I103"/>
      <c r="J103"/>
      <c r="K103"/>
      <c r="L103"/>
    </row>
    <row r="104" spans="1:8" ht="24">
      <c r="A104" s="185">
        <v>16</v>
      </c>
      <c r="B104" s="188" t="s">
        <v>554</v>
      </c>
      <c r="C104" s="16">
        <v>0</v>
      </c>
      <c r="D104" s="16">
        <v>0</v>
      </c>
      <c r="E104" s="16">
        <v>13000</v>
      </c>
      <c r="F104" s="17">
        <v>2243</v>
      </c>
      <c r="G104" s="16">
        <v>9000</v>
      </c>
      <c r="H104" s="7"/>
    </row>
    <row r="105" spans="1:12" s="2" customFormat="1" ht="36.75">
      <c r="A105" s="185">
        <v>17</v>
      </c>
      <c r="B105" s="182" t="s">
        <v>555</v>
      </c>
      <c r="C105" s="16">
        <v>0</v>
      </c>
      <c r="D105" s="16">
        <v>0</v>
      </c>
      <c r="E105" s="16">
        <v>7200</v>
      </c>
      <c r="F105" s="17">
        <v>2243</v>
      </c>
      <c r="G105" s="16"/>
      <c r="H105" s="7" t="s">
        <v>556</v>
      </c>
      <c r="I105"/>
      <c r="J105"/>
      <c r="K105"/>
      <c r="L105"/>
    </row>
    <row r="106" spans="1:12" s="2" customFormat="1" ht="18" customHeight="1">
      <c r="A106" s="897">
        <v>18</v>
      </c>
      <c r="B106" s="894" t="s">
        <v>557</v>
      </c>
      <c r="C106" s="16">
        <v>3602</v>
      </c>
      <c r="D106" s="16">
        <v>3602</v>
      </c>
      <c r="E106" s="20">
        <f>18000</f>
        <v>18000</v>
      </c>
      <c r="F106" s="17">
        <v>2243</v>
      </c>
      <c r="G106" s="16">
        <v>18000</v>
      </c>
      <c r="H106" s="830" t="s">
        <v>558</v>
      </c>
      <c r="I106"/>
      <c r="J106"/>
      <c r="K106"/>
      <c r="L106"/>
    </row>
    <row r="107" spans="1:12" s="2" customFormat="1" ht="15.75" customHeight="1">
      <c r="A107" s="898"/>
      <c r="B107" s="895"/>
      <c r="C107" s="16">
        <v>2601</v>
      </c>
      <c r="D107" s="16">
        <v>2600</v>
      </c>
      <c r="E107" s="16">
        <v>0</v>
      </c>
      <c r="F107" s="17">
        <v>5239</v>
      </c>
      <c r="G107" s="16"/>
      <c r="H107" s="827"/>
      <c r="I107"/>
      <c r="J107"/>
      <c r="K107"/>
      <c r="L107"/>
    </row>
    <row r="108" spans="1:12" s="2" customFormat="1" ht="15.75" customHeight="1">
      <c r="A108" s="899"/>
      <c r="B108" s="896"/>
      <c r="C108" s="16">
        <v>952</v>
      </c>
      <c r="D108" s="16">
        <v>952</v>
      </c>
      <c r="E108" s="16">
        <v>0</v>
      </c>
      <c r="F108" s="17">
        <v>2390</v>
      </c>
      <c r="G108" s="16"/>
      <c r="H108" s="828"/>
      <c r="I108"/>
      <c r="J108"/>
      <c r="K108"/>
      <c r="L108"/>
    </row>
    <row r="109" spans="1:8" ht="72.75">
      <c r="A109" s="22">
        <v>19</v>
      </c>
      <c r="B109" s="7" t="s">
        <v>559</v>
      </c>
      <c r="C109" s="16">
        <v>0</v>
      </c>
      <c r="D109" s="16">
        <v>0</v>
      </c>
      <c r="E109" s="20">
        <f>5000</f>
        <v>5000</v>
      </c>
      <c r="F109" s="17">
        <v>5239</v>
      </c>
      <c r="G109" s="16">
        <v>5000</v>
      </c>
      <c r="H109" s="7" t="s">
        <v>560</v>
      </c>
    </row>
    <row r="110" spans="1:8" ht="15">
      <c r="A110" s="22">
        <v>22</v>
      </c>
      <c r="B110" s="188" t="s">
        <v>565</v>
      </c>
      <c r="C110" s="16">
        <v>500</v>
      </c>
      <c r="D110" s="16">
        <v>500</v>
      </c>
      <c r="E110" s="16">
        <v>0</v>
      </c>
      <c r="F110" s="17">
        <v>2243</v>
      </c>
      <c r="G110" s="16"/>
      <c r="H110" s="7"/>
    </row>
    <row r="111" spans="1:8" ht="15">
      <c r="A111" s="22">
        <v>23</v>
      </c>
      <c r="B111" s="7" t="s">
        <v>566</v>
      </c>
      <c r="C111" s="16">
        <v>644</v>
      </c>
      <c r="D111" s="16">
        <v>644</v>
      </c>
      <c r="E111" s="16">
        <v>0</v>
      </c>
      <c r="F111" s="17">
        <v>5240</v>
      </c>
      <c r="G111" s="16"/>
      <c r="H111" s="7"/>
    </row>
    <row r="112" spans="1:8" ht="24">
      <c r="A112" s="22">
        <v>24</v>
      </c>
      <c r="B112" s="188" t="s">
        <v>567</v>
      </c>
      <c r="C112" s="16">
        <v>324</v>
      </c>
      <c r="D112" s="16">
        <v>350</v>
      </c>
      <c r="E112" s="16">
        <v>350</v>
      </c>
      <c r="F112" s="17">
        <v>2390</v>
      </c>
      <c r="G112" s="16">
        <v>350</v>
      </c>
      <c r="H112" s="7"/>
    </row>
    <row r="113" spans="1:8" ht="15">
      <c r="A113" s="897">
        <v>25</v>
      </c>
      <c r="B113" s="902" t="s">
        <v>568</v>
      </c>
      <c r="C113" s="16">
        <v>0</v>
      </c>
      <c r="D113" s="16">
        <v>0</v>
      </c>
      <c r="E113" s="16">
        <v>200</v>
      </c>
      <c r="F113" s="17">
        <v>2312</v>
      </c>
      <c r="G113" s="16">
        <v>150</v>
      </c>
      <c r="H113" s="7"/>
    </row>
    <row r="114" spans="1:8" ht="12.75" customHeight="1">
      <c r="A114" s="899"/>
      <c r="B114" s="903"/>
      <c r="C114" s="16">
        <v>307</v>
      </c>
      <c r="D114" s="16">
        <v>146</v>
      </c>
      <c r="E114" s="16">
        <v>0</v>
      </c>
      <c r="F114" s="17">
        <v>2390</v>
      </c>
      <c r="G114" s="16"/>
      <c r="H114" s="7"/>
    </row>
    <row r="115" spans="1:8" ht="12.75" customHeight="1">
      <c r="A115" s="189">
        <v>26</v>
      </c>
      <c r="B115" s="190" t="s">
        <v>569</v>
      </c>
      <c r="C115" s="16">
        <v>183</v>
      </c>
      <c r="D115" s="16">
        <v>183</v>
      </c>
      <c r="E115" s="16">
        <v>0</v>
      </c>
      <c r="F115" s="17">
        <v>2390</v>
      </c>
      <c r="G115" s="16"/>
      <c r="H115" s="7"/>
    </row>
    <row r="116" spans="1:8" ht="12.75" customHeight="1">
      <c r="A116" s="897">
        <v>27</v>
      </c>
      <c r="B116" s="902" t="s">
        <v>570</v>
      </c>
      <c r="C116" s="16">
        <v>1721</v>
      </c>
      <c r="D116" s="16">
        <v>1720</v>
      </c>
      <c r="E116" s="16">
        <v>0</v>
      </c>
      <c r="F116" s="17">
        <v>2243</v>
      </c>
      <c r="G116" s="16"/>
      <c r="H116" s="7"/>
    </row>
    <row r="117" spans="1:8" ht="12.75" customHeight="1">
      <c r="A117" s="899"/>
      <c r="B117" s="903"/>
      <c r="C117" s="16">
        <v>3414</v>
      </c>
      <c r="D117" s="16">
        <v>3414</v>
      </c>
      <c r="E117" s="16">
        <v>0</v>
      </c>
      <c r="F117" s="17">
        <v>2262</v>
      </c>
      <c r="G117" s="16"/>
      <c r="H117" s="7"/>
    </row>
    <row r="118" spans="1:8" ht="15">
      <c r="A118" s="22">
        <v>28</v>
      </c>
      <c r="B118" s="182" t="s">
        <v>571</v>
      </c>
      <c r="C118" s="16">
        <v>652</v>
      </c>
      <c r="D118" s="16">
        <v>633</v>
      </c>
      <c r="E118" s="16">
        <v>1000</v>
      </c>
      <c r="F118" s="17">
        <v>2244</v>
      </c>
      <c r="G118" s="16">
        <v>650</v>
      </c>
      <c r="H118" s="7"/>
    </row>
    <row r="119" spans="1:8" ht="24.75">
      <c r="A119" s="22">
        <v>35</v>
      </c>
      <c r="B119" s="182" t="s">
        <v>1377</v>
      </c>
      <c r="C119" s="16">
        <v>0</v>
      </c>
      <c r="D119" s="16">
        <v>0</v>
      </c>
      <c r="E119" s="16">
        <v>2000</v>
      </c>
      <c r="F119" s="16">
        <v>2279</v>
      </c>
      <c r="G119" s="16">
        <v>2000</v>
      </c>
      <c r="H119" s="7" t="s">
        <v>722</v>
      </c>
    </row>
    <row r="120" spans="1:8" ht="15">
      <c r="A120" s="22">
        <v>36</v>
      </c>
      <c r="B120" s="182" t="s">
        <v>1544</v>
      </c>
      <c r="C120" s="16">
        <v>0</v>
      </c>
      <c r="D120" s="16">
        <v>0</v>
      </c>
      <c r="E120" s="16">
        <v>20000</v>
      </c>
      <c r="F120" s="16">
        <v>5250</v>
      </c>
      <c r="G120" s="16">
        <v>20000</v>
      </c>
      <c r="H120" s="7"/>
    </row>
    <row r="121" spans="1:8" ht="15">
      <c r="A121" s="175"/>
      <c r="B121" s="191"/>
      <c r="C121" s="19"/>
      <c r="D121" s="19"/>
      <c r="E121" s="19"/>
      <c r="F121" s="19"/>
      <c r="G121" s="19"/>
      <c r="H121" s="18"/>
    </row>
    <row r="122" spans="1:8" ht="15">
      <c r="A122" s="2" t="s">
        <v>4</v>
      </c>
      <c r="C122" s="806" t="s">
        <v>1425</v>
      </c>
      <c r="D122" s="806"/>
      <c r="E122" s="806"/>
      <c r="F122" s="806"/>
      <c r="G122" s="806"/>
      <c r="H122" s="806"/>
    </row>
    <row r="123" spans="1:8" ht="15">
      <c r="A123" s="2" t="s">
        <v>20</v>
      </c>
      <c r="C123" s="806" t="s">
        <v>6</v>
      </c>
      <c r="D123" s="806"/>
      <c r="E123" s="806"/>
      <c r="F123" s="806"/>
      <c r="G123" s="806"/>
      <c r="H123" s="806"/>
    </row>
    <row r="124" spans="1:8" ht="36.75">
      <c r="A124" s="885" t="s">
        <v>7</v>
      </c>
      <c r="B124" s="803" t="s">
        <v>8</v>
      </c>
      <c r="C124" s="803" t="s">
        <v>9</v>
      </c>
      <c r="D124" s="803" t="s">
        <v>943</v>
      </c>
      <c r="E124" s="803" t="s">
        <v>10</v>
      </c>
      <c r="F124" s="4" t="s">
        <v>11</v>
      </c>
      <c r="G124" s="4" t="s">
        <v>12</v>
      </c>
      <c r="H124" s="803" t="s">
        <v>13</v>
      </c>
    </row>
    <row r="125" spans="1:8" ht="36">
      <c r="A125" s="886"/>
      <c r="B125" s="803"/>
      <c r="C125" s="803"/>
      <c r="D125" s="803"/>
      <c r="E125" s="803"/>
      <c r="F125" s="5" t="s">
        <v>14</v>
      </c>
      <c r="G125" s="5" t="s">
        <v>15</v>
      </c>
      <c r="H125" s="803"/>
    </row>
    <row r="126" spans="1:8" ht="15">
      <c r="A126" s="880" t="s">
        <v>16</v>
      </c>
      <c r="B126" s="880"/>
      <c r="C126" s="6">
        <f>SUM(C127:C139)</f>
        <v>15831</v>
      </c>
      <c r="D126" s="6">
        <f>SUM(D127:D139)</f>
        <v>15831</v>
      </c>
      <c r="E126" s="6">
        <f>SUM(E127:E139)</f>
        <v>63434</v>
      </c>
      <c r="F126" s="15"/>
      <c r="G126" s="6">
        <f>SUM(G127:G139)</f>
        <v>39000</v>
      </c>
      <c r="H126" s="537" t="s">
        <v>1610</v>
      </c>
    </row>
    <row r="127" spans="1:8" ht="15">
      <c r="A127" s="829">
        <v>1</v>
      </c>
      <c r="B127" s="904" t="s">
        <v>1373</v>
      </c>
      <c r="C127" s="16">
        <v>245</v>
      </c>
      <c r="D127" s="16">
        <v>245</v>
      </c>
      <c r="E127" s="16">
        <v>0</v>
      </c>
      <c r="F127" s="17">
        <v>1150</v>
      </c>
      <c r="G127" s="16"/>
      <c r="H127" s="7"/>
    </row>
    <row r="128" spans="1:8" ht="15" customHeight="1">
      <c r="A128" s="825"/>
      <c r="B128" s="905"/>
      <c r="C128" s="16"/>
      <c r="D128" s="16"/>
      <c r="E128" s="16">
        <v>5403</v>
      </c>
      <c r="F128" s="17">
        <v>2279</v>
      </c>
      <c r="G128" s="16"/>
      <c r="H128" s="7"/>
    </row>
    <row r="129" spans="1:8" ht="15" customHeight="1">
      <c r="A129" s="826"/>
      <c r="B129" s="906"/>
      <c r="C129" s="16"/>
      <c r="D129" s="16"/>
      <c r="E129" s="16">
        <v>1878</v>
      </c>
      <c r="F129" s="17">
        <v>2390</v>
      </c>
      <c r="G129" s="16"/>
      <c r="H129" s="7"/>
    </row>
    <row r="130" spans="1:8" ht="15">
      <c r="A130" s="829">
        <v>2</v>
      </c>
      <c r="B130" s="904" t="s">
        <v>1372</v>
      </c>
      <c r="C130" s="16"/>
      <c r="D130" s="16"/>
      <c r="E130" s="16">
        <v>1813</v>
      </c>
      <c r="F130" s="17">
        <v>1150</v>
      </c>
      <c r="G130" s="16"/>
      <c r="H130" s="7"/>
    </row>
    <row r="131" spans="1:8" ht="15" customHeight="1">
      <c r="A131" s="825"/>
      <c r="B131" s="905"/>
      <c r="C131" s="16"/>
      <c r="D131" s="16"/>
      <c r="E131" s="16">
        <v>437</v>
      </c>
      <c r="F131" s="17">
        <v>1210</v>
      </c>
      <c r="G131" s="16"/>
      <c r="H131" s="7"/>
    </row>
    <row r="132" spans="1:8" ht="15" customHeight="1">
      <c r="A132" s="825"/>
      <c r="B132" s="905"/>
      <c r="C132" s="16"/>
      <c r="D132" s="16"/>
      <c r="E132" s="16">
        <v>3602</v>
      </c>
      <c r="F132" s="17">
        <v>2279</v>
      </c>
      <c r="G132" s="16"/>
      <c r="H132" s="7"/>
    </row>
    <row r="133" spans="1:8" ht="15" customHeight="1">
      <c r="A133" s="826"/>
      <c r="B133" s="905"/>
      <c r="C133" s="16"/>
      <c r="D133" s="16"/>
      <c r="E133" s="16">
        <v>2142</v>
      </c>
      <c r="F133" s="17">
        <v>2390</v>
      </c>
      <c r="G133" s="16"/>
      <c r="H133" s="7"/>
    </row>
    <row r="134" spans="1:8" ht="15">
      <c r="A134" s="829">
        <v>3</v>
      </c>
      <c r="B134" s="904" t="s">
        <v>1374</v>
      </c>
      <c r="C134" s="16">
        <v>586</v>
      </c>
      <c r="D134" s="16">
        <v>586</v>
      </c>
      <c r="E134" s="16">
        <v>5403</v>
      </c>
      <c r="F134" s="17">
        <v>2279</v>
      </c>
      <c r="G134" s="16"/>
      <c r="H134" s="7"/>
    </row>
    <row r="135" spans="1:8" ht="15" customHeight="1">
      <c r="A135" s="826"/>
      <c r="B135" s="906"/>
      <c r="C135" s="16">
        <v>0</v>
      </c>
      <c r="D135" s="16">
        <v>0</v>
      </c>
      <c r="E135" s="16">
        <v>1878</v>
      </c>
      <c r="F135" s="17">
        <v>2390</v>
      </c>
      <c r="G135" s="16"/>
      <c r="H135" s="7"/>
    </row>
    <row r="136" spans="1:8" ht="24.75">
      <c r="A136" s="104">
        <v>4</v>
      </c>
      <c r="B136" s="506" t="s">
        <v>1375</v>
      </c>
      <c r="C136" s="16">
        <v>12000</v>
      </c>
      <c r="D136" s="16">
        <v>12000</v>
      </c>
      <c r="E136" s="341">
        <v>17000</v>
      </c>
      <c r="F136" s="17">
        <v>2279</v>
      </c>
      <c r="G136" s="16">
        <v>17000</v>
      </c>
      <c r="H136" s="104"/>
    </row>
    <row r="137" spans="1:8" ht="15" customHeight="1">
      <c r="A137" s="104">
        <v>5</v>
      </c>
      <c r="B137" s="506" t="s">
        <v>1216</v>
      </c>
      <c r="C137" s="16">
        <v>3000</v>
      </c>
      <c r="D137" s="16">
        <v>3000</v>
      </c>
      <c r="E137" s="16">
        <v>3000</v>
      </c>
      <c r="F137" s="17">
        <v>2279</v>
      </c>
      <c r="G137" s="16">
        <v>3000</v>
      </c>
      <c r="H137" s="104"/>
    </row>
    <row r="138" spans="1:8" ht="15" customHeight="1">
      <c r="A138" s="829">
        <v>6</v>
      </c>
      <c r="B138" s="894" t="s">
        <v>1545</v>
      </c>
      <c r="C138" s="16"/>
      <c r="D138" s="16"/>
      <c r="E138" s="16">
        <v>1878</v>
      </c>
      <c r="F138" s="17">
        <v>2390</v>
      </c>
      <c r="G138" s="16"/>
      <c r="H138" s="104"/>
    </row>
    <row r="139" spans="1:8" ht="15" customHeight="1">
      <c r="A139" s="826"/>
      <c r="B139" s="896"/>
      <c r="C139" s="16">
        <v>0</v>
      </c>
      <c r="D139" s="16">
        <v>0</v>
      </c>
      <c r="E139" s="16">
        <v>19000</v>
      </c>
      <c r="F139" s="17">
        <v>2279</v>
      </c>
      <c r="G139" s="16">
        <v>19000</v>
      </c>
      <c r="H139" s="7"/>
    </row>
    <row r="140" spans="1:8" ht="15">
      <c r="A140" s="175"/>
      <c r="B140" s="505"/>
      <c r="C140" s="19"/>
      <c r="D140" s="19"/>
      <c r="E140" s="19"/>
      <c r="F140" s="174"/>
      <c r="G140" s="19"/>
      <c r="H140" s="18"/>
    </row>
    <row r="141" spans="1:8" ht="15">
      <c r="A141" s="2" t="s">
        <v>4</v>
      </c>
      <c r="C141" s="806" t="s">
        <v>1398</v>
      </c>
      <c r="D141" s="806"/>
      <c r="E141" s="806"/>
      <c r="F141" s="806"/>
      <c r="G141" s="806"/>
      <c r="H141" s="806"/>
    </row>
    <row r="142" spans="1:8" ht="15">
      <c r="A142" s="2" t="s">
        <v>20</v>
      </c>
      <c r="C142" s="806" t="s">
        <v>98</v>
      </c>
      <c r="D142" s="806"/>
      <c r="E142" s="806"/>
      <c r="F142" s="806"/>
      <c r="G142" s="806"/>
      <c r="H142" s="806"/>
    </row>
    <row r="143" spans="1:8" ht="36.75">
      <c r="A143" s="885" t="s">
        <v>7</v>
      </c>
      <c r="B143" s="803" t="s">
        <v>8</v>
      </c>
      <c r="C143" s="803" t="s">
        <v>9</v>
      </c>
      <c r="D143" s="803" t="s">
        <v>943</v>
      </c>
      <c r="E143" s="803" t="s">
        <v>10</v>
      </c>
      <c r="F143" s="4" t="s">
        <v>11</v>
      </c>
      <c r="G143" s="4" t="s">
        <v>12</v>
      </c>
      <c r="H143" s="803" t="s">
        <v>13</v>
      </c>
    </row>
    <row r="144" spans="1:8" ht="36">
      <c r="A144" s="886"/>
      <c r="B144" s="803"/>
      <c r="C144" s="803"/>
      <c r="D144" s="803"/>
      <c r="E144" s="803"/>
      <c r="F144" s="5" t="s">
        <v>14</v>
      </c>
      <c r="G144" s="5" t="s">
        <v>15</v>
      </c>
      <c r="H144" s="803"/>
    </row>
    <row r="145" spans="1:8" ht="15">
      <c r="A145" s="880" t="s">
        <v>16</v>
      </c>
      <c r="B145" s="880"/>
      <c r="C145" s="6">
        <f>SUM(C146:C163)</f>
        <v>131422</v>
      </c>
      <c r="D145" s="6">
        <f>SUM(D146:D163)</f>
        <v>131942</v>
      </c>
      <c r="E145" s="6">
        <f>SUM(E146:E163)</f>
        <v>101370</v>
      </c>
      <c r="F145" s="15"/>
      <c r="G145" s="6">
        <f>SUM(G146:G163)</f>
        <v>91370</v>
      </c>
      <c r="H145" s="537" t="s">
        <v>1611</v>
      </c>
    </row>
    <row r="146" spans="1:8" ht="15">
      <c r="A146" s="829">
        <v>1</v>
      </c>
      <c r="B146" s="911" t="s">
        <v>572</v>
      </c>
      <c r="C146" s="16">
        <v>2006</v>
      </c>
      <c r="D146" s="16">
        <v>3000</v>
      </c>
      <c r="E146" s="16">
        <v>3000</v>
      </c>
      <c r="F146" s="17">
        <v>2244</v>
      </c>
      <c r="G146" s="16">
        <v>3000</v>
      </c>
      <c r="H146" s="7"/>
    </row>
    <row r="147" spans="1:8" ht="12.75" customHeight="1">
      <c r="A147" s="826"/>
      <c r="B147" s="912"/>
      <c r="C147" s="16">
        <v>935</v>
      </c>
      <c r="D147" s="16">
        <v>935</v>
      </c>
      <c r="E147" s="16">
        <v>0</v>
      </c>
      <c r="F147" s="17">
        <v>5239</v>
      </c>
      <c r="G147" s="16"/>
      <c r="H147" s="7"/>
    </row>
    <row r="148" spans="1:8" ht="15">
      <c r="A148" s="829">
        <v>2</v>
      </c>
      <c r="B148" s="911" t="s">
        <v>573</v>
      </c>
      <c r="C148" s="16">
        <v>8513</v>
      </c>
      <c r="D148" s="16">
        <v>4708</v>
      </c>
      <c r="E148" s="16">
        <v>4710</v>
      </c>
      <c r="F148" s="17">
        <v>2244</v>
      </c>
      <c r="G148" s="16">
        <v>4710</v>
      </c>
      <c r="H148" s="7"/>
    </row>
    <row r="149" spans="1:8" ht="12.75" customHeight="1">
      <c r="A149" s="826"/>
      <c r="B149" s="912"/>
      <c r="C149" s="16">
        <v>0</v>
      </c>
      <c r="D149" s="16">
        <v>3325</v>
      </c>
      <c r="E149" s="16">
        <v>0</v>
      </c>
      <c r="F149" s="17">
        <v>2243</v>
      </c>
      <c r="G149" s="16"/>
      <c r="H149" s="7"/>
    </row>
    <row r="150" spans="1:8" ht="15">
      <c r="A150" s="22">
        <v>3</v>
      </c>
      <c r="B150" s="192" t="s">
        <v>574</v>
      </c>
      <c r="C150" s="16">
        <v>0</v>
      </c>
      <c r="D150" s="16">
        <v>0</v>
      </c>
      <c r="E150" s="16">
        <v>1310</v>
      </c>
      <c r="F150" s="17">
        <v>2243</v>
      </c>
      <c r="G150" s="16">
        <v>1310</v>
      </c>
      <c r="H150" s="7"/>
    </row>
    <row r="151" spans="1:8" ht="15">
      <c r="A151" s="829">
        <v>4</v>
      </c>
      <c r="B151" s="911" t="s">
        <v>575</v>
      </c>
      <c r="C151" s="16">
        <v>12164</v>
      </c>
      <c r="D151" s="16">
        <v>12092</v>
      </c>
      <c r="E151" s="16">
        <v>15000</v>
      </c>
      <c r="F151" s="17">
        <v>2244</v>
      </c>
      <c r="G151" s="16">
        <f>13000+2000</f>
        <v>15000</v>
      </c>
      <c r="H151" s="7"/>
    </row>
    <row r="152" spans="1:8" ht="15">
      <c r="A152" s="825"/>
      <c r="B152" s="913"/>
      <c r="C152" s="16">
        <v>625</v>
      </c>
      <c r="D152" s="16">
        <v>624</v>
      </c>
      <c r="E152" s="16">
        <v>1000</v>
      </c>
      <c r="F152" s="17">
        <v>2312</v>
      </c>
      <c r="G152" s="16">
        <f>700+300</f>
        <v>1000</v>
      </c>
      <c r="H152" s="7"/>
    </row>
    <row r="153" spans="1:8" ht="12.75" customHeight="1">
      <c r="A153" s="825"/>
      <c r="B153" s="913"/>
      <c r="C153" s="16">
        <v>602</v>
      </c>
      <c r="D153" s="16">
        <v>602</v>
      </c>
      <c r="E153" s="16">
        <v>1000</v>
      </c>
      <c r="F153" s="17">
        <v>5239</v>
      </c>
      <c r="G153" s="16">
        <f>700+300</f>
        <v>1000</v>
      </c>
      <c r="H153" s="7"/>
    </row>
    <row r="154" spans="1:8" ht="12.75" customHeight="1">
      <c r="A154" s="826"/>
      <c r="B154" s="912"/>
      <c r="C154" s="16">
        <v>671</v>
      </c>
      <c r="D154" s="16">
        <v>671</v>
      </c>
      <c r="E154" s="16">
        <v>0</v>
      </c>
      <c r="F154" s="17">
        <v>2390</v>
      </c>
      <c r="G154" s="16"/>
      <c r="H154" s="7"/>
    </row>
    <row r="155" spans="1:8" ht="15">
      <c r="A155" s="829">
        <v>5</v>
      </c>
      <c r="B155" s="907" t="s">
        <v>576</v>
      </c>
      <c r="C155" s="16">
        <v>479</v>
      </c>
      <c r="D155" s="16">
        <v>0</v>
      </c>
      <c r="E155" s="20">
        <f>35000</f>
        <v>35000</v>
      </c>
      <c r="F155" s="17">
        <v>2244</v>
      </c>
      <c r="G155" s="16">
        <v>35000</v>
      </c>
      <c r="H155" s="830" t="s">
        <v>577</v>
      </c>
    </row>
    <row r="156" spans="1:8" ht="12.75" customHeight="1">
      <c r="A156" s="825"/>
      <c r="B156" s="908"/>
      <c r="C156" s="16">
        <v>6050</v>
      </c>
      <c r="D156" s="16">
        <v>6518</v>
      </c>
      <c r="E156" s="16">
        <v>0</v>
      </c>
      <c r="F156" s="17">
        <v>2312</v>
      </c>
      <c r="G156" s="16"/>
      <c r="H156" s="827"/>
    </row>
    <row r="157" spans="1:8" ht="12.75" customHeight="1">
      <c r="A157" s="826"/>
      <c r="B157" s="909"/>
      <c r="C157" s="16">
        <v>0</v>
      </c>
      <c r="D157" s="16">
        <v>0</v>
      </c>
      <c r="E157" s="16">
        <v>0</v>
      </c>
      <c r="F157" s="17">
        <v>5239</v>
      </c>
      <c r="G157" s="16"/>
      <c r="H157" s="828"/>
    </row>
    <row r="158" spans="1:8" ht="36.75">
      <c r="A158" s="22">
        <v>6</v>
      </c>
      <c r="B158" s="192" t="s">
        <v>578</v>
      </c>
      <c r="C158" s="16">
        <v>0</v>
      </c>
      <c r="D158" s="16">
        <v>0</v>
      </c>
      <c r="E158" s="16">
        <v>1000</v>
      </c>
      <c r="F158" s="17">
        <v>5240</v>
      </c>
      <c r="G158" s="16">
        <v>1000</v>
      </c>
      <c r="H158" s="7" t="s">
        <v>579</v>
      </c>
    </row>
    <row r="159" spans="1:8" ht="24.75">
      <c r="A159" s="22">
        <v>7</v>
      </c>
      <c r="B159" s="192" t="s">
        <v>580</v>
      </c>
      <c r="C159" s="16">
        <v>0</v>
      </c>
      <c r="D159" s="16">
        <v>0</v>
      </c>
      <c r="E159" s="20">
        <f>24000</f>
        <v>24000</v>
      </c>
      <c r="F159" s="17">
        <v>2243</v>
      </c>
      <c r="G159" s="16">
        <v>24000</v>
      </c>
      <c r="H159" s="7" t="s">
        <v>581</v>
      </c>
    </row>
    <row r="160" spans="1:8" ht="24.75">
      <c r="A160" s="22">
        <v>8</v>
      </c>
      <c r="B160" s="192" t="s">
        <v>582</v>
      </c>
      <c r="C160" s="16">
        <v>0</v>
      </c>
      <c r="D160" s="16">
        <v>0</v>
      </c>
      <c r="E160" s="16">
        <v>5000</v>
      </c>
      <c r="F160" s="17">
        <v>5240</v>
      </c>
      <c r="G160" s="16">
        <v>5000</v>
      </c>
      <c r="H160" s="7" t="s">
        <v>583</v>
      </c>
    </row>
    <row r="161" spans="1:8" ht="15">
      <c r="A161" s="22">
        <v>9</v>
      </c>
      <c r="B161" s="193" t="s">
        <v>584</v>
      </c>
      <c r="C161" s="16">
        <v>260</v>
      </c>
      <c r="D161" s="16">
        <v>350</v>
      </c>
      <c r="E161" s="16">
        <v>350</v>
      </c>
      <c r="F161" s="17">
        <v>2261</v>
      </c>
      <c r="G161" s="16">
        <v>350</v>
      </c>
      <c r="H161" s="7"/>
    </row>
    <row r="162" spans="1:8" ht="24.75">
      <c r="A162" s="22">
        <v>10</v>
      </c>
      <c r="B162" s="193" t="s">
        <v>585</v>
      </c>
      <c r="C162" s="16">
        <v>0</v>
      </c>
      <c r="D162" s="16">
        <v>0</v>
      </c>
      <c r="E162" s="16">
        <v>10000</v>
      </c>
      <c r="F162" s="17">
        <v>2244</v>
      </c>
      <c r="G162" s="16"/>
      <c r="H162" s="7" t="s">
        <v>586</v>
      </c>
    </row>
    <row r="163" spans="1:8" ht="15">
      <c r="A163" s="194">
        <v>11</v>
      </c>
      <c r="B163" s="195" t="s">
        <v>587</v>
      </c>
      <c r="C163" s="196">
        <v>99117</v>
      </c>
      <c r="D163" s="196">
        <v>99117</v>
      </c>
      <c r="E163" s="196">
        <v>0</v>
      </c>
      <c r="F163" s="197">
        <v>5239</v>
      </c>
      <c r="G163" s="196"/>
      <c r="H163" s="170"/>
    </row>
    <row r="164" spans="1:8" ht="15">
      <c r="A164" s="910" t="s">
        <v>17</v>
      </c>
      <c r="B164" s="910"/>
      <c r="C164" s="13">
        <f>SUM(C11,C25,C42,C80,C126,C145)</f>
        <v>1698155</v>
      </c>
      <c r="D164" s="13">
        <f>SUM(D11,D25,D42,D80,D126,D145)</f>
        <v>1697826</v>
      </c>
      <c r="E164" s="13">
        <f>SUM(E11,E25,E42,E80,E126,E145)</f>
        <v>2293858</v>
      </c>
      <c r="F164" s="13"/>
      <c r="G164" s="13">
        <f>SUM(G11,G25,G42,G80,G126,G145)</f>
        <v>2034006</v>
      </c>
      <c r="H164" s="14"/>
    </row>
    <row r="165" ht="15"/>
    <row r="166" ht="15"/>
    <row r="167" ht="15"/>
    <row r="168" ht="15"/>
    <row r="169" ht="15"/>
    <row r="170" ht="15"/>
    <row r="171" ht="15"/>
    <row r="172" ht="15"/>
    <row r="173" ht="15"/>
    <row r="174" ht="15"/>
    <row r="175" ht="15"/>
  </sheetData>
  <sheetProtection/>
  <mergeCells count="100">
    <mergeCell ref="B134:B135"/>
    <mergeCell ref="A138:A139"/>
    <mergeCell ref="B138:B139"/>
    <mergeCell ref="B151:B154"/>
    <mergeCell ref="C122:H122"/>
    <mergeCell ref="C123:H123"/>
    <mergeCell ref="A124:A125"/>
    <mergeCell ref="B124:B125"/>
    <mergeCell ref="C124:C125"/>
    <mergeCell ref="D124:D125"/>
    <mergeCell ref="E124:E125"/>
    <mergeCell ref="H124:H125"/>
    <mergeCell ref="B130:B133"/>
    <mergeCell ref="A155:A157"/>
    <mergeCell ref="B155:B157"/>
    <mergeCell ref="H155:H157"/>
    <mergeCell ref="A164:B164"/>
    <mergeCell ref="A145:B145"/>
    <mergeCell ref="A146:A147"/>
    <mergeCell ref="B146:B147"/>
    <mergeCell ref="A148:A149"/>
    <mergeCell ref="B148:B149"/>
    <mergeCell ref="A151:A154"/>
    <mergeCell ref="H143:H144"/>
    <mergeCell ref="A143:A144"/>
    <mergeCell ref="B143:B144"/>
    <mergeCell ref="C143:C144"/>
    <mergeCell ref="D143:D144"/>
    <mergeCell ref="A126:B126"/>
    <mergeCell ref="B127:B129"/>
    <mergeCell ref="A127:A129"/>
    <mergeCell ref="A130:A133"/>
    <mergeCell ref="A134:A135"/>
    <mergeCell ref="A87:A88"/>
    <mergeCell ref="B87:B88"/>
    <mergeCell ref="E143:E144"/>
    <mergeCell ref="H106:H108"/>
    <mergeCell ref="A116:A117"/>
    <mergeCell ref="B116:B117"/>
    <mergeCell ref="C141:H141"/>
    <mergeCell ref="C142:H142"/>
    <mergeCell ref="A113:A114"/>
    <mergeCell ref="B113:B114"/>
    <mergeCell ref="H78:H79"/>
    <mergeCell ref="A95:A98"/>
    <mergeCell ref="B95:B98"/>
    <mergeCell ref="A100:A101"/>
    <mergeCell ref="B100:B101"/>
    <mergeCell ref="A106:A108"/>
    <mergeCell ref="B106:B108"/>
    <mergeCell ref="A80:B80"/>
    <mergeCell ref="A84:A85"/>
    <mergeCell ref="B84:B85"/>
    <mergeCell ref="D53:D54"/>
    <mergeCell ref="A55:A58"/>
    <mergeCell ref="B55:B58"/>
    <mergeCell ref="C76:H76"/>
    <mergeCell ref="C77:H77"/>
    <mergeCell ref="A78:A79"/>
    <mergeCell ref="B78:B79"/>
    <mergeCell ref="C78:C79"/>
    <mergeCell ref="D78:D79"/>
    <mergeCell ref="E78:E79"/>
    <mergeCell ref="H55:H58"/>
    <mergeCell ref="C39:H39"/>
    <mergeCell ref="A40:A41"/>
    <mergeCell ref="B40:B41"/>
    <mergeCell ref="C40:C41"/>
    <mergeCell ref="D40:D41"/>
    <mergeCell ref="E40:E41"/>
    <mergeCell ref="H40:H41"/>
    <mergeCell ref="A42:B42"/>
    <mergeCell ref="C53:C54"/>
    <mergeCell ref="D23:D24"/>
    <mergeCell ref="E23:E24"/>
    <mergeCell ref="H23:H24"/>
    <mergeCell ref="A25:B25"/>
    <mergeCell ref="A34:A35"/>
    <mergeCell ref="B34:B35"/>
    <mergeCell ref="H34:H35"/>
    <mergeCell ref="H9:H10"/>
    <mergeCell ref="C38:H38"/>
    <mergeCell ref="C4:H4"/>
    <mergeCell ref="A5:H5"/>
    <mergeCell ref="C6:H6"/>
    <mergeCell ref="C21:H21"/>
    <mergeCell ref="C22:H22"/>
    <mergeCell ref="A23:A24"/>
    <mergeCell ref="B23:B24"/>
    <mergeCell ref="C23:C24"/>
    <mergeCell ref="A11:B11"/>
    <mergeCell ref="B12:B13"/>
    <mergeCell ref="A12:A13"/>
    <mergeCell ref="C7:H7"/>
    <mergeCell ref="C8:H8"/>
    <mergeCell ref="A9:A10"/>
    <mergeCell ref="B9:B10"/>
    <mergeCell ref="C9:C10"/>
    <mergeCell ref="D9:D10"/>
    <mergeCell ref="E9:E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sheetPr>
    <tabColor rgb="FFFF66FF"/>
    <pageSetUpPr fitToPage="1"/>
  </sheetPr>
  <dimension ref="A1:L43"/>
  <sheetViews>
    <sheetView zoomScalePageLayoutView="0" workbookViewId="0" topLeftCell="A16">
      <selection activeCell="I21" sqref="I21"/>
    </sheetView>
  </sheetViews>
  <sheetFormatPr defaultColWidth="9.140625" defaultRowHeight="15"/>
  <cols>
    <col min="1" max="1" width="6.140625" style="1" customWidth="1"/>
    <col min="2" max="2" width="31.7109375" style="1" customWidth="1"/>
    <col min="3" max="3" width="11.8515625" style="1" customWidth="1"/>
    <col min="4" max="4" width="11.140625" style="1" customWidth="1"/>
    <col min="5" max="5" width="10.28125" style="102" customWidth="1"/>
    <col min="6" max="6" width="10.57421875" style="1" customWidth="1"/>
    <col min="7" max="7" width="9.7109375" style="1" customWidth="1"/>
    <col min="8" max="8" width="24.140625" style="1" customWidth="1"/>
    <col min="13" max="16384" width="9.140625" style="1" customWidth="1"/>
  </cols>
  <sheetData>
    <row r="1" spans="5:12" s="727" customFormat="1" ht="15.75">
      <c r="E1" s="732"/>
      <c r="H1" s="728" t="s">
        <v>1640</v>
      </c>
      <c r="I1"/>
      <c r="J1"/>
      <c r="K1"/>
      <c r="L1"/>
    </row>
    <row r="2" spans="5:12" s="727" customFormat="1" ht="15.75">
      <c r="E2" s="732"/>
      <c r="H2" s="728" t="s">
        <v>1627</v>
      </c>
      <c r="I2"/>
      <c r="J2"/>
      <c r="K2"/>
      <c r="L2"/>
    </row>
    <row r="3" spans="5:12" s="727" customFormat="1" ht="15.75">
      <c r="E3" s="732"/>
      <c r="H3" s="728" t="s">
        <v>1628</v>
      </c>
      <c r="I3"/>
      <c r="J3"/>
      <c r="K3"/>
      <c r="L3"/>
    </row>
    <row r="4" spans="1:8" ht="15">
      <c r="A4" s="1" t="s">
        <v>18</v>
      </c>
      <c r="B4" s="2"/>
      <c r="C4" s="822" t="s">
        <v>1</v>
      </c>
      <c r="D4" s="822"/>
      <c r="E4" s="822"/>
      <c r="F4" s="822"/>
      <c r="G4" s="822"/>
      <c r="H4" s="822"/>
    </row>
    <row r="5" spans="1:8" ht="15.75">
      <c r="A5" s="835" t="s">
        <v>2</v>
      </c>
      <c r="B5" s="835"/>
      <c r="C5" s="835"/>
      <c r="D5" s="835"/>
      <c r="E5" s="835"/>
      <c r="F5" s="835"/>
      <c r="G5" s="835"/>
      <c r="H5" s="835"/>
    </row>
    <row r="6" spans="1:8" ht="15">
      <c r="A6" s="1" t="s">
        <v>217</v>
      </c>
      <c r="C6" s="822" t="s">
        <v>588</v>
      </c>
      <c r="D6" s="822"/>
      <c r="E6" s="822"/>
      <c r="F6" s="822"/>
      <c r="G6" s="822"/>
      <c r="H6" s="822"/>
    </row>
    <row r="7" spans="1:8" ht="15">
      <c r="A7" s="1" t="s">
        <v>4</v>
      </c>
      <c r="C7" s="806" t="s">
        <v>589</v>
      </c>
      <c r="D7" s="806"/>
      <c r="E7" s="806"/>
      <c r="F7" s="806"/>
      <c r="G7" s="806"/>
      <c r="H7" s="806"/>
    </row>
    <row r="8" spans="1:8" ht="15">
      <c r="A8" s="1" t="s">
        <v>5</v>
      </c>
      <c r="C8" s="806" t="s">
        <v>6</v>
      </c>
      <c r="D8" s="806"/>
      <c r="E8" s="806"/>
      <c r="F8" s="806"/>
      <c r="G8" s="806"/>
      <c r="H8" s="806"/>
    </row>
    <row r="9" spans="1:8" ht="36.75">
      <c r="A9" s="803" t="s">
        <v>7</v>
      </c>
      <c r="B9" s="803" t="s">
        <v>8</v>
      </c>
      <c r="C9" s="803" t="s">
        <v>9</v>
      </c>
      <c r="D9" s="803" t="s">
        <v>936</v>
      </c>
      <c r="E9" s="914" t="s">
        <v>10</v>
      </c>
      <c r="F9" s="4" t="s">
        <v>11</v>
      </c>
      <c r="G9" s="4" t="s">
        <v>12</v>
      </c>
      <c r="H9" s="803" t="s">
        <v>13</v>
      </c>
    </row>
    <row r="10" spans="1:8" ht="36">
      <c r="A10" s="803"/>
      <c r="B10" s="803"/>
      <c r="C10" s="803"/>
      <c r="D10" s="803"/>
      <c r="E10" s="914"/>
      <c r="F10" s="5" t="s">
        <v>14</v>
      </c>
      <c r="G10" s="5" t="s">
        <v>15</v>
      </c>
      <c r="H10" s="803"/>
    </row>
    <row r="11" spans="1:8" ht="15">
      <c r="A11" s="880" t="s">
        <v>16</v>
      </c>
      <c r="B11" s="880"/>
      <c r="C11" s="6">
        <f>SUM(C12:C23)</f>
        <v>53631</v>
      </c>
      <c r="D11" s="6">
        <f>SUM(D12:D23)</f>
        <v>16653</v>
      </c>
      <c r="E11" s="15">
        <f>SUM(E12:E23)</f>
        <v>135213.0496</v>
      </c>
      <c r="F11" s="6"/>
      <c r="G11" s="6">
        <f>SUM(G12:G23)</f>
        <v>101486</v>
      </c>
      <c r="H11" s="537" t="s">
        <v>1512</v>
      </c>
    </row>
    <row r="12" spans="1:8" ht="36.75">
      <c r="A12" s="199">
        <v>1</v>
      </c>
      <c r="B12" s="199" t="s">
        <v>590</v>
      </c>
      <c r="C12" s="31">
        <v>7000</v>
      </c>
      <c r="D12" s="22">
        <v>5263</v>
      </c>
      <c r="E12" s="172">
        <v>7000</v>
      </c>
      <c r="F12" s="200">
        <v>2279</v>
      </c>
      <c r="G12" s="171">
        <v>5300</v>
      </c>
      <c r="H12" s="103" t="s">
        <v>591</v>
      </c>
    </row>
    <row r="13" spans="1:8" ht="12" customHeight="1">
      <c r="A13" s="199">
        <v>2</v>
      </c>
      <c r="B13" s="199" t="s">
        <v>165</v>
      </c>
      <c r="C13" s="26">
        <f>2800-300</f>
        <v>2500</v>
      </c>
      <c r="D13" s="22">
        <v>2040</v>
      </c>
      <c r="E13" s="172">
        <v>1800</v>
      </c>
      <c r="F13" s="200">
        <v>2239</v>
      </c>
      <c r="G13" s="171">
        <v>1800</v>
      </c>
      <c r="H13" s="103" t="s">
        <v>592</v>
      </c>
    </row>
    <row r="14" spans="1:8" ht="12" customHeight="1">
      <c r="A14" s="202">
        <v>3</v>
      </c>
      <c r="B14" s="203" t="s">
        <v>593</v>
      </c>
      <c r="C14" s="26">
        <f>200+300</f>
        <v>500</v>
      </c>
      <c r="D14" s="22">
        <v>405</v>
      </c>
      <c r="E14" s="172">
        <v>1800</v>
      </c>
      <c r="F14" s="200">
        <v>2312</v>
      </c>
      <c r="G14" s="171">
        <v>500</v>
      </c>
      <c r="H14" s="103" t="s">
        <v>592</v>
      </c>
    </row>
    <row r="15" spans="1:8" ht="26.25" customHeight="1">
      <c r="A15" s="199">
        <v>4</v>
      </c>
      <c r="B15" s="199" t="s">
        <v>594</v>
      </c>
      <c r="C15" s="172">
        <v>14379</v>
      </c>
      <c r="D15" s="22">
        <v>6500</v>
      </c>
      <c r="E15" s="172">
        <v>92049.8</v>
      </c>
      <c r="F15" s="200">
        <v>2263</v>
      </c>
      <c r="G15" s="171">
        <v>19755</v>
      </c>
      <c r="H15" s="204" t="s">
        <v>595</v>
      </c>
    </row>
    <row r="16" spans="1:8" ht="13.5" customHeight="1">
      <c r="A16" s="922">
        <v>5</v>
      </c>
      <c r="B16" s="920" t="s">
        <v>596</v>
      </c>
      <c r="C16" s="915">
        <v>4400</v>
      </c>
      <c r="D16" s="915">
        <v>1281</v>
      </c>
      <c r="E16" s="915">
        <v>15013.2496</v>
      </c>
      <c r="F16" s="200">
        <v>2221</v>
      </c>
      <c r="G16" s="171">
        <v>9200</v>
      </c>
      <c r="H16" s="204"/>
    </row>
    <row r="17" spans="1:8" ht="13.5" customHeight="1">
      <c r="A17" s="923"/>
      <c r="B17" s="921"/>
      <c r="C17" s="916"/>
      <c r="D17" s="916"/>
      <c r="E17" s="916"/>
      <c r="F17" s="200">
        <v>2244</v>
      </c>
      <c r="G17" s="171">
        <v>5700</v>
      </c>
      <c r="H17" s="917" t="s">
        <v>597</v>
      </c>
    </row>
    <row r="18" spans="1:8" ht="26.25">
      <c r="A18" s="199">
        <v>6</v>
      </c>
      <c r="B18" s="199" t="s">
        <v>598</v>
      </c>
      <c r="C18" s="172">
        <v>22181</v>
      </c>
      <c r="D18" s="172">
        <v>18</v>
      </c>
      <c r="E18" s="328"/>
      <c r="F18" s="200">
        <v>2244</v>
      </c>
      <c r="G18" s="171">
        <v>22181</v>
      </c>
      <c r="H18" s="917"/>
    </row>
    <row r="19" spans="1:8" ht="36.75">
      <c r="A19" s="199">
        <v>7</v>
      </c>
      <c r="B19" s="199" t="s">
        <v>599</v>
      </c>
      <c r="C19" s="172">
        <v>0</v>
      </c>
      <c r="D19" s="22">
        <v>0</v>
      </c>
      <c r="E19" s="172">
        <v>3000</v>
      </c>
      <c r="F19" s="200">
        <v>2279</v>
      </c>
      <c r="G19" s="171">
        <v>3000</v>
      </c>
      <c r="H19" s="103" t="s">
        <v>600</v>
      </c>
    </row>
    <row r="20" spans="1:8" ht="15">
      <c r="A20" s="199">
        <v>8</v>
      </c>
      <c r="B20" s="199" t="s">
        <v>601</v>
      </c>
      <c r="C20" s="172">
        <v>665</v>
      </c>
      <c r="D20" s="22">
        <v>622</v>
      </c>
      <c r="E20" s="172">
        <v>13500</v>
      </c>
      <c r="F20" s="200">
        <v>2279</v>
      </c>
      <c r="G20" s="171">
        <f>13500+20000</f>
        <v>33500</v>
      </c>
      <c r="H20" s="204" t="s">
        <v>602</v>
      </c>
    </row>
    <row r="21" spans="1:8" ht="15">
      <c r="A21" s="199">
        <v>9</v>
      </c>
      <c r="B21" s="199" t="s">
        <v>603</v>
      </c>
      <c r="C21" s="172">
        <v>1856</v>
      </c>
      <c r="D21" s="22">
        <v>524</v>
      </c>
      <c r="E21" s="172">
        <v>1000</v>
      </c>
      <c r="F21" s="200">
        <v>2279</v>
      </c>
      <c r="G21" s="171">
        <v>500</v>
      </c>
      <c r="H21" s="103" t="s">
        <v>604</v>
      </c>
    </row>
    <row r="22" spans="1:8" ht="15">
      <c r="A22" s="202">
        <v>10</v>
      </c>
      <c r="B22" s="199" t="s">
        <v>605</v>
      </c>
      <c r="C22" s="172">
        <v>150</v>
      </c>
      <c r="D22" s="22">
        <v>0</v>
      </c>
      <c r="E22" s="172">
        <v>50</v>
      </c>
      <c r="F22" s="200">
        <v>2519</v>
      </c>
      <c r="G22" s="171">
        <v>50</v>
      </c>
      <c r="H22" s="103" t="s">
        <v>606</v>
      </c>
    </row>
    <row r="23" spans="1:8" ht="12" customHeight="1">
      <c r="A23" s="201"/>
      <c r="B23" s="201"/>
      <c r="C23" s="201"/>
      <c r="D23" s="201"/>
      <c r="E23" s="205"/>
      <c r="F23" s="200"/>
      <c r="G23" s="22"/>
      <c r="H23" s="201"/>
    </row>
    <row r="25" spans="1:8" ht="15">
      <c r="A25" s="1" t="s">
        <v>4</v>
      </c>
      <c r="C25" s="806" t="s">
        <v>607</v>
      </c>
      <c r="D25" s="806"/>
      <c r="E25" s="806"/>
      <c r="F25" s="806"/>
      <c r="G25" s="806"/>
      <c r="H25" s="806"/>
    </row>
    <row r="26" spans="1:8" ht="15">
      <c r="A26" s="1" t="s">
        <v>5</v>
      </c>
      <c r="C26" s="806" t="s">
        <v>223</v>
      </c>
      <c r="D26" s="806"/>
      <c r="E26" s="806"/>
      <c r="F26" s="806"/>
      <c r="G26" s="806"/>
      <c r="H26" s="806"/>
    </row>
    <row r="27" spans="1:8" ht="36.75">
      <c r="A27" s="803" t="s">
        <v>7</v>
      </c>
      <c r="B27" s="803" t="s">
        <v>8</v>
      </c>
      <c r="C27" s="803" t="s">
        <v>9</v>
      </c>
      <c r="D27" s="803" t="s">
        <v>936</v>
      </c>
      <c r="E27" s="914" t="s">
        <v>10</v>
      </c>
      <c r="F27" s="4" t="s">
        <v>11</v>
      </c>
      <c r="G27" s="4" t="s">
        <v>12</v>
      </c>
      <c r="H27" s="803" t="s">
        <v>13</v>
      </c>
    </row>
    <row r="28" spans="1:8" ht="36">
      <c r="A28" s="803"/>
      <c r="B28" s="803"/>
      <c r="C28" s="803"/>
      <c r="D28" s="803"/>
      <c r="E28" s="914"/>
      <c r="F28" s="5" t="s">
        <v>14</v>
      </c>
      <c r="G28" s="5" t="s">
        <v>15</v>
      </c>
      <c r="H28" s="803"/>
    </row>
    <row r="29" spans="1:8" ht="15">
      <c r="A29" s="880" t="s">
        <v>16</v>
      </c>
      <c r="B29" s="880"/>
      <c r="C29" s="6">
        <f>SUM(C30:C34)</f>
        <v>108888</v>
      </c>
      <c r="D29" s="6">
        <f>SUM(D30:D34)</f>
        <v>8190</v>
      </c>
      <c r="E29" s="6">
        <f>SUM(E30:E34)</f>
        <v>91197</v>
      </c>
      <c r="F29" s="6"/>
      <c r="G29" s="6">
        <f>SUM(G30:G34)</f>
        <v>77197</v>
      </c>
      <c r="H29" s="537" t="s">
        <v>1612</v>
      </c>
    </row>
    <row r="30" spans="1:8" ht="12.75" customHeight="1">
      <c r="A30" s="918">
        <v>1</v>
      </c>
      <c r="B30" s="919" t="s">
        <v>608</v>
      </c>
      <c r="C30" s="172">
        <v>70000</v>
      </c>
      <c r="D30" s="22">
        <v>0</v>
      </c>
      <c r="E30" s="172">
        <v>88852</v>
      </c>
      <c r="F30" s="200">
        <v>5212</v>
      </c>
      <c r="G30" s="171">
        <v>56000</v>
      </c>
      <c r="H30" s="204" t="s">
        <v>609</v>
      </c>
    </row>
    <row r="31" spans="1:8" ht="12.75" customHeight="1">
      <c r="A31" s="918"/>
      <c r="B31" s="919"/>
      <c r="C31" s="172">
        <v>36360</v>
      </c>
      <c r="D31" s="22">
        <v>8190</v>
      </c>
      <c r="E31" s="172">
        <v>0</v>
      </c>
      <c r="F31" s="200">
        <v>5213</v>
      </c>
      <c r="G31" s="171">
        <v>18852</v>
      </c>
      <c r="H31" s="204"/>
    </row>
    <row r="32" spans="1:8" ht="12" customHeight="1">
      <c r="A32" s="199">
        <v>2</v>
      </c>
      <c r="B32" s="199" t="s">
        <v>610</v>
      </c>
      <c r="C32" s="172">
        <v>2128</v>
      </c>
      <c r="D32" s="22">
        <v>0</v>
      </c>
      <c r="E32" s="172">
        <v>1745</v>
      </c>
      <c r="F32" s="22">
        <v>2519</v>
      </c>
      <c r="G32" s="171">
        <v>1745</v>
      </c>
      <c r="H32" s="103" t="s">
        <v>611</v>
      </c>
    </row>
    <row r="33" spans="1:8" ht="12" customHeight="1">
      <c r="A33" s="202">
        <v>3</v>
      </c>
      <c r="B33" s="199" t="s">
        <v>612</v>
      </c>
      <c r="C33" s="172">
        <v>400</v>
      </c>
      <c r="D33" s="22">
        <v>0</v>
      </c>
      <c r="E33" s="172">
        <v>600</v>
      </c>
      <c r="F33" s="22">
        <v>2276</v>
      </c>
      <c r="G33" s="171">
        <v>600</v>
      </c>
      <c r="H33" s="103" t="s">
        <v>613</v>
      </c>
    </row>
    <row r="34" spans="1:8" ht="12" customHeight="1">
      <c r="A34" s="199"/>
      <c r="B34" s="199"/>
      <c r="C34" s="172"/>
      <c r="D34" s="172"/>
      <c r="E34" s="172"/>
      <c r="F34" s="200"/>
      <c r="G34" s="171"/>
      <c r="H34" s="204"/>
    </row>
    <row r="36" ht="15">
      <c r="A36" s="206" t="s">
        <v>22</v>
      </c>
    </row>
    <row r="37" spans="1:8" ht="15">
      <c r="A37" s="1" t="s">
        <v>4</v>
      </c>
      <c r="C37" s="822" t="s">
        <v>1395</v>
      </c>
      <c r="D37" s="822"/>
      <c r="E37" s="822"/>
      <c r="F37" s="822"/>
      <c r="G37" s="822"/>
      <c r="H37" s="822"/>
    </row>
    <row r="38" spans="1:8" ht="15">
      <c r="A38" s="1" t="s">
        <v>5</v>
      </c>
      <c r="C38" s="806" t="s">
        <v>21</v>
      </c>
      <c r="D38" s="806"/>
      <c r="E38" s="806"/>
      <c r="F38" s="806"/>
      <c r="G38" s="806"/>
      <c r="H38" s="806"/>
    </row>
    <row r="39" spans="1:8" ht="36.75">
      <c r="A39" s="803" t="s">
        <v>7</v>
      </c>
      <c r="B39" s="803" t="s">
        <v>8</v>
      </c>
      <c r="C39" s="803" t="s">
        <v>9</v>
      </c>
      <c r="D39" s="803" t="s">
        <v>936</v>
      </c>
      <c r="E39" s="914" t="s">
        <v>10</v>
      </c>
      <c r="F39" s="4" t="s">
        <v>11</v>
      </c>
      <c r="G39" s="4" t="s">
        <v>12</v>
      </c>
      <c r="H39" s="803" t="s">
        <v>13</v>
      </c>
    </row>
    <row r="40" spans="1:8" ht="36">
      <c r="A40" s="803"/>
      <c r="B40" s="803"/>
      <c r="C40" s="803"/>
      <c r="D40" s="803"/>
      <c r="E40" s="914"/>
      <c r="F40" s="5" t="s">
        <v>14</v>
      </c>
      <c r="G40" s="5" t="s">
        <v>15</v>
      </c>
      <c r="H40" s="803"/>
    </row>
    <row r="41" spans="1:8" ht="15">
      <c r="A41" s="880" t="s">
        <v>16</v>
      </c>
      <c r="B41" s="880"/>
      <c r="C41" s="6">
        <f>SUM(C42)</f>
        <v>21645</v>
      </c>
      <c r="D41" s="6">
        <f>SUM(D42)</f>
        <v>20516</v>
      </c>
      <c r="E41" s="6">
        <f>SUM(E42)</f>
        <v>20516</v>
      </c>
      <c r="F41" s="6"/>
      <c r="G41" s="6">
        <f>SUM(G42)</f>
        <v>20516</v>
      </c>
      <c r="H41" s="537" t="s">
        <v>1513</v>
      </c>
    </row>
    <row r="42" spans="1:8" ht="24.75">
      <c r="A42" s="199">
        <v>1</v>
      </c>
      <c r="B42" s="199" t="s">
        <v>614</v>
      </c>
      <c r="C42" s="172">
        <v>21645</v>
      </c>
      <c r="D42" s="22">
        <v>20516</v>
      </c>
      <c r="E42" s="172">
        <v>20516</v>
      </c>
      <c r="F42" s="22">
        <v>2261</v>
      </c>
      <c r="G42" s="171">
        <v>20516</v>
      </c>
      <c r="H42" s="539" t="s">
        <v>615</v>
      </c>
    </row>
    <row r="43" spans="1:8" ht="15">
      <c r="A43" s="784" t="s">
        <v>17</v>
      </c>
      <c r="B43" s="785"/>
      <c r="C43" s="13">
        <f>C41+C29+C11</f>
        <v>184164</v>
      </c>
      <c r="D43" s="13">
        <f>D41+D29+D11</f>
        <v>45359</v>
      </c>
      <c r="E43" s="13">
        <f>E41+E29+E11</f>
        <v>246926.0496</v>
      </c>
      <c r="F43" s="13"/>
      <c r="G43" s="13">
        <f>G41+G29+G11</f>
        <v>199199</v>
      </c>
      <c r="H43" s="540" t="s">
        <v>1613</v>
      </c>
    </row>
    <row r="44" ht="15"/>
    <row r="45" ht="15"/>
    <row r="46" ht="15"/>
    <row r="47" ht="15"/>
    <row r="48" ht="15"/>
    <row r="49" ht="15"/>
    <row r="50" ht="15"/>
    <row r="51" ht="15"/>
    <row r="52" ht="15"/>
    <row r="53" ht="15"/>
  </sheetData>
  <sheetProtection/>
  <mergeCells count="39">
    <mergeCell ref="D16:D17"/>
    <mergeCell ref="A27:A28"/>
    <mergeCell ref="B27:B28"/>
    <mergeCell ref="D27:D28"/>
    <mergeCell ref="C26:H26"/>
    <mergeCell ref="A41:B41"/>
    <mergeCell ref="A43:B43"/>
    <mergeCell ref="A29:B29"/>
    <mergeCell ref="A30:A31"/>
    <mergeCell ref="B30:B31"/>
    <mergeCell ref="A39:A40"/>
    <mergeCell ref="B39:B40"/>
    <mergeCell ref="C25:H25"/>
    <mergeCell ref="E27:E28"/>
    <mergeCell ref="H39:H40"/>
    <mergeCell ref="C37:H37"/>
    <mergeCell ref="C38:H38"/>
    <mergeCell ref="C39:C40"/>
    <mergeCell ref="D39:D40"/>
    <mergeCell ref="E39:E40"/>
    <mergeCell ref="H27:H28"/>
    <mergeCell ref="C27:C28"/>
    <mergeCell ref="C4:H4"/>
    <mergeCell ref="A5:H5"/>
    <mergeCell ref="C6:H6"/>
    <mergeCell ref="C7:H7"/>
    <mergeCell ref="C8:H8"/>
    <mergeCell ref="E16:E17"/>
    <mergeCell ref="H17:H18"/>
    <mergeCell ref="B16:B17"/>
    <mergeCell ref="A16:A17"/>
    <mergeCell ref="C16:C17"/>
    <mergeCell ref="H9:H10"/>
    <mergeCell ref="A11:B11"/>
    <mergeCell ref="A9:A10"/>
    <mergeCell ref="B9:B10"/>
    <mergeCell ref="C9:C10"/>
    <mergeCell ref="D9:D10"/>
    <mergeCell ref="E9:E10"/>
  </mergeCells>
  <hyperlinks>
    <hyperlink ref="H15" location="Zemes_noma!A1" display="Skat.Zemes_noma"/>
    <hyperlink ref="H17" location="Apsaimniekošana!A1" display="Skat.Apsaimniekošana"/>
    <hyperlink ref="H20" location="Apdrošināšana!A1" display="Skat.Apdrošināšana"/>
    <hyperlink ref="H30" location="Pirk_izdev!A1" display="Skat.Pirk_izdev"/>
    <hyperlink ref="H42" location="Telpu_noma!A1" display="Skat.Telpu_noma"/>
  </hyperlinks>
  <printOptions/>
  <pageMargins left="0.3937007874015748" right="0.3937007874015748" top="0.7874015748031497" bottom="0.7874015748031497" header="0.5118110236220472" footer="0.5118110236220472"/>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tabColor rgb="FFFF66FF"/>
    <pageSetUpPr fitToPage="1"/>
  </sheetPr>
  <dimension ref="A1:Q36"/>
  <sheetViews>
    <sheetView zoomScalePageLayoutView="0" workbookViewId="0" topLeftCell="E28">
      <selection activeCell="I21" sqref="I21"/>
    </sheetView>
  </sheetViews>
  <sheetFormatPr defaultColWidth="9.140625" defaultRowHeight="15"/>
  <cols>
    <col min="1" max="1" width="6.140625" style="1" customWidth="1"/>
    <col min="2" max="2" width="44.8515625" style="1" customWidth="1"/>
    <col min="3" max="3" width="11.8515625" style="1" customWidth="1"/>
    <col min="4" max="4" width="11.140625" style="1" customWidth="1"/>
    <col min="5" max="5" width="10.28125" style="1" customWidth="1"/>
    <col min="6" max="6" width="10.57421875" style="1" customWidth="1"/>
    <col min="7" max="7" width="9.7109375" style="1" customWidth="1"/>
    <col min="8" max="8" width="27.421875" style="1" customWidth="1"/>
    <col min="18" max="16384" width="9.140625" style="1" customWidth="1"/>
  </cols>
  <sheetData>
    <row r="1" spans="8:17" s="727" customFormat="1" ht="15.75">
      <c r="H1" s="728" t="s">
        <v>1641</v>
      </c>
      <c r="I1"/>
      <c r="J1"/>
      <c r="K1"/>
      <c r="L1"/>
      <c r="M1"/>
      <c r="N1"/>
      <c r="O1"/>
      <c r="P1"/>
      <c r="Q1"/>
    </row>
    <row r="2" spans="8:17" s="727" customFormat="1" ht="15.75">
      <c r="H2" s="728" t="s">
        <v>1627</v>
      </c>
      <c r="I2"/>
      <c r="J2"/>
      <c r="K2"/>
      <c r="L2"/>
      <c r="M2"/>
      <c r="N2"/>
      <c r="O2"/>
      <c r="P2"/>
      <c r="Q2"/>
    </row>
    <row r="3" spans="8:17" s="727" customFormat="1" ht="15.75">
      <c r="H3" s="728" t="s">
        <v>1628</v>
      </c>
      <c r="I3"/>
      <c r="J3"/>
      <c r="K3"/>
      <c r="L3"/>
      <c r="M3"/>
      <c r="N3"/>
      <c r="O3"/>
      <c r="P3"/>
      <c r="Q3"/>
    </row>
    <row r="4" spans="1:8" ht="15">
      <c r="A4" s="1" t="s">
        <v>476</v>
      </c>
      <c r="B4" s="2"/>
      <c r="C4" s="822" t="s">
        <v>1</v>
      </c>
      <c r="D4" s="822"/>
      <c r="E4" s="822"/>
      <c r="F4" s="822"/>
      <c r="G4" s="822"/>
      <c r="H4" s="822"/>
    </row>
    <row r="5" spans="1:8" ht="15.75">
      <c r="A5" s="835" t="s">
        <v>2</v>
      </c>
      <c r="B5" s="835"/>
      <c r="C5" s="835"/>
      <c r="D5" s="835"/>
      <c r="E5" s="835"/>
      <c r="F5" s="835"/>
      <c r="G5" s="835"/>
      <c r="H5" s="835"/>
    </row>
    <row r="6" spans="1:8" ht="15">
      <c r="A6" s="1" t="s">
        <v>3</v>
      </c>
      <c r="C6" s="822" t="s">
        <v>616</v>
      </c>
      <c r="D6" s="822"/>
      <c r="E6" s="822"/>
      <c r="F6" s="822"/>
      <c r="G6" s="822"/>
      <c r="H6" s="822"/>
    </row>
    <row r="7" spans="1:8" ht="15">
      <c r="A7" s="1" t="s">
        <v>4</v>
      </c>
      <c r="C7" s="806" t="s">
        <v>1392</v>
      </c>
      <c r="D7" s="806"/>
      <c r="E7" s="806"/>
      <c r="F7" s="806"/>
      <c r="G7" s="806"/>
      <c r="H7" s="806"/>
    </row>
    <row r="8" spans="1:8" ht="15">
      <c r="A8" s="1" t="s">
        <v>20</v>
      </c>
      <c r="C8" s="824" t="s">
        <v>219</v>
      </c>
      <c r="D8" s="824"/>
      <c r="E8" s="824"/>
      <c r="F8" s="824"/>
      <c r="G8" s="824"/>
      <c r="H8" s="824"/>
    </row>
    <row r="9" spans="1:8" ht="36">
      <c r="A9" s="5" t="s">
        <v>7</v>
      </c>
      <c r="B9" s="5" t="s">
        <v>8</v>
      </c>
      <c r="C9" s="5" t="s">
        <v>9</v>
      </c>
      <c r="D9" s="5" t="s">
        <v>943</v>
      </c>
      <c r="E9" s="5" t="s">
        <v>10</v>
      </c>
      <c r="F9" s="5" t="s">
        <v>14</v>
      </c>
      <c r="G9" s="5" t="s">
        <v>15</v>
      </c>
      <c r="H9" s="5" t="s">
        <v>13</v>
      </c>
    </row>
    <row r="10" spans="1:8" ht="15">
      <c r="A10" s="804" t="s">
        <v>16</v>
      </c>
      <c r="B10" s="805"/>
      <c r="C10" s="6">
        <f>SUM(C11:C23)</f>
        <v>114902</v>
      </c>
      <c r="D10" s="6">
        <f>SUM(D11:D23)</f>
        <v>50609</v>
      </c>
      <c r="E10" s="6">
        <f>SUM(E11:E23)</f>
        <v>60787</v>
      </c>
      <c r="F10" s="15"/>
      <c r="G10" s="6">
        <f>SUM(G11:G23)</f>
        <v>57245</v>
      </c>
      <c r="H10" s="537" t="s">
        <v>1514</v>
      </c>
    </row>
    <row r="11" spans="1:8" ht="24.75" customHeight="1">
      <c r="A11" s="829">
        <v>1</v>
      </c>
      <c r="B11" s="830" t="s">
        <v>617</v>
      </c>
      <c r="C11" s="16">
        <v>45704</v>
      </c>
      <c r="D11" s="16">
        <v>33520</v>
      </c>
      <c r="E11" s="16">
        <v>12184</v>
      </c>
      <c r="F11" s="17">
        <v>5110</v>
      </c>
      <c r="G11" s="16">
        <v>18174</v>
      </c>
      <c r="H11" s="881" t="s">
        <v>618</v>
      </c>
    </row>
    <row r="12" spans="1:8" ht="23.25" customHeight="1">
      <c r="A12" s="826"/>
      <c r="B12" s="828"/>
      <c r="C12" s="16">
        <v>22000</v>
      </c>
      <c r="D12" s="16">
        <v>11000</v>
      </c>
      <c r="E12" s="16">
        <v>11000</v>
      </c>
      <c r="F12" s="17">
        <v>5110</v>
      </c>
      <c r="G12" s="16"/>
      <c r="H12" s="882"/>
    </row>
    <row r="13" spans="1:8" ht="15">
      <c r="A13" s="7">
        <v>2</v>
      </c>
      <c r="B13" s="7" t="s">
        <v>619</v>
      </c>
      <c r="C13" s="16">
        <v>5000</v>
      </c>
      <c r="D13" s="16">
        <v>0</v>
      </c>
      <c r="E13" s="16">
        <v>5000</v>
      </c>
      <c r="F13" s="17"/>
      <c r="G13" s="16"/>
      <c r="H13" s="7" t="s">
        <v>620</v>
      </c>
    </row>
    <row r="14" spans="1:8" ht="15">
      <c r="A14" s="7">
        <v>3</v>
      </c>
      <c r="B14" s="7" t="s">
        <v>621</v>
      </c>
      <c r="C14" s="16">
        <v>4270</v>
      </c>
      <c r="D14" s="16">
        <v>4270</v>
      </c>
      <c r="E14" s="16">
        <v>0</v>
      </c>
      <c r="F14" s="17">
        <v>5250</v>
      </c>
      <c r="G14" s="16"/>
      <c r="H14" s="7"/>
    </row>
    <row r="15" spans="1:8" ht="36.75">
      <c r="A15" s="7">
        <v>4</v>
      </c>
      <c r="B15" s="7" t="s">
        <v>622</v>
      </c>
      <c r="C15" s="16">
        <v>2148</v>
      </c>
      <c r="D15" s="16">
        <v>0</v>
      </c>
      <c r="E15" s="16">
        <v>2148</v>
      </c>
      <c r="F15" s="17">
        <v>2239</v>
      </c>
      <c r="G15" s="16">
        <v>2148</v>
      </c>
      <c r="H15" s="7" t="s">
        <v>623</v>
      </c>
    </row>
    <row r="16" spans="1:8" ht="36.75">
      <c r="A16" s="7">
        <v>5</v>
      </c>
      <c r="B16" s="7" t="s">
        <v>624</v>
      </c>
      <c r="C16" s="16">
        <v>0</v>
      </c>
      <c r="D16" s="16">
        <v>0</v>
      </c>
      <c r="E16" s="16">
        <v>3630</v>
      </c>
      <c r="F16" s="17">
        <v>2239</v>
      </c>
      <c r="G16" s="16">
        <v>3630</v>
      </c>
      <c r="H16" s="7" t="s">
        <v>625</v>
      </c>
    </row>
    <row r="17" spans="1:8" ht="36.75">
      <c r="A17" s="7">
        <v>6</v>
      </c>
      <c r="B17" s="7" t="s">
        <v>626</v>
      </c>
      <c r="C17" s="16">
        <v>5357</v>
      </c>
      <c r="D17" s="16">
        <v>0</v>
      </c>
      <c r="E17" s="16">
        <v>5357</v>
      </c>
      <c r="F17" s="17">
        <v>5250</v>
      </c>
      <c r="G17" s="16">
        <v>5357</v>
      </c>
      <c r="H17" s="7" t="s">
        <v>627</v>
      </c>
    </row>
    <row r="18" spans="1:8" ht="24.75">
      <c r="A18" s="8">
        <v>7</v>
      </c>
      <c r="B18" s="7" t="s">
        <v>628</v>
      </c>
      <c r="C18" s="9">
        <v>387</v>
      </c>
      <c r="D18" s="9">
        <v>122</v>
      </c>
      <c r="E18" s="9">
        <v>5000</v>
      </c>
      <c r="F18" s="10">
        <v>2239</v>
      </c>
      <c r="G18" s="9">
        <v>5000</v>
      </c>
      <c r="H18" s="12"/>
    </row>
    <row r="19" spans="1:8" ht="24.75">
      <c r="A19" s="8">
        <v>8</v>
      </c>
      <c r="B19" s="7" t="s">
        <v>629</v>
      </c>
      <c r="C19" s="9">
        <v>5000</v>
      </c>
      <c r="D19" s="9">
        <v>0</v>
      </c>
      <c r="E19" s="9">
        <v>5000</v>
      </c>
      <c r="F19" s="10">
        <v>2239</v>
      </c>
      <c r="G19" s="11"/>
      <c r="H19" s="12"/>
    </row>
    <row r="20" spans="1:17" s="2" customFormat="1" ht="24.75">
      <c r="A20" s="22">
        <v>9</v>
      </c>
      <c r="B20" s="103" t="s">
        <v>630</v>
      </c>
      <c r="C20" s="171">
        <v>1100</v>
      </c>
      <c r="D20" s="171">
        <v>1098</v>
      </c>
      <c r="E20" s="171">
        <v>0</v>
      </c>
      <c r="F20" s="172">
        <v>2239</v>
      </c>
      <c r="G20" s="207"/>
      <c r="H20" s="4"/>
      <c r="I20"/>
      <c r="J20"/>
      <c r="K20"/>
      <c r="L20"/>
      <c r="M20"/>
      <c r="N20"/>
      <c r="O20"/>
      <c r="P20"/>
      <c r="Q20"/>
    </row>
    <row r="21" spans="1:17" s="2" customFormat="1" ht="15">
      <c r="A21" s="22">
        <v>10</v>
      </c>
      <c r="B21" s="103" t="s">
        <v>631</v>
      </c>
      <c r="C21" s="171">
        <v>22936</v>
      </c>
      <c r="D21" s="171">
        <v>0</v>
      </c>
      <c r="E21" s="171">
        <v>11468</v>
      </c>
      <c r="F21" s="172">
        <v>5110</v>
      </c>
      <c r="G21" s="171">
        <v>22936</v>
      </c>
      <c r="H21" s="103" t="s">
        <v>632</v>
      </c>
      <c r="I21"/>
      <c r="J21"/>
      <c r="K21"/>
      <c r="L21"/>
      <c r="M21"/>
      <c r="N21"/>
      <c r="O21"/>
      <c r="P21"/>
      <c r="Q21"/>
    </row>
    <row r="22" spans="1:17" s="2" customFormat="1" ht="15">
      <c r="A22" s="22">
        <v>11</v>
      </c>
      <c r="B22" s="103" t="s">
        <v>633</v>
      </c>
      <c r="C22" s="171">
        <v>1000</v>
      </c>
      <c r="D22" s="171">
        <v>599</v>
      </c>
      <c r="E22" s="171">
        <v>0</v>
      </c>
      <c r="F22" s="172">
        <v>2279</v>
      </c>
      <c r="G22" s="207"/>
      <c r="H22" s="4"/>
      <c r="I22"/>
      <c r="J22"/>
      <c r="K22"/>
      <c r="L22"/>
      <c r="M22"/>
      <c r="N22"/>
      <c r="O22"/>
      <c r="P22"/>
      <c r="Q22"/>
    </row>
    <row r="23" spans="1:8" ht="15">
      <c r="A23" s="7"/>
      <c r="B23" s="7"/>
      <c r="C23" s="16"/>
      <c r="D23" s="16"/>
      <c r="E23" s="16"/>
      <c r="F23" s="17"/>
      <c r="G23" s="16"/>
      <c r="H23" s="7"/>
    </row>
    <row r="24" spans="1:8" ht="15">
      <c r="A24" s="18"/>
      <c r="B24" s="18"/>
      <c r="C24" s="18"/>
      <c r="D24" s="18"/>
      <c r="E24" s="18"/>
      <c r="F24" s="18"/>
      <c r="G24" s="18"/>
      <c r="H24" s="18"/>
    </row>
    <row r="25" spans="1:8" ht="15">
      <c r="A25" s="1" t="s">
        <v>4</v>
      </c>
      <c r="C25" s="806" t="s">
        <v>1399</v>
      </c>
      <c r="D25" s="806"/>
      <c r="E25" s="806"/>
      <c r="F25" s="806"/>
      <c r="G25" s="806"/>
      <c r="H25" s="806"/>
    </row>
    <row r="26" spans="1:8" ht="15">
      <c r="A26" s="1" t="s">
        <v>20</v>
      </c>
      <c r="C26" s="824" t="s">
        <v>634</v>
      </c>
      <c r="D26" s="824"/>
      <c r="E26" s="105"/>
      <c r="F26" s="105"/>
      <c r="G26" s="105"/>
      <c r="H26" s="105"/>
    </row>
    <row r="27" spans="1:8" ht="36">
      <c r="A27" s="5" t="s">
        <v>7</v>
      </c>
      <c r="B27" s="5" t="s">
        <v>8</v>
      </c>
      <c r="C27" s="5" t="s">
        <v>9</v>
      </c>
      <c r="D27" s="5" t="s">
        <v>936</v>
      </c>
      <c r="E27" s="5" t="s">
        <v>10</v>
      </c>
      <c r="F27" s="5" t="s">
        <v>14</v>
      </c>
      <c r="G27" s="5" t="s">
        <v>15</v>
      </c>
      <c r="H27" s="5" t="s">
        <v>13</v>
      </c>
    </row>
    <row r="28" spans="1:8" ht="15">
      <c r="A28" s="804" t="s">
        <v>16</v>
      </c>
      <c r="B28" s="805"/>
      <c r="C28" s="6">
        <f>SUM(C29:C35)</f>
        <v>8212</v>
      </c>
      <c r="D28" s="6">
        <f>SUM(D29:D35)</f>
        <v>8074</v>
      </c>
      <c r="E28" s="6">
        <f>SUM(E29:E35)</f>
        <v>10972</v>
      </c>
      <c r="F28" s="6"/>
      <c r="G28" s="6">
        <f>SUM(G29:G35)</f>
        <v>8750</v>
      </c>
      <c r="H28" s="537" t="s">
        <v>1515</v>
      </c>
    </row>
    <row r="29" spans="1:8" ht="12" customHeight="1">
      <c r="A29" s="7">
        <v>1</v>
      </c>
      <c r="B29" s="7" t="s">
        <v>635</v>
      </c>
      <c r="C29" s="16">
        <v>1700</v>
      </c>
      <c r="D29" s="16">
        <v>1684</v>
      </c>
      <c r="E29" s="16">
        <v>2050</v>
      </c>
      <c r="F29" s="17">
        <v>2279</v>
      </c>
      <c r="G29" s="16">
        <v>2050</v>
      </c>
      <c r="H29" s="7"/>
    </row>
    <row r="30" spans="1:8" ht="24.75">
      <c r="A30" s="7">
        <v>2</v>
      </c>
      <c r="B30" s="7" t="s">
        <v>636</v>
      </c>
      <c r="C30" s="16">
        <v>0</v>
      </c>
      <c r="D30" s="16">
        <v>0</v>
      </c>
      <c r="E30" s="16">
        <v>2100</v>
      </c>
      <c r="F30" s="17">
        <v>2279</v>
      </c>
      <c r="G30" s="16"/>
      <c r="H30" s="7"/>
    </row>
    <row r="31" spans="1:8" ht="24.75">
      <c r="A31" s="7">
        <v>3</v>
      </c>
      <c r="B31" s="7" t="s">
        <v>637</v>
      </c>
      <c r="C31" s="16">
        <v>0</v>
      </c>
      <c r="D31" s="16">
        <v>0</v>
      </c>
      <c r="E31" s="16">
        <v>1950</v>
      </c>
      <c r="F31" s="17">
        <v>2279</v>
      </c>
      <c r="G31" s="16">
        <v>1950</v>
      </c>
      <c r="H31" s="7"/>
    </row>
    <row r="32" spans="1:8" ht="24.75">
      <c r="A32" s="7">
        <v>4</v>
      </c>
      <c r="B32" s="7" t="s">
        <v>638</v>
      </c>
      <c r="C32" s="16">
        <v>0</v>
      </c>
      <c r="D32" s="16">
        <v>0</v>
      </c>
      <c r="E32" s="16">
        <v>4750</v>
      </c>
      <c r="F32" s="17">
        <v>2279</v>
      </c>
      <c r="G32" s="16">
        <v>4750</v>
      </c>
      <c r="H32" s="7"/>
    </row>
    <row r="33" spans="1:8" ht="15">
      <c r="A33" s="829">
        <v>5</v>
      </c>
      <c r="B33" s="830" t="s">
        <v>639</v>
      </c>
      <c r="C33" s="16">
        <v>500</v>
      </c>
      <c r="D33" s="16">
        <v>500</v>
      </c>
      <c r="E33" s="16">
        <v>0</v>
      </c>
      <c r="F33" s="17">
        <v>6470</v>
      </c>
      <c r="G33" s="16"/>
      <c r="H33" s="7"/>
    </row>
    <row r="34" spans="1:8" ht="12.75" customHeight="1">
      <c r="A34" s="825"/>
      <c r="B34" s="827"/>
      <c r="C34" s="16">
        <v>1760</v>
      </c>
      <c r="D34" s="16">
        <v>1647</v>
      </c>
      <c r="E34" s="16">
        <v>113</v>
      </c>
      <c r="F34" s="17">
        <v>2279</v>
      </c>
      <c r="G34" s="16"/>
      <c r="H34" s="7" t="s">
        <v>640</v>
      </c>
    </row>
    <row r="35" spans="1:8" ht="12.75" customHeight="1">
      <c r="A35" s="826"/>
      <c r="B35" s="828"/>
      <c r="C35" s="16">
        <v>4252</v>
      </c>
      <c r="D35" s="16">
        <v>4243</v>
      </c>
      <c r="E35" s="16">
        <v>9</v>
      </c>
      <c r="F35" s="17">
        <v>5250</v>
      </c>
      <c r="G35" s="16"/>
      <c r="H35" s="170" t="s">
        <v>640</v>
      </c>
    </row>
    <row r="36" spans="1:8" ht="15">
      <c r="A36" s="784" t="s">
        <v>17</v>
      </c>
      <c r="B36" s="785"/>
      <c r="C36" s="13">
        <f>C28+C10</f>
        <v>123114</v>
      </c>
      <c r="D36" s="13">
        <f>D28+D10</f>
        <v>58683</v>
      </c>
      <c r="E36" s="13">
        <f>E28+E10</f>
        <v>71759</v>
      </c>
      <c r="F36" s="13"/>
      <c r="G36" s="13">
        <f>G28+G10</f>
        <v>65995</v>
      </c>
      <c r="H36" s="540" t="s">
        <v>1516</v>
      </c>
    </row>
    <row r="37" ht="15"/>
    <row r="38" ht="15"/>
    <row r="39" ht="15"/>
    <row r="40" ht="15"/>
    <row r="41" ht="15"/>
    <row r="42" ht="15"/>
    <row r="43" ht="15"/>
    <row r="44" ht="15"/>
    <row r="45" ht="15"/>
    <row r="46" ht="15"/>
  </sheetData>
  <sheetProtection/>
  <mergeCells count="15">
    <mergeCell ref="A33:A35"/>
    <mergeCell ref="B33:B35"/>
    <mergeCell ref="A36:B36"/>
    <mergeCell ref="A11:A12"/>
    <mergeCell ref="B11:B12"/>
    <mergeCell ref="H11:H12"/>
    <mergeCell ref="C25:H25"/>
    <mergeCell ref="C26:D26"/>
    <mergeCell ref="A28:B28"/>
    <mergeCell ref="C4:H4"/>
    <mergeCell ref="A5:H5"/>
    <mergeCell ref="C6:H6"/>
    <mergeCell ref="C7:H7"/>
    <mergeCell ref="C8:H8"/>
    <mergeCell ref="A10:B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tabColor rgb="FFFF66FF"/>
    <pageSetUpPr fitToPage="1"/>
  </sheetPr>
  <dimension ref="A1:Q59"/>
  <sheetViews>
    <sheetView zoomScalePageLayoutView="0" workbookViewId="0" topLeftCell="A58">
      <selection activeCell="I21" sqref="I21"/>
    </sheetView>
  </sheetViews>
  <sheetFormatPr defaultColWidth="9.140625" defaultRowHeight="15"/>
  <cols>
    <col min="1" max="1" width="4.7109375" style="198" customWidth="1"/>
    <col min="2" max="2" width="44.8515625" style="1" customWidth="1"/>
    <col min="3" max="3" width="11.8515625" style="1" customWidth="1"/>
    <col min="4" max="4" width="11.140625" style="1" customWidth="1"/>
    <col min="5" max="5" width="12.00390625" style="1" customWidth="1"/>
    <col min="6" max="6" width="10.57421875" style="1" customWidth="1"/>
    <col min="7" max="7" width="9.7109375" style="1" customWidth="1"/>
    <col min="8" max="8" width="16.7109375" style="1" customWidth="1"/>
    <col min="18" max="16384" width="9.140625" style="1" customWidth="1"/>
  </cols>
  <sheetData>
    <row r="1" spans="1:17" s="727" customFormat="1" ht="15.75">
      <c r="A1" s="728"/>
      <c r="H1" s="728" t="s">
        <v>1642</v>
      </c>
      <c r="I1"/>
      <c r="J1"/>
      <c r="K1"/>
      <c r="L1"/>
      <c r="M1"/>
      <c r="N1"/>
      <c r="O1"/>
      <c r="P1"/>
      <c r="Q1"/>
    </row>
    <row r="2" spans="1:17" s="727" customFormat="1" ht="15.75">
      <c r="A2" s="728"/>
      <c r="H2" s="728" t="s">
        <v>1627</v>
      </c>
      <c r="I2"/>
      <c r="J2"/>
      <c r="K2"/>
      <c r="L2"/>
      <c r="M2"/>
      <c r="N2"/>
      <c r="O2"/>
      <c r="P2"/>
      <c r="Q2"/>
    </row>
    <row r="3" spans="1:17" s="727" customFormat="1" ht="15.75">
      <c r="A3" s="728"/>
      <c r="H3" s="728" t="s">
        <v>1628</v>
      </c>
      <c r="I3"/>
      <c r="J3"/>
      <c r="K3"/>
      <c r="L3"/>
      <c r="M3"/>
      <c r="N3"/>
      <c r="O3"/>
      <c r="P3"/>
      <c r="Q3"/>
    </row>
    <row r="4" spans="1:8" ht="15">
      <c r="A4" s="3" t="s">
        <v>0</v>
      </c>
      <c r="B4" s="2"/>
      <c r="C4" s="822" t="s">
        <v>1</v>
      </c>
      <c r="D4" s="822"/>
      <c r="E4" s="822"/>
      <c r="F4" s="822"/>
      <c r="G4" s="822"/>
      <c r="H4" s="822"/>
    </row>
    <row r="5" spans="1:8" ht="15.75">
      <c r="A5" s="835" t="s">
        <v>2</v>
      </c>
      <c r="B5" s="835"/>
      <c r="C5" s="835"/>
      <c r="D5" s="835"/>
      <c r="E5" s="835"/>
      <c r="F5" s="835"/>
      <c r="G5" s="835"/>
      <c r="H5" s="835"/>
    </row>
    <row r="6" spans="1:8" ht="15">
      <c r="A6" s="3" t="s">
        <v>641</v>
      </c>
      <c r="C6" s="822" t="s">
        <v>642</v>
      </c>
      <c r="D6" s="822"/>
      <c r="E6" s="822"/>
      <c r="F6" s="822"/>
      <c r="G6" s="822"/>
      <c r="H6" s="822"/>
    </row>
    <row r="7" spans="1:8" ht="15">
      <c r="A7" s="3" t="s">
        <v>19</v>
      </c>
      <c r="C7" s="806" t="s">
        <v>643</v>
      </c>
      <c r="D7" s="806"/>
      <c r="E7" s="806"/>
      <c r="F7" s="806"/>
      <c r="G7" s="806"/>
      <c r="H7" s="806"/>
    </row>
    <row r="8" spans="1:8" ht="15">
      <c r="A8" s="3" t="s">
        <v>5</v>
      </c>
      <c r="C8" s="806" t="s">
        <v>479</v>
      </c>
      <c r="D8" s="806"/>
      <c r="E8" s="806"/>
      <c r="F8" s="806"/>
      <c r="G8" s="806"/>
      <c r="H8" s="806"/>
    </row>
    <row r="9" spans="1:8" ht="36.75">
      <c r="A9" s="892" t="s">
        <v>7</v>
      </c>
      <c r="B9" s="803" t="s">
        <v>8</v>
      </c>
      <c r="C9" s="803" t="s">
        <v>9</v>
      </c>
      <c r="D9" s="803" t="s">
        <v>936</v>
      </c>
      <c r="E9" s="803" t="s">
        <v>10</v>
      </c>
      <c r="F9" s="4" t="s">
        <v>11</v>
      </c>
      <c r="G9" s="4" t="s">
        <v>12</v>
      </c>
      <c r="H9" s="803" t="s">
        <v>13</v>
      </c>
    </row>
    <row r="10" spans="1:8" ht="36">
      <c r="A10" s="892"/>
      <c r="B10" s="803"/>
      <c r="C10" s="803"/>
      <c r="D10" s="803"/>
      <c r="E10" s="803"/>
      <c r="F10" s="5" t="s">
        <v>14</v>
      </c>
      <c r="G10" s="5" t="s">
        <v>15</v>
      </c>
      <c r="H10" s="803"/>
    </row>
    <row r="11" spans="1:8" ht="24.75">
      <c r="A11" s="924" t="s">
        <v>16</v>
      </c>
      <c r="B11" s="925"/>
      <c r="C11" s="169">
        <f>C12+C21+C26+C29+C32+C34+C35+C36+C37+C38+C39+C49+C50</f>
        <v>183396</v>
      </c>
      <c r="D11" s="169">
        <f>SUM(D12,D21,D26,D29,D32,D39,D50,D34,D35,D36,D37,D38,D49)</f>
        <v>134117</v>
      </c>
      <c r="E11" s="169">
        <f>E12+E21+E26+E29+E32+E34+E35+E36+E37+E38+E39+E49+E50</f>
        <v>198526</v>
      </c>
      <c r="F11" s="169"/>
      <c r="G11" s="169">
        <f>G12+G21+G26+G29+G32+G34+G35+G36+G37+G38+G39+G49+G50</f>
        <v>171164</v>
      </c>
      <c r="H11" s="537" t="s">
        <v>1614</v>
      </c>
    </row>
    <row r="12" spans="1:8" ht="24.75">
      <c r="A12" s="208">
        <v>1</v>
      </c>
      <c r="B12" s="209" t="s">
        <v>644</v>
      </c>
      <c r="C12" s="210">
        <f>SUM(C13:C20)</f>
        <v>31069</v>
      </c>
      <c r="D12" s="210">
        <f>SUM(D13:D20)</f>
        <v>20289</v>
      </c>
      <c r="E12" s="210">
        <f>SUM(E13:E20)</f>
        <v>36630</v>
      </c>
      <c r="F12" s="210"/>
      <c r="G12" s="210">
        <f>SUM(G13:G20)</f>
        <v>36050</v>
      </c>
      <c r="H12" s="537" t="s">
        <v>1520</v>
      </c>
    </row>
    <row r="13" spans="1:8" ht="15">
      <c r="A13" s="926">
        <v>1.1</v>
      </c>
      <c r="B13" s="928" t="s">
        <v>645</v>
      </c>
      <c r="C13" s="20">
        <v>1500</v>
      </c>
      <c r="D13" s="20">
        <v>0</v>
      </c>
      <c r="E13" s="30">
        <v>0</v>
      </c>
      <c r="F13" s="31">
        <v>5234</v>
      </c>
      <c r="G13" s="20"/>
      <c r="H13" s="38"/>
    </row>
    <row r="14" spans="1:8" ht="12.75" customHeight="1">
      <c r="A14" s="927"/>
      <c r="B14" s="929"/>
      <c r="C14" s="20">
        <v>0</v>
      </c>
      <c r="D14" s="20">
        <v>0</v>
      </c>
      <c r="E14" s="30">
        <v>1500</v>
      </c>
      <c r="F14" s="31">
        <v>2239</v>
      </c>
      <c r="G14" s="20">
        <v>1500</v>
      </c>
      <c r="H14" s="38"/>
    </row>
    <row r="15" spans="1:8" ht="15">
      <c r="A15" s="211">
        <v>1.2</v>
      </c>
      <c r="B15" s="38" t="s">
        <v>646</v>
      </c>
      <c r="C15" s="20">
        <v>350</v>
      </c>
      <c r="D15" s="20">
        <v>349</v>
      </c>
      <c r="E15" s="30">
        <v>400</v>
      </c>
      <c r="F15" s="31">
        <v>2232</v>
      </c>
      <c r="G15" s="20">
        <v>350</v>
      </c>
      <c r="H15" s="38"/>
    </row>
    <row r="16" spans="1:8" ht="15">
      <c r="A16" s="212" t="s">
        <v>231</v>
      </c>
      <c r="B16" s="38" t="s">
        <v>647</v>
      </c>
      <c r="C16" s="20">
        <v>50</v>
      </c>
      <c r="D16" s="20">
        <v>50</v>
      </c>
      <c r="E16" s="30">
        <v>530</v>
      </c>
      <c r="F16" s="31">
        <v>2390</v>
      </c>
      <c r="G16" s="20"/>
      <c r="H16" s="38"/>
    </row>
    <row r="17" spans="1:8" ht="24">
      <c r="A17" s="211">
        <v>1.4</v>
      </c>
      <c r="B17" s="91" t="s">
        <v>648</v>
      </c>
      <c r="C17" s="20">
        <v>3000</v>
      </c>
      <c r="D17" s="20">
        <v>2989</v>
      </c>
      <c r="E17" s="30">
        <v>0</v>
      </c>
      <c r="F17" s="31">
        <v>5110</v>
      </c>
      <c r="G17" s="20"/>
      <c r="H17" s="38"/>
    </row>
    <row r="18" spans="1:8" ht="24">
      <c r="A18" s="213">
        <v>1.5</v>
      </c>
      <c r="B18" s="91" t="s">
        <v>649</v>
      </c>
      <c r="C18" s="79">
        <v>22719</v>
      </c>
      <c r="D18" s="79">
        <v>13515</v>
      </c>
      <c r="E18" s="70">
        <v>34200</v>
      </c>
      <c r="F18" s="71">
        <v>2239</v>
      </c>
      <c r="G18" s="79">
        <v>34200</v>
      </c>
      <c r="H18" s="51"/>
    </row>
    <row r="19" spans="1:8" ht="15">
      <c r="A19" s="211">
        <v>1.6</v>
      </c>
      <c r="B19" s="38" t="s">
        <v>650</v>
      </c>
      <c r="C19" s="173">
        <v>1000</v>
      </c>
      <c r="D19" s="173">
        <v>1000</v>
      </c>
      <c r="E19" s="173">
        <v>0</v>
      </c>
      <c r="F19" s="214">
        <v>2390</v>
      </c>
      <c r="G19" s="215"/>
      <c r="H19" s="74"/>
    </row>
    <row r="20" spans="1:8" ht="15" customHeight="1">
      <c r="A20" s="211">
        <v>1.7</v>
      </c>
      <c r="B20" s="38" t="s">
        <v>651</v>
      </c>
      <c r="C20" s="20">
        <v>2450</v>
      </c>
      <c r="D20" s="20">
        <v>2386</v>
      </c>
      <c r="E20" s="30">
        <v>0</v>
      </c>
      <c r="F20" s="31">
        <v>5239</v>
      </c>
      <c r="G20" s="20"/>
      <c r="H20" s="38"/>
    </row>
    <row r="21" spans="1:8" ht="24.75">
      <c r="A21" s="208">
        <v>2</v>
      </c>
      <c r="B21" s="209" t="s">
        <v>652</v>
      </c>
      <c r="C21" s="210">
        <f>SUM(C22:C25)</f>
        <v>27167</v>
      </c>
      <c r="D21" s="210">
        <f>SUM(D22:D25)</f>
        <v>14255</v>
      </c>
      <c r="E21" s="210">
        <f>SUM(E22:E25)</f>
        <v>64437</v>
      </c>
      <c r="F21" s="210"/>
      <c r="G21" s="210">
        <f>SUM(G22:G25)</f>
        <v>74237</v>
      </c>
      <c r="H21" s="537" t="s">
        <v>1615</v>
      </c>
    </row>
    <row r="22" spans="1:8" ht="15">
      <c r="A22" s="211">
        <v>2.1</v>
      </c>
      <c r="B22" s="216" t="s">
        <v>653</v>
      </c>
      <c r="C22" s="20">
        <v>11336</v>
      </c>
      <c r="D22" s="30">
        <v>0</v>
      </c>
      <c r="E22" s="20">
        <v>42720</v>
      </c>
      <c r="F22" s="31">
        <v>5234</v>
      </c>
      <c r="G22" s="20">
        <f>42720+10000</f>
        <v>52720</v>
      </c>
      <c r="H22" s="38"/>
    </row>
    <row r="23" spans="1:8" ht="24.75">
      <c r="A23" s="211">
        <v>2.2</v>
      </c>
      <c r="B23" s="216" t="s">
        <v>654</v>
      </c>
      <c r="C23" s="173">
        <v>4500</v>
      </c>
      <c r="D23" s="173">
        <v>3538</v>
      </c>
      <c r="E23" s="173">
        <v>10200</v>
      </c>
      <c r="F23" s="214">
        <v>5234</v>
      </c>
      <c r="G23" s="173">
        <v>10000</v>
      </c>
      <c r="H23" s="74"/>
    </row>
    <row r="24" spans="1:8" ht="15">
      <c r="A24" s="930">
        <v>2.3</v>
      </c>
      <c r="B24" s="931" t="s">
        <v>655</v>
      </c>
      <c r="C24" s="173">
        <v>4114</v>
      </c>
      <c r="D24" s="173">
        <v>3500</v>
      </c>
      <c r="E24" s="173">
        <v>4300</v>
      </c>
      <c r="F24" s="214">
        <v>2239</v>
      </c>
      <c r="G24" s="173">
        <v>4300</v>
      </c>
      <c r="H24" s="74"/>
    </row>
    <row r="25" spans="1:8" ht="15">
      <c r="A25" s="930"/>
      <c r="B25" s="931"/>
      <c r="C25" s="173">
        <v>7217</v>
      </c>
      <c r="D25" s="173">
        <v>7217</v>
      </c>
      <c r="E25" s="173">
        <v>7217</v>
      </c>
      <c r="F25" s="214">
        <v>5234</v>
      </c>
      <c r="G25" s="536">
        <v>7217</v>
      </c>
      <c r="H25" s="218"/>
    </row>
    <row r="26" spans="1:8" ht="24.75">
      <c r="A26" s="208">
        <v>3</v>
      </c>
      <c r="B26" s="209" t="s">
        <v>656</v>
      </c>
      <c r="C26" s="548">
        <f>SUM(C27:C28)</f>
        <v>10000</v>
      </c>
      <c r="D26" s="548">
        <f>SUM(D27:D28)</f>
        <v>3718</v>
      </c>
      <c r="E26" s="548">
        <f>SUM(E27:E28)</f>
        <v>14200</v>
      </c>
      <c r="F26" s="219"/>
      <c r="G26" s="548">
        <f>SUM(G27:G28)</f>
        <v>10900</v>
      </c>
      <c r="H26" s="537" t="s">
        <v>1519</v>
      </c>
    </row>
    <row r="27" spans="1:8" ht="15">
      <c r="A27" s="213">
        <v>3.1</v>
      </c>
      <c r="B27" s="221" t="s">
        <v>657</v>
      </c>
      <c r="C27" s="223">
        <v>6500</v>
      </c>
      <c r="D27" s="223">
        <v>3718</v>
      </c>
      <c r="E27" s="223">
        <v>7400</v>
      </c>
      <c r="F27" s="224">
        <v>2212</v>
      </c>
      <c r="G27" s="223">
        <v>7400</v>
      </c>
      <c r="H27" s="222"/>
    </row>
    <row r="28" spans="1:8" ht="15">
      <c r="A28" s="211">
        <v>3.2</v>
      </c>
      <c r="B28" s="225" t="s">
        <v>658</v>
      </c>
      <c r="C28" s="226">
        <v>3500</v>
      </c>
      <c r="D28" s="226">
        <v>0</v>
      </c>
      <c r="E28" s="226">
        <v>6800</v>
      </c>
      <c r="F28" s="214">
        <v>2212</v>
      </c>
      <c r="G28" s="226">
        <v>3500</v>
      </c>
      <c r="H28" s="220"/>
    </row>
    <row r="29" spans="1:8" ht="24.75">
      <c r="A29" s="208">
        <v>4</v>
      </c>
      <c r="B29" s="209" t="s">
        <v>659</v>
      </c>
      <c r="C29" s="548">
        <f>SUM(C30:C31)</f>
        <v>8769</v>
      </c>
      <c r="D29" s="548">
        <f>SUM(D30:D31)</f>
        <v>7204</v>
      </c>
      <c r="E29" s="548">
        <f>SUM(E30:E31)</f>
        <v>14395</v>
      </c>
      <c r="F29" s="219"/>
      <c r="G29" s="548">
        <f>SUM(G30:G31)</f>
        <v>17845</v>
      </c>
      <c r="H29" s="537" t="s">
        <v>1518</v>
      </c>
    </row>
    <row r="30" spans="1:8" ht="15">
      <c r="A30" s="211">
        <v>4.1</v>
      </c>
      <c r="B30" s="225" t="s">
        <v>660</v>
      </c>
      <c r="C30" s="226">
        <v>3049</v>
      </c>
      <c r="D30" s="226">
        <v>2803</v>
      </c>
      <c r="E30" s="226">
        <v>2845</v>
      </c>
      <c r="F30" s="214">
        <v>2239</v>
      </c>
      <c r="G30" s="226">
        <v>2845</v>
      </c>
      <c r="H30" s="220"/>
    </row>
    <row r="31" spans="1:8" ht="15">
      <c r="A31" s="211">
        <v>4.2</v>
      </c>
      <c r="B31" s="225" t="s">
        <v>661</v>
      </c>
      <c r="C31" s="226">
        <v>5720</v>
      </c>
      <c r="D31" s="226">
        <v>4401</v>
      </c>
      <c r="E31" s="226">
        <v>11550</v>
      </c>
      <c r="F31" s="214">
        <v>2219</v>
      </c>
      <c r="G31" s="226">
        <v>15000</v>
      </c>
      <c r="H31" s="220"/>
    </row>
    <row r="32" spans="1:8" ht="15">
      <c r="A32" s="208">
        <v>5</v>
      </c>
      <c r="B32" s="209" t="s">
        <v>662</v>
      </c>
      <c r="C32" s="548">
        <f>C33</f>
        <v>336</v>
      </c>
      <c r="D32" s="548">
        <f>D33</f>
        <v>335</v>
      </c>
      <c r="E32" s="548">
        <f>E33</f>
        <v>500</v>
      </c>
      <c r="F32" s="219"/>
      <c r="G32" s="548">
        <f>G33</f>
        <v>500</v>
      </c>
      <c r="H32" s="220"/>
    </row>
    <row r="33" spans="1:8" ht="15">
      <c r="A33" s="227">
        <v>5.1</v>
      </c>
      <c r="B33" s="216" t="s">
        <v>663</v>
      </c>
      <c r="C33" s="226">
        <v>336</v>
      </c>
      <c r="D33" s="226">
        <v>335</v>
      </c>
      <c r="E33" s="226">
        <v>500</v>
      </c>
      <c r="F33" s="214">
        <v>2231</v>
      </c>
      <c r="G33" s="226">
        <v>500</v>
      </c>
      <c r="H33" s="220"/>
    </row>
    <row r="34" spans="1:8" ht="15">
      <c r="A34" s="932">
        <v>6</v>
      </c>
      <c r="B34" s="934" t="s">
        <v>664</v>
      </c>
      <c r="C34" s="226">
        <v>891</v>
      </c>
      <c r="D34" s="226">
        <v>891</v>
      </c>
      <c r="E34" s="226">
        <v>5700</v>
      </c>
      <c r="F34" s="214">
        <v>2239</v>
      </c>
      <c r="G34" s="226">
        <v>5700</v>
      </c>
      <c r="H34" s="220"/>
    </row>
    <row r="35" spans="1:8" ht="12.75" customHeight="1">
      <c r="A35" s="933"/>
      <c r="B35" s="935"/>
      <c r="C35" s="226">
        <v>6482</v>
      </c>
      <c r="D35" s="226">
        <v>6160</v>
      </c>
      <c r="E35" s="226">
        <v>3377</v>
      </c>
      <c r="F35" s="214">
        <v>2231</v>
      </c>
      <c r="G35" s="226">
        <v>3377</v>
      </c>
      <c r="H35" s="220"/>
    </row>
    <row r="36" spans="1:8" ht="12" customHeight="1">
      <c r="A36" s="933"/>
      <c r="B36" s="935"/>
      <c r="C36" s="226">
        <v>461</v>
      </c>
      <c r="D36" s="226">
        <v>461</v>
      </c>
      <c r="E36" s="226">
        <v>461</v>
      </c>
      <c r="F36" s="214">
        <v>2279</v>
      </c>
      <c r="G36" s="226">
        <v>461</v>
      </c>
      <c r="H36" s="220"/>
    </row>
    <row r="37" spans="1:8" ht="12.75" customHeight="1">
      <c r="A37" s="933"/>
      <c r="B37" s="935"/>
      <c r="C37" s="226">
        <v>2264</v>
      </c>
      <c r="D37" s="226">
        <v>2238</v>
      </c>
      <c r="E37" s="226">
        <v>1000</v>
      </c>
      <c r="F37" s="214">
        <v>2390</v>
      </c>
      <c r="G37" s="226">
        <v>1000</v>
      </c>
      <c r="H37" s="220"/>
    </row>
    <row r="38" spans="1:8" ht="12.75" customHeight="1">
      <c r="A38" s="933"/>
      <c r="B38" s="935"/>
      <c r="C38" s="226">
        <v>1208</v>
      </c>
      <c r="D38" s="226">
        <v>1208</v>
      </c>
      <c r="E38" s="226">
        <v>994</v>
      </c>
      <c r="F38" s="214">
        <v>2264</v>
      </c>
      <c r="G38" s="226">
        <v>994</v>
      </c>
      <c r="H38" s="220"/>
    </row>
    <row r="39" spans="1:8" ht="24.75">
      <c r="A39" s="228">
        <v>7</v>
      </c>
      <c r="B39" s="229" t="s">
        <v>665</v>
      </c>
      <c r="C39" s="548">
        <f>SUM(C40:C48)</f>
        <v>30854</v>
      </c>
      <c r="D39" s="548">
        <f>SUM(D40:D48)</f>
        <v>13463</v>
      </c>
      <c r="E39" s="548">
        <f>SUM(E40:E48)</f>
        <v>36832</v>
      </c>
      <c r="F39" s="219"/>
      <c r="G39" s="548">
        <f>SUM(G40:G48)</f>
        <v>20100</v>
      </c>
      <c r="H39" s="537" t="s">
        <v>1517</v>
      </c>
    </row>
    <row r="40" spans="1:8" ht="15">
      <c r="A40" s="230">
        <v>7.1</v>
      </c>
      <c r="B40" s="225" t="s">
        <v>666</v>
      </c>
      <c r="C40" s="226">
        <v>1300</v>
      </c>
      <c r="D40" s="226">
        <v>1300</v>
      </c>
      <c r="E40" s="226">
        <v>1300</v>
      </c>
      <c r="F40" s="214">
        <v>2231</v>
      </c>
      <c r="G40" s="226">
        <v>1300</v>
      </c>
      <c r="H40" s="220"/>
    </row>
    <row r="41" spans="1:8" ht="15">
      <c r="A41" s="936">
        <v>7.2</v>
      </c>
      <c r="B41" s="937" t="s">
        <v>667</v>
      </c>
      <c r="C41" s="536">
        <v>3700</v>
      </c>
      <c r="D41" s="536">
        <v>2542</v>
      </c>
      <c r="E41" s="536">
        <v>3700</v>
      </c>
      <c r="F41" s="214">
        <v>2279</v>
      </c>
      <c r="G41" s="536">
        <v>3700</v>
      </c>
      <c r="H41" s="231"/>
    </row>
    <row r="42" spans="1:8" ht="15">
      <c r="A42" s="936"/>
      <c r="B42" s="937"/>
      <c r="C42" s="536">
        <v>3600</v>
      </c>
      <c r="D42" s="536">
        <v>3599</v>
      </c>
      <c r="E42" s="536">
        <v>3600</v>
      </c>
      <c r="F42" s="214">
        <v>5130</v>
      </c>
      <c r="G42" s="536">
        <v>3600</v>
      </c>
      <c r="H42" s="218"/>
    </row>
    <row r="43" spans="1:8" ht="15">
      <c r="A43" s="936"/>
      <c r="B43" s="937"/>
      <c r="C43" s="536">
        <v>6732</v>
      </c>
      <c r="D43" s="536">
        <v>0</v>
      </c>
      <c r="E43" s="536">
        <v>4732</v>
      </c>
      <c r="F43" s="214">
        <v>2239</v>
      </c>
      <c r="G43" s="549"/>
      <c r="H43" s="218"/>
    </row>
    <row r="44" spans="1:8" ht="24.75">
      <c r="A44" s="211">
        <v>7.3</v>
      </c>
      <c r="B44" s="225" t="s">
        <v>668</v>
      </c>
      <c r="C44" s="226">
        <v>1500</v>
      </c>
      <c r="D44" s="226">
        <v>1500</v>
      </c>
      <c r="E44" s="226">
        <v>1500</v>
      </c>
      <c r="F44" s="214">
        <v>2231</v>
      </c>
      <c r="G44" s="226">
        <v>1500</v>
      </c>
      <c r="H44" s="220"/>
    </row>
    <row r="45" spans="1:8" ht="15">
      <c r="A45" s="211">
        <v>7.4</v>
      </c>
      <c r="B45" s="225" t="s">
        <v>669</v>
      </c>
      <c r="C45" s="226">
        <v>1980</v>
      </c>
      <c r="D45" s="226">
        <v>1980</v>
      </c>
      <c r="E45" s="226">
        <v>0</v>
      </c>
      <c r="F45" s="214">
        <v>5239</v>
      </c>
      <c r="G45" s="226"/>
      <c r="H45" s="220"/>
    </row>
    <row r="46" spans="1:8" ht="15">
      <c r="A46" s="211">
        <v>7.5</v>
      </c>
      <c r="B46" s="225" t="s">
        <v>477</v>
      </c>
      <c r="C46" s="226">
        <v>2000</v>
      </c>
      <c r="D46" s="226">
        <v>2000</v>
      </c>
      <c r="E46" s="226">
        <v>2000</v>
      </c>
      <c r="F46" s="214">
        <v>1150</v>
      </c>
      <c r="G46" s="226"/>
      <c r="H46" s="220"/>
    </row>
    <row r="47" spans="1:8" ht="15">
      <c r="A47" s="211">
        <v>7.6</v>
      </c>
      <c r="B47" s="225" t="s">
        <v>670</v>
      </c>
      <c r="C47" s="226">
        <v>9500</v>
      </c>
      <c r="D47" s="226">
        <v>0</v>
      </c>
      <c r="E47" s="226">
        <v>20000</v>
      </c>
      <c r="F47" s="214">
        <v>2239</v>
      </c>
      <c r="G47" s="226">
        <v>10000</v>
      </c>
      <c r="H47" s="220"/>
    </row>
    <row r="48" spans="1:8" ht="15">
      <c r="A48" s="211">
        <v>7.7</v>
      </c>
      <c r="B48" s="225" t="s">
        <v>1101</v>
      </c>
      <c r="C48" s="327">
        <v>542</v>
      </c>
      <c r="D48" s="327">
        <v>542</v>
      </c>
      <c r="E48" s="327"/>
      <c r="F48" s="224">
        <v>5239</v>
      </c>
      <c r="G48" s="327"/>
      <c r="H48" s="326"/>
    </row>
    <row r="49" spans="1:8" ht="24">
      <c r="A49" s="228">
        <v>8</v>
      </c>
      <c r="B49" s="232" t="s">
        <v>671</v>
      </c>
      <c r="C49" s="79">
        <v>11334</v>
      </c>
      <c r="D49" s="79">
        <v>11334</v>
      </c>
      <c r="E49" s="79">
        <v>20000</v>
      </c>
      <c r="F49" s="448">
        <v>6423</v>
      </c>
      <c r="G49" s="79"/>
      <c r="H49" s="52"/>
    </row>
    <row r="50" spans="1:8" ht="24">
      <c r="A50" s="233">
        <v>9</v>
      </c>
      <c r="B50" s="234" t="s">
        <v>654</v>
      </c>
      <c r="C50" s="235">
        <v>52561</v>
      </c>
      <c r="D50" s="235">
        <v>52561</v>
      </c>
      <c r="E50" s="235">
        <v>0</v>
      </c>
      <c r="F50" s="237">
        <v>2239</v>
      </c>
      <c r="G50" s="235"/>
      <c r="H50" s="537"/>
    </row>
    <row r="51" spans="1:8" ht="15">
      <c r="A51" s="233"/>
      <c r="B51" s="234"/>
      <c r="C51" s="235"/>
      <c r="D51" s="235"/>
      <c r="E51" s="235"/>
      <c r="F51" s="237"/>
      <c r="G51" s="235"/>
      <c r="H51" s="236"/>
    </row>
    <row r="53" spans="1:8" ht="15">
      <c r="A53" s="3" t="s">
        <v>19</v>
      </c>
      <c r="C53" s="806" t="s">
        <v>1400</v>
      </c>
      <c r="D53" s="806"/>
      <c r="E53" s="806"/>
      <c r="F53" s="806"/>
      <c r="G53" s="806"/>
      <c r="H53" s="806"/>
    </row>
    <row r="54" spans="1:8" ht="15">
      <c r="A54" s="3" t="s">
        <v>5</v>
      </c>
      <c r="C54" s="806" t="s">
        <v>672</v>
      </c>
      <c r="D54" s="806"/>
      <c r="E54" s="806"/>
      <c r="F54" s="806"/>
      <c r="G54" s="806"/>
      <c r="H54" s="806"/>
    </row>
    <row r="55" spans="1:8" ht="36.75">
      <c r="A55" s="892" t="s">
        <v>7</v>
      </c>
      <c r="B55" s="803" t="s">
        <v>8</v>
      </c>
      <c r="C55" s="803" t="s">
        <v>9</v>
      </c>
      <c r="D55" s="803" t="s">
        <v>936</v>
      </c>
      <c r="E55" s="803" t="s">
        <v>10</v>
      </c>
      <c r="F55" s="4" t="s">
        <v>11</v>
      </c>
      <c r="G55" s="4" t="s">
        <v>12</v>
      </c>
      <c r="H55" s="803" t="s">
        <v>13</v>
      </c>
    </row>
    <row r="56" spans="1:8" ht="36">
      <c r="A56" s="892"/>
      <c r="B56" s="803"/>
      <c r="C56" s="803"/>
      <c r="D56" s="803"/>
      <c r="E56" s="803"/>
      <c r="F56" s="5" t="s">
        <v>14</v>
      </c>
      <c r="G56" s="5" t="s">
        <v>15</v>
      </c>
      <c r="H56" s="803"/>
    </row>
    <row r="57" spans="1:8" ht="15">
      <c r="A57" s="924" t="s">
        <v>16</v>
      </c>
      <c r="B57" s="925"/>
      <c r="C57" s="169">
        <f>C58</f>
        <v>11500</v>
      </c>
      <c r="D57" s="169">
        <f>D58</f>
        <v>11500</v>
      </c>
      <c r="E57" s="169">
        <f>E58</f>
        <v>0</v>
      </c>
      <c r="F57" s="169"/>
      <c r="G57" s="169">
        <f>G58</f>
        <v>0</v>
      </c>
      <c r="H57" s="537"/>
    </row>
    <row r="58" spans="1:8" ht="15">
      <c r="A58" s="217">
        <v>1</v>
      </c>
      <c r="B58" s="220" t="s">
        <v>673</v>
      </c>
      <c r="C58" s="226">
        <v>11500</v>
      </c>
      <c r="D58" s="226">
        <v>11500</v>
      </c>
      <c r="E58" s="220">
        <v>0</v>
      </c>
      <c r="F58" s="214">
        <v>2279</v>
      </c>
      <c r="G58" s="548"/>
      <c r="H58" s="541"/>
    </row>
    <row r="59" spans="1:8" ht="24.75">
      <c r="A59" s="784" t="s">
        <v>17</v>
      </c>
      <c r="B59" s="785"/>
      <c r="C59" s="13">
        <f>C57+C11</f>
        <v>194896</v>
      </c>
      <c r="D59" s="13">
        <f>D57+D11</f>
        <v>145617</v>
      </c>
      <c r="E59" s="13">
        <f>E57+E11</f>
        <v>198526</v>
      </c>
      <c r="F59" s="13"/>
      <c r="G59" s="13">
        <f>G57+G11</f>
        <v>171164</v>
      </c>
      <c r="H59" s="540" t="s">
        <v>1616</v>
      </c>
    </row>
    <row r="60" ht="15"/>
    <row r="61" ht="15"/>
    <row r="62" ht="15"/>
    <row r="63" ht="15"/>
    <row r="64" ht="15"/>
    <row r="65" ht="15"/>
    <row r="66" ht="15"/>
    <row r="67" ht="15"/>
    <row r="68" ht="15"/>
    <row r="84" ht="12" customHeight="1"/>
    <row r="86" ht="12" customHeight="1"/>
    <row r="87" ht="12" customHeight="1"/>
    <row r="88" ht="12" customHeight="1"/>
  </sheetData>
  <sheetProtection/>
  <mergeCells count="30">
    <mergeCell ref="A57:B57"/>
    <mergeCell ref="A59:B59"/>
    <mergeCell ref="A55:A56"/>
    <mergeCell ref="B55:B56"/>
    <mergeCell ref="C55:C56"/>
    <mergeCell ref="D55:D56"/>
    <mergeCell ref="E55:E56"/>
    <mergeCell ref="H55:H56"/>
    <mergeCell ref="A34:A38"/>
    <mergeCell ref="B34:B38"/>
    <mergeCell ref="A41:A43"/>
    <mergeCell ref="B41:B43"/>
    <mergeCell ref="C53:H53"/>
    <mergeCell ref="C54:H54"/>
    <mergeCell ref="A11:B11"/>
    <mergeCell ref="A13:A14"/>
    <mergeCell ref="B13:B14"/>
    <mergeCell ref="A24:A25"/>
    <mergeCell ref="B24:B25"/>
    <mergeCell ref="A9:A10"/>
    <mergeCell ref="B9:B10"/>
    <mergeCell ref="C4:H4"/>
    <mergeCell ref="A5:H5"/>
    <mergeCell ref="C6:H6"/>
    <mergeCell ref="C7:H7"/>
    <mergeCell ref="C8:H8"/>
    <mergeCell ref="H9:H10"/>
    <mergeCell ref="C9:C10"/>
    <mergeCell ref="D9:D10"/>
    <mergeCell ref="E9:E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sheetPr>
    <tabColor rgb="FFFF66FF"/>
    <pageSetUpPr fitToPage="1"/>
  </sheetPr>
  <dimension ref="A1:AB284"/>
  <sheetViews>
    <sheetView zoomScalePageLayoutView="0" workbookViewId="0" topLeftCell="A212">
      <selection activeCell="B277" sqref="B277"/>
    </sheetView>
  </sheetViews>
  <sheetFormatPr defaultColWidth="9.140625" defaultRowHeight="15"/>
  <cols>
    <col min="1" max="1" width="5.7109375" style="253" customWidth="1"/>
    <col min="2" max="2" width="26.8515625" style="39" customWidth="1"/>
    <col min="3" max="3" width="11.28125" style="39" customWidth="1"/>
    <col min="4" max="4" width="9.140625" style="39" customWidth="1"/>
    <col min="5" max="5" width="10.00390625" style="39" customWidth="1"/>
    <col min="6" max="6" width="10.421875" style="39" customWidth="1"/>
    <col min="7" max="7" width="10.57421875" style="93" customWidth="1"/>
    <col min="8" max="8" width="9.140625" style="39" customWidth="1"/>
    <col min="9" max="9" width="18.00390625" style="254" customWidth="1"/>
    <col min="29" max="16384" width="9.140625" style="39" customWidth="1"/>
  </cols>
  <sheetData>
    <row r="1" spans="1:28" s="730" customFormat="1" ht="15.75">
      <c r="A1" s="729"/>
      <c r="G1" s="731"/>
      <c r="I1" s="726" t="s">
        <v>1643</v>
      </c>
      <c r="J1"/>
      <c r="K1"/>
      <c r="L1"/>
      <c r="M1"/>
      <c r="N1"/>
      <c r="O1"/>
      <c r="P1"/>
      <c r="Q1"/>
      <c r="R1"/>
      <c r="S1"/>
      <c r="T1"/>
      <c r="U1"/>
      <c r="V1"/>
      <c r="W1"/>
      <c r="X1"/>
      <c r="Y1"/>
      <c r="Z1"/>
      <c r="AA1"/>
      <c r="AB1"/>
    </row>
    <row r="2" spans="1:28" s="730" customFormat="1" ht="15.75">
      <c r="A2" s="729"/>
      <c r="G2" s="731"/>
      <c r="I2" s="726" t="s">
        <v>1627</v>
      </c>
      <c r="J2"/>
      <c r="K2"/>
      <c r="L2"/>
      <c r="M2"/>
      <c r="N2"/>
      <c r="O2"/>
      <c r="P2"/>
      <c r="Q2"/>
      <c r="R2"/>
      <c r="S2"/>
      <c r="T2"/>
      <c r="U2"/>
      <c r="V2"/>
      <c r="W2"/>
      <c r="X2"/>
      <c r="Y2"/>
      <c r="Z2"/>
      <c r="AA2"/>
      <c r="AB2"/>
    </row>
    <row r="3" spans="1:28" s="730" customFormat="1" ht="15.75">
      <c r="A3" s="729"/>
      <c r="G3" s="731"/>
      <c r="I3" s="726" t="s">
        <v>1628</v>
      </c>
      <c r="J3"/>
      <c r="K3"/>
      <c r="L3"/>
      <c r="M3"/>
      <c r="N3"/>
      <c r="O3"/>
      <c r="P3"/>
      <c r="Q3"/>
      <c r="R3"/>
      <c r="S3"/>
      <c r="T3"/>
      <c r="U3"/>
      <c r="V3"/>
      <c r="W3"/>
      <c r="X3"/>
      <c r="Y3"/>
      <c r="Z3"/>
      <c r="AA3"/>
      <c r="AB3"/>
    </row>
    <row r="4" spans="1:9" ht="15">
      <c r="A4" s="238" t="s">
        <v>18</v>
      </c>
      <c r="B4" s="42"/>
      <c r="C4" s="946" t="s">
        <v>1</v>
      </c>
      <c r="D4" s="946"/>
      <c r="E4" s="946"/>
      <c r="F4" s="946"/>
      <c r="G4" s="946"/>
      <c r="H4" s="946"/>
      <c r="I4" s="946"/>
    </row>
    <row r="5" spans="1:9" ht="16.5">
      <c r="A5" s="947" t="s">
        <v>2</v>
      </c>
      <c r="B5" s="947"/>
      <c r="C5" s="947"/>
      <c r="D5" s="947"/>
      <c r="E5" s="947"/>
      <c r="F5" s="947"/>
      <c r="G5" s="947"/>
      <c r="H5" s="947"/>
      <c r="I5" s="947"/>
    </row>
    <row r="6" spans="1:9" ht="15">
      <c r="A6" s="238" t="s">
        <v>3</v>
      </c>
      <c r="B6" s="96"/>
      <c r="C6" s="946" t="s">
        <v>675</v>
      </c>
      <c r="D6" s="946"/>
      <c r="E6" s="946"/>
      <c r="F6" s="946"/>
      <c r="G6" s="946"/>
      <c r="H6" s="946"/>
      <c r="I6" s="946"/>
    </row>
    <row r="7" spans="1:9" ht="15">
      <c r="A7" s="238" t="s">
        <v>19</v>
      </c>
      <c r="B7" s="96"/>
      <c r="C7" s="801" t="s">
        <v>676</v>
      </c>
      <c r="D7" s="801"/>
      <c r="E7" s="801"/>
      <c r="F7" s="801"/>
      <c r="G7" s="801"/>
      <c r="H7" s="801"/>
      <c r="I7" s="801"/>
    </row>
    <row r="8" spans="1:9" ht="15">
      <c r="A8" s="238" t="s">
        <v>20</v>
      </c>
      <c r="B8" s="96"/>
      <c r="C8" s="801" t="s">
        <v>98</v>
      </c>
      <c r="D8" s="801"/>
      <c r="E8" s="801"/>
      <c r="F8" s="801"/>
      <c r="G8" s="801"/>
      <c r="H8" s="801"/>
      <c r="I8" s="801"/>
    </row>
    <row r="9" spans="1:9" ht="36.75">
      <c r="A9" s="948" t="s">
        <v>7</v>
      </c>
      <c r="B9" s="938" t="s">
        <v>8</v>
      </c>
      <c r="C9" s="938" t="s">
        <v>9</v>
      </c>
      <c r="D9" s="938" t="s">
        <v>936</v>
      </c>
      <c r="E9" s="938" t="s">
        <v>10</v>
      </c>
      <c r="F9" s="938" t="s">
        <v>10</v>
      </c>
      <c r="G9" s="40" t="s">
        <v>11</v>
      </c>
      <c r="H9" s="40" t="s">
        <v>12</v>
      </c>
      <c r="I9" s="789" t="s">
        <v>13</v>
      </c>
    </row>
    <row r="10" spans="1:9" ht="36">
      <c r="A10" s="948"/>
      <c r="B10" s="938"/>
      <c r="C10" s="938"/>
      <c r="D10" s="938"/>
      <c r="E10" s="938"/>
      <c r="F10" s="938"/>
      <c r="G10" s="239" t="s">
        <v>14</v>
      </c>
      <c r="H10" s="239" t="s">
        <v>15</v>
      </c>
      <c r="I10" s="791"/>
    </row>
    <row r="11" spans="1:9" ht="15">
      <c r="A11" s="939" t="s">
        <v>16</v>
      </c>
      <c r="B11" s="939"/>
      <c r="C11" s="210">
        <f>C12+C210+C282</f>
        <v>278938</v>
      </c>
      <c r="D11" s="210">
        <f>D12+D210+D282</f>
        <v>276420</v>
      </c>
      <c r="E11" s="210">
        <f>E12+E210+E282</f>
        <v>533927</v>
      </c>
      <c r="F11" s="210">
        <f>F12+F210+F282</f>
        <v>393906</v>
      </c>
      <c r="G11" s="240"/>
      <c r="H11" s="210">
        <f>H12+H210+H282</f>
        <v>348295</v>
      </c>
      <c r="I11" s="537" t="s">
        <v>1617</v>
      </c>
    </row>
    <row r="12" spans="1:9" ht="15">
      <c r="A12" s="940" t="s">
        <v>677</v>
      </c>
      <c r="B12" s="941"/>
      <c r="C12" s="32">
        <f>C13+C31+C43+C54+C57+C63+C76+C83+C90+C99+C110+C121+C124+C127+C132+C138+C147+C163+C167+C189+C196+C202</f>
        <v>150999</v>
      </c>
      <c r="D12" s="32">
        <f>D13+D31+D43+D54+D57+D63+D76+D83+D90+D99+D110+D121+D124+D127+D132+D138+D147+D163+D167+D189+D196+D202</f>
        <v>149034</v>
      </c>
      <c r="E12" s="32">
        <f>E13+E31+E43+E54+E57+E63+E76+E83+E90+E99+E110+E121+E124+E127+E132+E138+E147+E163+E167+E189+E196+E202</f>
        <v>200787</v>
      </c>
      <c r="F12" s="32">
        <f>F13+F31+F43+F54+F57+F63+F76+F83+F90+F99+F110+F121+F124+F127+F132+F138+F147+F163+F167+F189+F196+F202</f>
        <v>148155</v>
      </c>
      <c r="G12" s="53"/>
      <c r="H12" s="32">
        <f>H13+H31+H43+H54+H57+H63+H76+H83+H90+H99+H110+H121+H124+H127+H132+H138+H147+H163+H167+H189+H196+H202</f>
        <v>136860</v>
      </c>
      <c r="I12" s="537" t="s">
        <v>1618</v>
      </c>
    </row>
    <row r="13" spans="1:9" ht="15">
      <c r="A13" s="241">
        <v>1</v>
      </c>
      <c r="B13" s="33" t="s">
        <v>678</v>
      </c>
      <c r="C13" s="32">
        <f>SUM(C14:C30)</f>
        <v>30801</v>
      </c>
      <c r="D13" s="32">
        <f>SUM(D14:D30)</f>
        <v>30350</v>
      </c>
      <c r="E13" s="32">
        <f>SUM(E14:E30)</f>
        <v>3100</v>
      </c>
      <c r="F13" s="32">
        <f>SUM(F14:F30)</f>
        <v>3100</v>
      </c>
      <c r="G13" s="53"/>
      <c r="H13" s="32">
        <f>SUM(H14:H30)</f>
        <v>2600</v>
      </c>
      <c r="I13" s="537" t="s">
        <v>1521</v>
      </c>
    </row>
    <row r="14" spans="1:9" ht="15">
      <c r="A14" s="942">
        <v>1.1</v>
      </c>
      <c r="B14" s="808" t="s">
        <v>679</v>
      </c>
      <c r="C14" s="20">
        <v>11593</v>
      </c>
      <c r="D14" s="20">
        <v>11544</v>
      </c>
      <c r="E14" s="943">
        <v>0</v>
      </c>
      <c r="F14" s="30">
        <v>0</v>
      </c>
      <c r="G14" s="710">
        <v>2279</v>
      </c>
      <c r="H14" s="30"/>
      <c r="I14" s="37"/>
    </row>
    <row r="15" spans="1:9" ht="15">
      <c r="A15" s="942"/>
      <c r="B15" s="808"/>
      <c r="C15" s="20">
        <v>632</v>
      </c>
      <c r="D15" s="20">
        <v>632</v>
      </c>
      <c r="E15" s="944"/>
      <c r="F15" s="30">
        <v>0</v>
      </c>
      <c r="G15" s="710">
        <v>2390</v>
      </c>
      <c r="H15" s="30"/>
      <c r="I15" s="37"/>
    </row>
    <row r="16" spans="1:9" ht="15">
      <c r="A16" s="942"/>
      <c r="B16" s="808"/>
      <c r="C16" s="20">
        <v>3000</v>
      </c>
      <c r="D16" s="20">
        <v>3000</v>
      </c>
      <c r="E16" s="944"/>
      <c r="F16" s="30">
        <v>0</v>
      </c>
      <c r="G16" s="710">
        <v>2264</v>
      </c>
      <c r="H16" s="30"/>
      <c r="I16" s="37"/>
    </row>
    <row r="17" spans="1:9" ht="15">
      <c r="A17" s="942"/>
      <c r="B17" s="808"/>
      <c r="C17" s="20">
        <v>3573</v>
      </c>
      <c r="D17" s="20">
        <v>3571</v>
      </c>
      <c r="E17" s="944"/>
      <c r="F17" s="30">
        <v>0</v>
      </c>
      <c r="G17" s="710">
        <v>2262</v>
      </c>
      <c r="H17" s="30"/>
      <c r="I17" s="37"/>
    </row>
    <row r="18" spans="1:9" ht="15">
      <c r="A18" s="942"/>
      <c r="B18" s="808"/>
      <c r="C18" s="20">
        <v>2625</v>
      </c>
      <c r="D18" s="20">
        <v>2230</v>
      </c>
      <c r="E18" s="944"/>
      <c r="F18" s="30">
        <v>0</v>
      </c>
      <c r="G18" s="710">
        <v>2261</v>
      </c>
      <c r="H18" s="30"/>
      <c r="I18" s="37"/>
    </row>
    <row r="19" spans="1:9" ht="15">
      <c r="A19" s="942"/>
      <c r="B19" s="808"/>
      <c r="C19" s="20">
        <v>1912</v>
      </c>
      <c r="D19" s="20">
        <v>1912</v>
      </c>
      <c r="E19" s="944"/>
      <c r="F19" s="30">
        <v>0</v>
      </c>
      <c r="G19" s="710">
        <v>2264</v>
      </c>
      <c r="H19" s="30"/>
      <c r="I19" s="37"/>
    </row>
    <row r="20" spans="1:9" ht="15">
      <c r="A20" s="942"/>
      <c r="B20" s="808"/>
      <c r="C20" s="20">
        <v>415</v>
      </c>
      <c r="D20" s="20">
        <v>414</v>
      </c>
      <c r="E20" s="944"/>
      <c r="F20" s="30">
        <v>0</v>
      </c>
      <c r="G20" s="710">
        <v>2223</v>
      </c>
      <c r="H20" s="30"/>
      <c r="I20" s="37"/>
    </row>
    <row r="21" spans="1:9" ht="15">
      <c r="A21" s="942"/>
      <c r="B21" s="808"/>
      <c r="C21" s="20">
        <v>1201</v>
      </c>
      <c r="D21" s="20">
        <v>1200</v>
      </c>
      <c r="E21" s="944"/>
      <c r="F21" s="30">
        <v>0</v>
      </c>
      <c r="G21" s="710">
        <v>2246</v>
      </c>
      <c r="H21" s="30"/>
      <c r="I21" s="37"/>
    </row>
    <row r="22" spans="1:9" ht="15">
      <c r="A22" s="942"/>
      <c r="B22" s="808"/>
      <c r="C22" s="20">
        <v>3000</v>
      </c>
      <c r="D22" s="20">
        <v>3000</v>
      </c>
      <c r="E22" s="944"/>
      <c r="F22" s="30">
        <v>0</v>
      </c>
      <c r="G22" s="710">
        <v>2231</v>
      </c>
      <c r="H22" s="30"/>
      <c r="I22" s="37"/>
    </row>
    <row r="23" spans="1:9" ht="15">
      <c r="A23" s="942"/>
      <c r="B23" s="808"/>
      <c r="C23" s="25">
        <v>230</v>
      </c>
      <c r="D23" s="25">
        <v>229</v>
      </c>
      <c r="E23" s="945"/>
      <c r="F23" s="30">
        <v>0</v>
      </c>
      <c r="G23" s="710">
        <v>2269</v>
      </c>
      <c r="H23" s="32"/>
      <c r="I23" s="37" t="s">
        <v>680</v>
      </c>
    </row>
    <row r="24" spans="1:9" ht="15">
      <c r="A24" s="948">
        <v>1.2</v>
      </c>
      <c r="B24" s="795" t="s">
        <v>681</v>
      </c>
      <c r="C24" s="25">
        <v>1000</v>
      </c>
      <c r="D24" s="25">
        <v>1000</v>
      </c>
      <c r="E24" s="943">
        <v>2600</v>
      </c>
      <c r="F24" s="30">
        <v>1000</v>
      </c>
      <c r="G24" s="710">
        <v>2390</v>
      </c>
      <c r="H24" s="30">
        <v>1000</v>
      </c>
      <c r="I24" s="37" t="s">
        <v>230</v>
      </c>
    </row>
    <row r="25" spans="1:9" ht="15">
      <c r="A25" s="948"/>
      <c r="B25" s="796"/>
      <c r="C25" s="25">
        <v>400</v>
      </c>
      <c r="D25" s="25">
        <v>400</v>
      </c>
      <c r="E25" s="944"/>
      <c r="F25" s="30">
        <v>400</v>
      </c>
      <c r="G25" s="710">
        <v>2264</v>
      </c>
      <c r="H25" s="30">
        <v>400</v>
      </c>
      <c r="I25" s="37" t="s">
        <v>682</v>
      </c>
    </row>
    <row r="26" spans="1:9" ht="15">
      <c r="A26" s="948"/>
      <c r="B26" s="796"/>
      <c r="C26" s="25">
        <v>700</v>
      </c>
      <c r="D26" s="25">
        <v>700</v>
      </c>
      <c r="E26" s="944"/>
      <c r="F26" s="30">
        <v>700</v>
      </c>
      <c r="G26" s="710">
        <v>2279</v>
      </c>
      <c r="H26" s="30">
        <v>700</v>
      </c>
      <c r="I26" s="37" t="s">
        <v>683</v>
      </c>
    </row>
    <row r="27" spans="1:9" ht="15">
      <c r="A27" s="948"/>
      <c r="B27" s="796"/>
      <c r="C27" s="25">
        <v>400</v>
      </c>
      <c r="D27" s="25">
        <v>400</v>
      </c>
      <c r="E27" s="944"/>
      <c r="F27" s="30">
        <v>400</v>
      </c>
      <c r="G27" s="710">
        <v>2231</v>
      </c>
      <c r="H27" s="30">
        <v>400</v>
      </c>
      <c r="I27" s="37" t="s">
        <v>272</v>
      </c>
    </row>
    <row r="28" spans="1:9" ht="15">
      <c r="A28" s="948"/>
      <c r="B28" s="797"/>
      <c r="C28" s="25">
        <v>100</v>
      </c>
      <c r="D28" s="25">
        <v>100</v>
      </c>
      <c r="E28" s="945"/>
      <c r="F28" s="30">
        <v>100</v>
      </c>
      <c r="G28" s="710">
        <v>2390</v>
      </c>
      <c r="H28" s="30">
        <v>100</v>
      </c>
      <c r="I28" s="37" t="s">
        <v>684</v>
      </c>
    </row>
    <row r="29" spans="1:9" ht="15">
      <c r="A29" s="948">
        <v>1.3</v>
      </c>
      <c r="B29" s="808" t="s">
        <v>685</v>
      </c>
      <c r="C29" s="809">
        <v>20</v>
      </c>
      <c r="D29" s="809">
        <v>18</v>
      </c>
      <c r="E29" s="943">
        <v>500</v>
      </c>
      <c r="F29" s="20">
        <v>200</v>
      </c>
      <c r="G29" s="710">
        <v>2390</v>
      </c>
      <c r="H29" s="30"/>
      <c r="I29" s="37" t="s">
        <v>230</v>
      </c>
    </row>
    <row r="30" spans="1:9" ht="15">
      <c r="A30" s="948"/>
      <c r="B30" s="808"/>
      <c r="C30" s="809"/>
      <c r="D30" s="809"/>
      <c r="E30" s="945"/>
      <c r="F30" s="20">
        <v>300</v>
      </c>
      <c r="G30" s="710">
        <v>2361</v>
      </c>
      <c r="H30" s="30"/>
      <c r="I30" s="74" t="s">
        <v>686</v>
      </c>
    </row>
    <row r="31" spans="1:9" ht="15">
      <c r="A31" s="242">
        <v>2</v>
      </c>
      <c r="B31" s="33" t="s">
        <v>687</v>
      </c>
      <c r="C31" s="550">
        <f>SUM(C32:C42)</f>
        <v>4590</v>
      </c>
      <c r="D31" s="550">
        <f>SUM(D32:D42)</f>
        <v>4289</v>
      </c>
      <c r="E31" s="550">
        <f>SUM(E32:E42)</f>
        <v>4990</v>
      </c>
      <c r="F31" s="550">
        <f>SUM(F32:F42)</f>
        <v>4790</v>
      </c>
      <c r="G31" s="711"/>
      <c r="H31" s="550">
        <f>SUM(H32:H42)</f>
        <v>4290</v>
      </c>
      <c r="I31" s="537" t="s">
        <v>1522</v>
      </c>
    </row>
    <row r="32" spans="1:9" ht="15">
      <c r="A32" s="948">
        <v>2.1</v>
      </c>
      <c r="B32" s="808" t="s">
        <v>688</v>
      </c>
      <c r="C32" s="25">
        <v>2120</v>
      </c>
      <c r="D32" s="25">
        <v>2120</v>
      </c>
      <c r="E32" s="943">
        <v>4300</v>
      </c>
      <c r="F32" s="30">
        <v>2120</v>
      </c>
      <c r="G32" s="710">
        <v>2279</v>
      </c>
      <c r="H32" s="30">
        <v>2120</v>
      </c>
      <c r="I32" s="69" t="s">
        <v>689</v>
      </c>
    </row>
    <row r="33" spans="1:9" ht="15">
      <c r="A33" s="948"/>
      <c r="B33" s="808"/>
      <c r="C33" s="25">
        <v>200</v>
      </c>
      <c r="D33" s="25">
        <v>200</v>
      </c>
      <c r="E33" s="944"/>
      <c r="F33" s="30">
        <v>200</v>
      </c>
      <c r="G33" s="710">
        <v>2390</v>
      </c>
      <c r="H33" s="30">
        <v>200</v>
      </c>
      <c r="I33" s="37" t="s">
        <v>684</v>
      </c>
    </row>
    <row r="34" spans="1:9" ht="15">
      <c r="A34" s="948"/>
      <c r="B34" s="808"/>
      <c r="C34" s="25">
        <v>300</v>
      </c>
      <c r="D34" s="25">
        <v>300</v>
      </c>
      <c r="E34" s="944"/>
      <c r="F34" s="30">
        <v>300</v>
      </c>
      <c r="G34" s="710">
        <v>2264</v>
      </c>
      <c r="H34" s="30">
        <v>300</v>
      </c>
      <c r="I34" s="37" t="s">
        <v>682</v>
      </c>
    </row>
    <row r="35" spans="1:9" ht="15">
      <c r="A35" s="948"/>
      <c r="B35" s="808"/>
      <c r="C35" s="25">
        <v>500</v>
      </c>
      <c r="D35" s="25">
        <v>500</v>
      </c>
      <c r="E35" s="944"/>
      <c r="F35" s="30">
        <v>800</v>
      </c>
      <c r="G35" s="710">
        <v>2312</v>
      </c>
      <c r="H35" s="30">
        <v>500</v>
      </c>
      <c r="I35" s="37" t="s">
        <v>690</v>
      </c>
    </row>
    <row r="36" spans="1:9" ht="15">
      <c r="A36" s="948"/>
      <c r="B36" s="808"/>
      <c r="C36" s="25">
        <v>880</v>
      </c>
      <c r="D36" s="25">
        <v>880</v>
      </c>
      <c r="E36" s="945"/>
      <c r="F36" s="30">
        <v>880</v>
      </c>
      <c r="G36" s="710">
        <v>2262</v>
      </c>
      <c r="H36" s="30">
        <v>880</v>
      </c>
      <c r="I36" s="37" t="s">
        <v>691</v>
      </c>
    </row>
    <row r="37" spans="1:9" ht="15">
      <c r="A37" s="948">
        <v>2.2</v>
      </c>
      <c r="B37" s="808" t="s">
        <v>692</v>
      </c>
      <c r="C37" s="25">
        <v>100</v>
      </c>
      <c r="D37" s="25">
        <v>100</v>
      </c>
      <c r="E37" s="943">
        <v>290</v>
      </c>
      <c r="F37" s="30">
        <v>100</v>
      </c>
      <c r="G37" s="710">
        <v>2279</v>
      </c>
      <c r="H37" s="30">
        <v>100</v>
      </c>
      <c r="I37" s="37" t="s">
        <v>693</v>
      </c>
    </row>
    <row r="38" spans="1:9" ht="15">
      <c r="A38" s="948"/>
      <c r="B38" s="808"/>
      <c r="C38" s="25">
        <v>190</v>
      </c>
      <c r="D38" s="25">
        <v>189</v>
      </c>
      <c r="E38" s="945"/>
      <c r="F38" s="30">
        <v>190</v>
      </c>
      <c r="G38" s="710">
        <v>2390</v>
      </c>
      <c r="H38" s="30">
        <v>190</v>
      </c>
      <c r="I38" s="37" t="s">
        <v>230</v>
      </c>
    </row>
    <row r="39" spans="1:9" ht="15">
      <c r="A39" s="948">
        <v>2.3</v>
      </c>
      <c r="B39" s="808" t="s">
        <v>694</v>
      </c>
      <c r="C39" s="25">
        <v>200</v>
      </c>
      <c r="D39" s="25">
        <v>0</v>
      </c>
      <c r="E39" s="943">
        <v>0</v>
      </c>
      <c r="F39" s="30">
        <v>0</v>
      </c>
      <c r="G39" s="710">
        <v>2390</v>
      </c>
      <c r="H39" s="30"/>
      <c r="I39" s="37" t="s">
        <v>230</v>
      </c>
    </row>
    <row r="40" spans="1:9" ht="15">
      <c r="A40" s="948"/>
      <c r="B40" s="808"/>
      <c r="C40" s="25">
        <v>100</v>
      </c>
      <c r="D40" s="25">
        <v>0</v>
      </c>
      <c r="E40" s="945"/>
      <c r="F40" s="30">
        <v>0</v>
      </c>
      <c r="G40" s="710">
        <v>2279</v>
      </c>
      <c r="H40" s="30"/>
      <c r="I40" s="37" t="s">
        <v>693</v>
      </c>
    </row>
    <row r="41" spans="1:9" ht="15">
      <c r="A41" s="948">
        <v>2.4</v>
      </c>
      <c r="B41" s="808" t="s">
        <v>695</v>
      </c>
      <c r="C41" s="809">
        <v>0</v>
      </c>
      <c r="D41" s="809">
        <v>0</v>
      </c>
      <c r="E41" s="943">
        <v>400</v>
      </c>
      <c r="F41" s="30">
        <v>100</v>
      </c>
      <c r="G41" s="710">
        <v>2390</v>
      </c>
      <c r="H41" s="30"/>
      <c r="I41" s="37" t="s">
        <v>230</v>
      </c>
    </row>
    <row r="42" spans="1:9" ht="15">
      <c r="A42" s="948"/>
      <c r="B42" s="808"/>
      <c r="C42" s="809"/>
      <c r="D42" s="809"/>
      <c r="E42" s="945"/>
      <c r="F42" s="30">
        <v>100</v>
      </c>
      <c r="G42" s="710">
        <v>2279</v>
      </c>
      <c r="H42" s="30"/>
      <c r="I42" s="37" t="s">
        <v>693</v>
      </c>
    </row>
    <row r="43" spans="1:9" ht="15">
      <c r="A43" s="242">
        <v>3</v>
      </c>
      <c r="B43" s="33" t="s">
        <v>696</v>
      </c>
      <c r="C43" s="32">
        <f>SUM(C44:C53)</f>
        <v>1100</v>
      </c>
      <c r="D43" s="32">
        <f>SUM(D44:D53)</f>
        <v>1099</v>
      </c>
      <c r="E43" s="32">
        <f>SUM(E44:E53)</f>
        <v>1000</v>
      </c>
      <c r="F43" s="32">
        <f>SUM(F44:F53)</f>
        <v>1000</v>
      </c>
      <c r="G43" s="711"/>
      <c r="H43" s="32">
        <f>SUM(H44:H53)</f>
        <v>1000</v>
      </c>
      <c r="I43" s="537" t="s">
        <v>1523</v>
      </c>
    </row>
    <row r="44" spans="1:9" ht="15">
      <c r="A44" s="948">
        <v>3.1</v>
      </c>
      <c r="B44" s="949" t="s">
        <v>697</v>
      </c>
      <c r="C44" s="25">
        <v>100</v>
      </c>
      <c r="D44" s="25">
        <v>100</v>
      </c>
      <c r="E44" s="943">
        <v>650</v>
      </c>
      <c r="F44" s="30">
        <v>100</v>
      </c>
      <c r="G44" s="710">
        <v>2279</v>
      </c>
      <c r="H44" s="30">
        <v>100</v>
      </c>
      <c r="I44" s="37" t="s">
        <v>698</v>
      </c>
    </row>
    <row r="45" spans="1:9" ht="15">
      <c r="A45" s="948"/>
      <c r="B45" s="949"/>
      <c r="C45" s="25">
        <v>200</v>
      </c>
      <c r="D45" s="25">
        <v>199</v>
      </c>
      <c r="E45" s="944"/>
      <c r="F45" s="30">
        <v>200</v>
      </c>
      <c r="G45" s="710">
        <v>2390</v>
      </c>
      <c r="H45" s="30">
        <v>200</v>
      </c>
      <c r="I45" s="37" t="s">
        <v>230</v>
      </c>
    </row>
    <row r="46" spans="1:9" ht="15">
      <c r="A46" s="948"/>
      <c r="B46" s="949"/>
      <c r="C46" s="25">
        <v>100</v>
      </c>
      <c r="D46" s="25">
        <v>100</v>
      </c>
      <c r="E46" s="944"/>
      <c r="F46" s="30">
        <v>100</v>
      </c>
      <c r="G46" s="710">
        <v>2264</v>
      </c>
      <c r="H46" s="30">
        <v>100</v>
      </c>
      <c r="I46" s="37" t="s">
        <v>699</v>
      </c>
    </row>
    <row r="47" spans="1:9" ht="15">
      <c r="A47" s="948"/>
      <c r="B47" s="949"/>
      <c r="C47" s="25">
        <v>150</v>
      </c>
      <c r="D47" s="25">
        <v>150</v>
      </c>
      <c r="E47" s="944"/>
      <c r="F47" s="30">
        <v>0</v>
      </c>
      <c r="G47" s="710">
        <v>2264</v>
      </c>
      <c r="H47" s="30"/>
      <c r="I47" s="37" t="s">
        <v>700</v>
      </c>
    </row>
    <row r="48" spans="1:9" ht="15">
      <c r="A48" s="948"/>
      <c r="B48" s="949"/>
      <c r="C48" s="25">
        <v>100</v>
      </c>
      <c r="D48" s="25">
        <v>100</v>
      </c>
      <c r="E48" s="944"/>
      <c r="F48" s="30">
        <v>50</v>
      </c>
      <c r="G48" s="710">
        <v>2390</v>
      </c>
      <c r="H48" s="30">
        <v>50</v>
      </c>
      <c r="I48" s="37" t="s">
        <v>684</v>
      </c>
    </row>
    <row r="49" spans="1:9" ht="15">
      <c r="A49" s="948"/>
      <c r="B49" s="949"/>
      <c r="C49" s="25">
        <v>50</v>
      </c>
      <c r="D49" s="25">
        <v>50</v>
      </c>
      <c r="E49" s="945"/>
      <c r="F49" s="30">
        <v>200</v>
      </c>
      <c r="G49" s="710">
        <v>2262</v>
      </c>
      <c r="H49" s="30">
        <v>200</v>
      </c>
      <c r="I49" s="37" t="s">
        <v>691</v>
      </c>
    </row>
    <row r="50" spans="1:9" ht="15">
      <c r="A50" s="948">
        <v>3.2</v>
      </c>
      <c r="B50" s="949" t="s">
        <v>701</v>
      </c>
      <c r="C50" s="25">
        <v>100</v>
      </c>
      <c r="D50" s="25">
        <v>100</v>
      </c>
      <c r="E50" s="943">
        <v>350</v>
      </c>
      <c r="F50" s="30">
        <v>100</v>
      </c>
      <c r="G50" s="710">
        <v>2279</v>
      </c>
      <c r="H50" s="30">
        <v>100</v>
      </c>
      <c r="I50" s="37" t="s">
        <v>702</v>
      </c>
    </row>
    <row r="51" spans="1:9" ht="15">
      <c r="A51" s="948"/>
      <c r="B51" s="949"/>
      <c r="C51" s="25">
        <v>100</v>
      </c>
      <c r="D51" s="25">
        <v>100</v>
      </c>
      <c r="E51" s="944"/>
      <c r="F51" s="30">
        <v>100</v>
      </c>
      <c r="G51" s="710">
        <v>2390</v>
      </c>
      <c r="H51" s="30">
        <v>100</v>
      </c>
      <c r="I51" s="37" t="s">
        <v>230</v>
      </c>
    </row>
    <row r="52" spans="1:9" ht="15">
      <c r="A52" s="948"/>
      <c r="B52" s="949"/>
      <c r="C52" s="25">
        <v>100</v>
      </c>
      <c r="D52" s="25">
        <v>100</v>
      </c>
      <c r="E52" s="944"/>
      <c r="F52" s="30">
        <v>100</v>
      </c>
      <c r="G52" s="710">
        <v>2264</v>
      </c>
      <c r="H52" s="30">
        <v>100</v>
      </c>
      <c r="I52" s="37" t="s">
        <v>699</v>
      </c>
    </row>
    <row r="53" spans="1:9" ht="15">
      <c r="A53" s="948"/>
      <c r="B53" s="949"/>
      <c r="C53" s="25">
        <v>100</v>
      </c>
      <c r="D53" s="25">
        <v>100</v>
      </c>
      <c r="E53" s="945"/>
      <c r="F53" s="30">
        <v>50</v>
      </c>
      <c r="G53" s="710">
        <v>2390</v>
      </c>
      <c r="H53" s="30">
        <v>50</v>
      </c>
      <c r="I53" s="37" t="s">
        <v>684</v>
      </c>
    </row>
    <row r="54" spans="1:9" ht="15">
      <c r="A54" s="242">
        <v>4</v>
      </c>
      <c r="B54" s="33" t="s">
        <v>703</v>
      </c>
      <c r="C54" s="32">
        <f>SUM(C55:C56)</f>
        <v>7000</v>
      </c>
      <c r="D54" s="32">
        <f>SUM(D55:D56)</f>
        <v>7000</v>
      </c>
      <c r="E54" s="210">
        <f>SUM(E55:E56)</f>
        <v>23070</v>
      </c>
      <c r="F54" s="32">
        <f>SUM(F55:F56)</f>
        <v>8000</v>
      </c>
      <c r="G54" s="711"/>
      <c r="H54" s="32">
        <f>SUM(H55:H56)</f>
        <v>7000</v>
      </c>
      <c r="I54" s="537" t="s">
        <v>1522</v>
      </c>
    </row>
    <row r="55" spans="1:9" ht="24.75">
      <c r="A55" s="200">
        <v>4.1</v>
      </c>
      <c r="B55" s="38" t="s">
        <v>704</v>
      </c>
      <c r="C55" s="30">
        <v>4500</v>
      </c>
      <c r="D55" s="30">
        <v>4500</v>
      </c>
      <c r="E55" s="20">
        <v>17570</v>
      </c>
      <c r="F55" s="30">
        <v>5000</v>
      </c>
      <c r="G55" s="710">
        <v>2279</v>
      </c>
      <c r="H55" s="30">
        <v>4500</v>
      </c>
      <c r="I55" s="37" t="s">
        <v>705</v>
      </c>
    </row>
    <row r="56" spans="1:9" ht="12.75" customHeight="1">
      <c r="A56" s="200">
        <v>4.2</v>
      </c>
      <c r="B56" s="38" t="s">
        <v>706</v>
      </c>
      <c r="C56" s="30">
        <v>2500</v>
      </c>
      <c r="D56" s="30">
        <v>2500</v>
      </c>
      <c r="E56" s="20">
        <v>5500</v>
      </c>
      <c r="F56" s="30">
        <v>3000</v>
      </c>
      <c r="G56" s="710">
        <v>2279</v>
      </c>
      <c r="H56" s="30">
        <v>2500</v>
      </c>
      <c r="I56" s="37" t="s">
        <v>705</v>
      </c>
    </row>
    <row r="57" spans="1:9" ht="15">
      <c r="A57" s="242">
        <v>5</v>
      </c>
      <c r="B57" s="33" t="s">
        <v>707</v>
      </c>
      <c r="C57" s="32">
        <f>SUM(C58:C62)</f>
        <v>1250</v>
      </c>
      <c r="D57" s="32">
        <f>SUM(D58:D62)</f>
        <v>1246</v>
      </c>
      <c r="E57" s="210">
        <f>SUM(E58:E62)</f>
        <v>1250</v>
      </c>
      <c r="F57" s="32">
        <f>SUM(F58:F62)</f>
        <v>1250</v>
      </c>
      <c r="G57" s="712"/>
      <c r="H57" s="32">
        <f>SUM(H58:H62)</f>
        <v>1250</v>
      </c>
      <c r="I57" s="537" t="s">
        <v>1524</v>
      </c>
    </row>
    <row r="58" spans="1:9" ht="15">
      <c r="A58" s="948">
        <v>5.1</v>
      </c>
      <c r="B58" s="949" t="s">
        <v>708</v>
      </c>
      <c r="C58" s="25">
        <v>100</v>
      </c>
      <c r="D58" s="25">
        <v>98</v>
      </c>
      <c r="E58" s="943">
        <v>1250</v>
      </c>
      <c r="F58" s="30">
        <v>100</v>
      </c>
      <c r="G58" s="710">
        <v>2261</v>
      </c>
      <c r="H58" s="30">
        <v>100</v>
      </c>
      <c r="I58" s="37" t="s">
        <v>709</v>
      </c>
    </row>
    <row r="59" spans="1:9" ht="15">
      <c r="A59" s="948"/>
      <c r="B59" s="949"/>
      <c r="C59" s="25">
        <v>150</v>
      </c>
      <c r="D59" s="25">
        <v>150</v>
      </c>
      <c r="E59" s="944"/>
      <c r="F59" s="30">
        <v>150</v>
      </c>
      <c r="G59" s="710">
        <v>2264</v>
      </c>
      <c r="H59" s="30">
        <v>150</v>
      </c>
      <c r="I59" s="37" t="s">
        <v>700</v>
      </c>
    </row>
    <row r="60" spans="1:9" ht="15">
      <c r="A60" s="948"/>
      <c r="B60" s="949"/>
      <c r="C60" s="25">
        <v>300</v>
      </c>
      <c r="D60" s="25">
        <v>300</v>
      </c>
      <c r="E60" s="944"/>
      <c r="F60" s="30">
        <v>300</v>
      </c>
      <c r="G60" s="710">
        <v>2279</v>
      </c>
      <c r="H60" s="30">
        <v>300</v>
      </c>
      <c r="I60" s="37" t="s">
        <v>693</v>
      </c>
    </row>
    <row r="61" spans="1:9" ht="15">
      <c r="A61" s="948"/>
      <c r="B61" s="949"/>
      <c r="C61" s="25">
        <v>200</v>
      </c>
      <c r="D61" s="25">
        <v>200</v>
      </c>
      <c r="E61" s="944"/>
      <c r="F61" s="30">
        <v>200</v>
      </c>
      <c r="G61" s="710">
        <v>2262</v>
      </c>
      <c r="H61" s="30">
        <v>200</v>
      </c>
      <c r="I61" s="37" t="s">
        <v>691</v>
      </c>
    </row>
    <row r="62" spans="1:9" ht="15">
      <c r="A62" s="948"/>
      <c r="B62" s="949"/>
      <c r="C62" s="25">
        <v>500</v>
      </c>
      <c r="D62" s="25">
        <v>498</v>
      </c>
      <c r="E62" s="945"/>
      <c r="F62" s="30">
        <v>500</v>
      </c>
      <c r="G62" s="710">
        <v>2390</v>
      </c>
      <c r="H62" s="30">
        <v>500</v>
      </c>
      <c r="I62" s="37" t="s">
        <v>230</v>
      </c>
    </row>
    <row r="63" spans="1:9" ht="15">
      <c r="A63" s="242">
        <v>6</v>
      </c>
      <c r="B63" s="33" t="s">
        <v>710</v>
      </c>
      <c r="C63" s="32">
        <f>SUM(C64:C75)</f>
        <v>970</v>
      </c>
      <c r="D63" s="32">
        <f>SUM(D64:D75)</f>
        <v>740</v>
      </c>
      <c r="E63" s="210">
        <f>SUM(E64:E75)</f>
        <v>0</v>
      </c>
      <c r="F63" s="32">
        <f>SUM(F64:F75)</f>
        <v>970</v>
      </c>
      <c r="G63" s="712"/>
      <c r="H63" s="32">
        <f>SUM(H64:H75)</f>
        <v>970</v>
      </c>
      <c r="I63" s="537" t="s">
        <v>1525</v>
      </c>
    </row>
    <row r="64" spans="1:9" ht="15">
      <c r="A64" s="948">
        <v>6.1</v>
      </c>
      <c r="B64" s="949" t="s">
        <v>711</v>
      </c>
      <c r="C64" s="25">
        <v>100</v>
      </c>
      <c r="D64" s="25">
        <v>100</v>
      </c>
      <c r="E64" s="25">
        <v>0</v>
      </c>
      <c r="F64" s="30">
        <v>100</v>
      </c>
      <c r="G64" s="710">
        <v>2279</v>
      </c>
      <c r="H64" s="30">
        <v>100</v>
      </c>
      <c r="I64" s="37" t="s">
        <v>693</v>
      </c>
    </row>
    <row r="65" spans="1:9" ht="15">
      <c r="A65" s="948"/>
      <c r="B65" s="949"/>
      <c r="C65" s="25">
        <v>50</v>
      </c>
      <c r="D65" s="25">
        <v>50</v>
      </c>
      <c r="E65" s="25">
        <v>0</v>
      </c>
      <c r="F65" s="30">
        <v>50</v>
      </c>
      <c r="G65" s="710">
        <v>2390</v>
      </c>
      <c r="H65" s="30">
        <v>50</v>
      </c>
      <c r="I65" s="37" t="s">
        <v>230</v>
      </c>
    </row>
    <row r="66" spans="1:9" ht="15">
      <c r="A66" s="948">
        <v>6.2</v>
      </c>
      <c r="B66" s="949" t="s">
        <v>712</v>
      </c>
      <c r="C66" s="25">
        <v>80</v>
      </c>
      <c r="D66" s="25">
        <v>80</v>
      </c>
      <c r="E66" s="25">
        <v>0</v>
      </c>
      <c r="F66" s="30">
        <v>80</v>
      </c>
      <c r="G66" s="710">
        <v>2279</v>
      </c>
      <c r="H66" s="30">
        <v>80</v>
      </c>
      <c r="I66" s="37" t="s">
        <v>693</v>
      </c>
    </row>
    <row r="67" spans="1:9" ht="15">
      <c r="A67" s="948"/>
      <c r="B67" s="949"/>
      <c r="C67" s="25">
        <v>80</v>
      </c>
      <c r="D67" s="25">
        <v>80</v>
      </c>
      <c r="E67" s="25">
        <v>0</v>
      </c>
      <c r="F67" s="30">
        <v>80</v>
      </c>
      <c r="G67" s="710">
        <v>2390</v>
      </c>
      <c r="H67" s="30">
        <v>80</v>
      </c>
      <c r="I67" s="37" t="s">
        <v>230</v>
      </c>
    </row>
    <row r="68" spans="1:9" ht="15">
      <c r="A68" s="948">
        <v>6.3</v>
      </c>
      <c r="B68" s="949" t="s">
        <v>712</v>
      </c>
      <c r="C68" s="25">
        <v>80</v>
      </c>
      <c r="D68" s="25">
        <v>80</v>
      </c>
      <c r="E68" s="25">
        <v>0</v>
      </c>
      <c r="F68" s="30">
        <v>80</v>
      </c>
      <c r="G68" s="710">
        <v>2279</v>
      </c>
      <c r="H68" s="30">
        <v>80</v>
      </c>
      <c r="I68" s="37" t="s">
        <v>693</v>
      </c>
    </row>
    <row r="69" spans="1:9" ht="15">
      <c r="A69" s="948"/>
      <c r="B69" s="949"/>
      <c r="C69" s="25">
        <v>80</v>
      </c>
      <c r="D69" s="25">
        <v>80</v>
      </c>
      <c r="E69" s="25">
        <v>0</v>
      </c>
      <c r="F69" s="30">
        <v>80</v>
      </c>
      <c r="G69" s="710">
        <v>2390</v>
      </c>
      <c r="H69" s="30">
        <v>80</v>
      </c>
      <c r="I69" s="37" t="s">
        <v>230</v>
      </c>
    </row>
    <row r="70" spans="1:9" ht="15">
      <c r="A70" s="948">
        <v>6.4</v>
      </c>
      <c r="B70" s="949" t="s">
        <v>713</v>
      </c>
      <c r="C70" s="25">
        <v>50</v>
      </c>
      <c r="D70" s="25">
        <v>0</v>
      </c>
      <c r="E70" s="25">
        <v>0</v>
      </c>
      <c r="F70" s="30">
        <v>50</v>
      </c>
      <c r="G70" s="710">
        <v>2279</v>
      </c>
      <c r="H70" s="30">
        <v>50</v>
      </c>
      <c r="I70" s="37" t="s">
        <v>693</v>
      </c>
    </row>
    <row r="71" spans="1:9" ht="15">
      <c r="A71" s="948"/>
      <c r="B71" s="949"/>
      <c r="C71" s="25">
        <v>80</v>
      </c>
      <c r="D71" s="25">
        <v>0</v>
      </c>
      <c r="E71" s="25">
        <v>0</v>
      </c>
      <c r="F71" s="30">
        <v>80</v>
      </c>
      <c r="G71" s="710">
        <v>2390</v>
      </c>
      <c r="H71" s="30">
        <v>80</v>
      </c>
      <c r="I71" s="37" t="s">
        <v>230</v>
      </c>
    </row>
    <row r="72" spans="1:9" ht="15">
      <c r="A72" s="948"/>
      <c r="B72" s="949"/>
      <c r="C72" s="25">
        <v>50</v>
      </c>
      <c r="D72" s="25">
        <v>0</v>
      </c>
      <c r="E72" s="25">
        <v>0</v>
      </c>
      <c r="F72" s="30">
        <v>50</v>
      </c>
      <c r="G72" s="710">
        <v>2264</v>
      </c>
      <c r="H72" s="30">
        <v>50</v>
      </c>
      <c r="I72" s="37" t="s">
        <v>699</v>
      </c>
    </row>
    <row r="73" spans="1:9" ht="15">
      <c r="A73" s="948"/>
      <c r="B73" s="949"/>
      <c r="C73" s="25">
        <v>50</v>
      </c>
      <c r="D73" s="25">
        <v>0</v>
      </c>
      <c r="E73" s="25">
        <v>0</v>
      </c>
      <c r="F73" s="30">
        <v>50</v>
      </c>
      <c r="G73" s="710">
        <v>2262</v>
      </c>
      <c r="H73" s="30">
        <v>50</v>
      </c>
      <c r="I73" s="37" t="s">
        <v>691</v>
      </c>
    </row>
    <row r="74" spans="1:9" ht="15">
      <c r="A74" s="948">
        <v>6.5</v>
      </c>
      <c r="B74" s="949" t="s">
        <v>714</v>
      </c>
      <c r="C74" s="25">
        <v>120</v>
      </c>
      <c r="D74" s="25">
        <v>120</v>
      </c>
      <c r="E74" s="25">
        <v>0</v>
      </c>
      <c r="F74" s="173">
        <v>120</v>
      </c>
      <c r="G74" s="713">
        <v>2390</v>
      </c>
      <c r="H74" s="30">
        <v>120</v>
      </c>
      <c r="I74" s="74" t="s">
        <v>230</v>
      </c>
    </row>
    <row r="75" spans="1:9" ht="15">
      <c r="A75" s="948"/>
      <c r="B75" s="949"/>
      <c r="C75" s="25">
        <v>150</v>
      </c>
      <c r="D75" s="25">
        <v>150</v>
      </c>
      <c r="E75" s="25">
        <v>0</v>
      </c>
      <c r="F75" s="173">
        <v>150</v>
      </c>
      <c r="G75" s="713">
        <v>2390</v>
      </c>
      <c r="H75" s="30">
        <v>150</v>
      </c>
      <c r="I75" s="74" t="s">
        <v>684</v>
      </c>
    </row>
    <row r="76" spans="1:9" ht="15">
      <c r="A76" s="242">
        <v>7</v>
      </c>
      <c r="B76" s="33" t="s">
        <v>715</v>
      </c>
      <c r="C76" s="32">
        <f>SUM(C77:C82)</f>
        <v>700</v>
      </c>
      <c r="D76" s="32">
        <f>SUM(D77:D82)</f>
        <v>699</v>
      </c>
      <c r="E76" s="210">
        <f>SUM(E77:E82)</f>
        <v>800</v>
      </c>
      <c r="F76" s="32">
        <f>SUM(F77:F82)</f>
        <v>800</v>
      </c>
      <c r="G76" s="711"/>
      <c r="H76" s="32">
        <f>SUM(H77:H82)</f>
        <v>700</v>
      </c>
      <c r="I76" s="537" t="s">
        <v>1526</v>
      </c>
    </row>
    <row r="77" spans="1:9" ht="15">
      <c r="A77" s="948">
        <v>7.1</v>
      </c>
      <c r="B77" s="949" t="s">
        <v>716</v>
      </c>
      <c r="C77" s="25">
        <v>200</v>
      </c>
      <c r="D77" s="25">
        <v>199</v>
      </c>
      <c r="E77" s="943">
        <v>300</v>
      </c>
      <c r="F77" s="30">
        <v>250</v>
      </c>
      <c r="G77" s="710">
        <v>2390</v>
      </c>
      <c r="H77" s="30">
        <v>200</v>
      </c>
      <c r="I77" s="37" t="s">
        <v>230</v>
      </c>
    </row>
    <row r="78" spans="1:9" ht="15">
      <c r="A78" s="948"/>
      <c r="B78" s="949"/>
      <c r="C78" s="25">
        <v>50</v>
      </c>
      <c r="D78" s="25">
        <v>50</v>
      </c>
      <c r="E78" s="945"/>
      <c r="F78" s="30">
        <v>50</v>
      </c>
      <c r="G78" s="710">
        <v>2261</v>
      </c>
      <c r="H78" s="30">
        <v>50</v>
      </c>
      <c r="I78" s="37" t="s">
        <v>717</v>
      </c>
    </row>
    <row r="79" spans="1:9" ht="15">
      <c r="A79" s="948">
        <v>7.2</v>
      </c>
      <c r="B79" s="949" t="s">
        <v>718</v>
      </c>
      <c r="C79" s="25">
        <v>200</v>
      </c>
      <c r="D79" s="25">
        <v>200</v>
      </c>
      <c r="E79" s="943">
        <v>300</v>
      </c>
      <c r="F79" s="30">
        <v>250</v>
      </c>
      <c r="G79" s="710">
        <v>2390</v>
      </c>
      <c r="H79" s="30">
        <v>200</v>
      </c>
      <c r="I79" s="37" t="s">
        <v>230</v>
      </c>
    </row>
    <row r="80" spans="1:9" ht="15">
      <c r="A80" s="948"/>
      <c r="B80" s="949"/>
      <c r="C80" s="25">
        <v>50</v>
      </c>
      <c r="D80" s="25">
        <v>50</v>
      </c>
      <c r="E80" s="945"/>
      <c r="F80" s="30">
        <v>50</v>
      </c>
      <c r="G80" s="710">
        <v>2261</v>
      </c>
      <c r="H80" s="30">
        <v>50</v>
      </c>
      <c r="I80" s="37" t="s">
        <v>717</v>
      </c>
    </row>
    <row r="81" spans="1:9" ht="15">
      <c r="A81" s="948">
        <v>7.3</v>
      </c>
      <c r="B81" s="949" t="s">
        <v>719</v>
      </c>
      <c r="C81" s="25">
        <v>150</v>
      </c>
      <c r="D81" s="25">
        <v>150</v>
      </c>
      <c r="E81" s="943">
        <v>200</v>
      </c>
      <c r="F81" s="30">
        <v>150</v>
      </c>
      <c r="G81" s="710">
        <v>2390</v>
      </c>
      <c r="H81" s="30">
        <v>150</v>
      </c>
      <c r="I81" s="37" t="s">
        <v>230</v>
      </c>
    </row>
    <row r="82" spans="1:9" ht="15">
      <c r="A82" s="948"/>
      <c r="B82" s="949"/>
      <c r="C82" s="25">
        <v>50</v>
      </c>
      <c r="D82" s="25">
        <v>50</v>
      </c>
      <c r="E82" s="945"/>
      <c r="F82" s="30">
        <v>50</v>
      </c>
      <c r="G82" s="710">
        <v>2261</v>
      </c>
      <c r="H82" s="30">
        <v>50</v>
      </c>
      <c r="I82" s="37" t="s">
        <v>717</v>
      </c>
    </row>
    <row r="83" spans="1:9" ht="15">
      <c r="A83" s="242">
        <v>8</v>
      </c>
      <c r="B83" s="33" t="s">
        <v>720</v>
      </c>
      <c r="C83" s="32">
        <f>SUM(C84:C89)</f>
        <v>4130</v>
      </c>
      <c r="D83" s="32">
        <f>SUM(D84:D89)</f>
        <v>4111</v>
      </c>
      <c r="E83" s="210">
        <f>SUM(E84:E89)</f>
        <v>1729</v>
      </c>
      <c r="F83" s="32">
        <f>SUM(F84:F89)</f>
        <v>1287</v>
      </c>
      <c r="G83" s="712"/>
      <c r="H83" s="32">
        <f>SUM(H84:H89)</f>
        <v>1147</v>
      </c>
      <c r="I83" s="537" t="s">
        <v>1527</v>
      </c>
    </row>
    <row r="84" spans="1:9" ht="15">
      <c r="A84" s="243">
        <v>8.1</v>
      </c>
      <c r="B84" s="69" t="s">
        <v>721</v>
      </c>
      <c r="C84" s="30">
        <v>0</v>
      </c>
      <c r="D84" s="30">
        <v>0</v>
      </c>
      <c r="E84" s="79">
        <v>587</v>
      </c>
      <c r="F84" s="70">
        <v>587</v>
      </c>
      <c r="G84" s="710">
        <v>2279</v>
      </c>
      <c r="H84" s="30">
        <v>587</v>
      </c>
      <c r="I84" s="244" t="s">
        <v>1371</v>
      </c>
    </row>
    <row r="85" spans="1:9" ht="15">
      <c r="A85" s="948">
        <v>8.2</v>
      </c>
      <c r="B85" s="808" t="s">
        <v>723</v>
      </c>
      <c r="C85" s="25">
        <v>70</v>
      </c>
      <c r="D85" s="25">
        <v>70</v>
      </c>
      <c r="E85" s="943">
        <v>521</v>
      </c>
      <c r="F85" s="30">
        <v>100</v>
      </c>
      <c r="G85" s="710">
        <v>2390</v>
      </c>
      <c r="H85" s="30">
        <v>100</v>
      </c>
      <c r="I85" s="37" t="s">
        <v>724</v>
      </c>
    </row>
    <row r="86" spans="1:9" ht="15">
      <c r="A86" s="948"/>
      <c r="B86" s="808"/>
      <c r="C86" s="25">
        <v>135</v>
      </c>
      <c r="D86" s="25">
        <v>131</v>
      </c>
      <c r="E86" s="945"/>
      <c r="F86" s="30">
        <v>200</v>
      </c>
      <c r="G86" s="710">
        <v>2390</v>
      </c>
      <c r="H86" s="30">
        <v>135</v>
      </c>
      <c r="I86" s="37" t="s">
        <v>230</v>
      </c>
    </row>
    <row r="87" spans="1:9" ht="15">
      <c r="A87" s="948">
        <v>8.3</v>
      </c>
      <c r="B87" s="808" t="s">
        <v>725</v>
      </c>
      <c r="C87" s="25">
        <v>100</v>
      </c>
      <c r="D87" s="25">
        <v>100</v>
      </c>
      <c r="E87" s="943">
        <v>621</v>
      </c>
      <c r="F87" s="30">
        <v>100</v>
      </c>
      <c r="G87" s="710">
        <v>2390</v>
      </c>
      <c r="H87" s="30">
        <v>100</v>
      </c>
      <c r="I87" s="37" t="s">
        <v>724</v>
      </c>
    </row>
    <row r="88" spans="1:9" ht="15">
      <c r="A88" s="948"/>
      <c r="B88" s="808"/>
      <c r="C88" s="25">
        <v>225</v>
      </c>
      <c r="D88" s="25">
        <v>210</v>
      </c>
      <c r="E88" s="945"/>
      <c r="F88" s="30">
        <v>300</v>
      </c>
      <c r="G88" s="710">
        <v>2390</v>
      </c>
      <c r="H88" s="30">
        <v>225</v>
      </c>
      <c r="I88" s="37" t="s">
        <v>230</v>
      </c>
    </row>
    <row r="89" spans="1:28" s="93" customFormat="1" ht="24.75">
      <c r="A89" s="200">
        <v>8.4</v>
      </c>
      <c r="B89" s="37" t="s">
        <v>726</v>
      </c>
      <c r="C89" s="20">
        <v>3600</v>
      </c>
      <c r="D89" s="20">
        <v>3600</v>
      </c>
      <c r="E89" s="20">
        <v>0</v>
      </c>
      <c r="F89" s="30">
        <v>0</v>
      </c>
      <c r="G89" s="710">
        <v>2279</v>
      </c>
      <c r="H89" s="30"/>
      <c r="I89" s="37"/>
      <c r="J89"/>
      <c r="K89"/>
      <c r="L89"/>
      <c r="M89"/>
      <c r="N89"/>
      <c r="O89"/>
      <c r="P89"/>
      <c r="Q89"/>
      <c r="R89"/>
      <c r="S89"/>
      <c r="T89"/>
      <c r="U89"/>
      <c r="V89"/>
      <c r="W89"/>
      <c r="X89"/>
      <c r="Y89"/>
      <c r="Z89"/>
      <c r="AA89"/>
      <c r="AB89"/>
    </row>
    <row r="90" spans="1:9" ht="15">
      <c r="A90" s="242">
        <v>9</v>
      </c>
      <c r="B90" s="33" t="s">
        <v>727</v>
      </c>
      <c r="C90" s="32">
        <f>SUM(C91:C98)</f>
        <v>900</v>
      </c>
      <c r="D90" s="32">
        <f>SUM(D91:D98)</f>
        <v>900</v>
      </c>
      <c r="E90" s="210">
        <f>SUM(E91:E98)</f>
        <v>1720</v>
      </c>
      <c r="F90" s="32">
        <f>SUM(F91:F98)</f>
        <v>1110</v>
      </c>
      <c r="G90" s="711"/>
      <c r="H90" s="32">
        <f>SUM(H91:H98)</f>
        <v>900</v>
      </c>
      <c r="I90" s="537" t="s">
        <v>1528</v>
      </c>
    </row>
    <row r="91" spans="1:9" ht="24.75">
      <c r="A91" s="200">
        <v>9.1</v>
      </c>
      <c r="B91" s="38" t="s">
        <v>728</v>
      </c>
      <c r="C91" s="30">
        <v>150</v>
      </c>
      <c r="D91" s="30">
        <v>150</v>
      </c>
      <c r="E91" s="20">
        <v>240</v>
      </c>
      <c r="F91" s="30">
        <v>200</v>
      </c>
      <c r="G91" s="710">
        <v>2279</v>
      </c>
      <c r="H91" s="30">
        <v>150</v>
      </c>
      <c r="I91" s="37" t="s">
        <v>693</v>
      </c>
    </row>
    <row r="92" spans="1:9" ht="24.75">
      <c r="A92" s="200">
        <v>9.2</v>
      </c>
      <c r="B92" s="38" t="s">
        <v>729</v>
      </c>
      <c r="C92" s="30">
        <v>100</v>
      </c>
      <c r="D92" s="30">
        <v>100</v>
      </c>
      <c r="E92" s="20">
        <v>120</v>
      </c>
      <c r="F92" s="30">
        <v>110</v>
      </c>
      <c r="G92" s="710">
        <v>2279</v>
      </c>
      <c r="H92" s="30">
        <v>100</v>
      </c>
      <c r="I92" s="37" t="s">
        <v>693</v>
      </c>
    </row>
    <row r="93" spans="1:9" ht="15">
      <c r="A93" s="200">
        <v>9.3</v>
      </c>
      <c r="B93" s="38" t="s">
        <v>730</v>
      </c>
      <c r="C93" s="30">
        <v>120</v>
      </c>
      <c r="D93" s="30">
        <v>120</v>
      </c>
      <c r="E93" s="20">
        <v>120</v>
      </c>
      <c r="F93" s="30">
        <v>120</v>
      </c>
      <c r="G93" s="710">
        <v>2279</v>
      </c>
      <c r="H93" s="30">
        <v>120</v>
      </c>
      <c r="I93" s="37" t="s">
        <v>693</v>
      </c>
    </row>
    <row r="94" spans="1:9" ht="24.75">
      <c r="A94" s="200">
        <v>9.4</v>
      </c>
      <c r="B94" s="38" t="s">
        <v>731</v>
      </c>
      <c r="C94" s="30">
        <v>120</v>
      </c>
      <c r="D94" s="30">
        <v>120</v>
      </c>
      <c r="E94" s="20">
        <v>200</v>
      </c>
      <c r="F94" s="30">
        <v>120</v>
      </c>
      <c r="G94" s="710">
        <v>2279</v>
      </c>
      <c r="H94" s="30">
        <v>120</v>
      </c>
      <c r="I94" s="37" t="s">
        <v>693</v>
      </c>
    </row>
    <row r="95" spans="1:9" ht="15">
      <c r="A95" s="200">
        <v>9.5</v>
      </c>
      <c r="B95" s="38" t="s">
        <v>732</v>
      </c>
      <c r="C95" s="30">
        <v>110</v>
      </c>
      <c r="D95" s="30">
        <v>110</v>
      </c>
      <c r="E95" s="20">
        <v>200</v>
      </c>
      <c r="F95" s="30">
        <v>110</v>
      </c>
      <c r="G95" s="710">
        <v>2279</v>
      </c>
      <c r="H95" s="30">
        <v>110</v>
      </c>
      <c r="I95" s="37" t="s">
        <v>693</v>
      </c>
    </row>
    <row r="96" spans="1:9" ht="15">
      <c r="A96" s="200">
        <v>9.6</v>
      </c>
      <c r="B96" s="38" t="s">
        <v>733</v>
      </c>
      <c r="C96" s="30">
        <v>100</v>
      </c>
      <c r="D96" s="30">
        <v>100</v>
      </c>
      <c r="E96" s="20">
        <v>120</v>
      </c>
      <c r="F96" s="30">
        <v>100</v>
      </c>
      <c r="G96" s="710">
        <v>2279</v>
      </c>
      <c r="H96" s="30">
        <v>100</v>
      </c>
      <c r="I96" s="37" t="s">
        <v>693</v>
      </c>
    </row>
    <row r="97" spans="1:9" ht="15">
      <c r="A97" s="200">
        <v>9.7</v>
      </c>
      <c r="B97" s="38" t="s">
        <v>734</v>
      </c>
      <c r="C97" s="30">
        <v>100</v>
      </c>
      <c r="D97" s="30">
        <v>100</v>
      </c>
      <c r="E97" s="20">
        <v>600</v>
      </c>
      <c r="F97" s="30">
        <v>250</v>
      </c>
      <c r="G97" s="710">
        <v>2279</v>
      </c>
      <c r="H97" s="30">
        <v>100</v>
      </c>
      <c r="I97" s="37" t="s">
        <v>693</v>
      </c>
    </row>
    <row r="98" spans="1:9" ht="24.75">
      <c r="A98" s="200">
        <v>9.8</v>
      </c>
      <c r="B98" s="38" t="s">
        <v>735</v>
      </c>
      <c r="C98" s="30">
        <v>100</v>
      </c>
      <c r="D98" s="30">
        <v>100</v>
      </c>
      <c r="E98" s="20">
        <v>120</v>
      </c>
      <c r="F98" s="30">
        <v>100</v>
      </c>
      <c r="G98" s="710">
        <v>2279</v>
      </c>
      <c r="H98" s="30">
        <v>100</v>
      </c>
      <c r="I98" s="37" t="s">
        <v>693</v>
      </c>
    </row>
    <row r="99" spans="1:9" ht="15">
      <c r="A99" s="242">
        <v>10</v>
      </c>
      <c r="B99" s="33" t="s">
        <v>736</v>
      </c>
      <c r="C99" s="32">
        <f>SUM(C100:C109)</f>
        <v>3460</v>
      </c>
      <c r="D99" s="32">
        <f>SUM(D100:D109)</f>
        <v>3231</v>
      </c>
      <c r="E99" s="210">
        <f>SUM(E100:E109)</f>
        <v>3680</v>
      </c>
      <c r="F99" s="32">
        <f>SUM(F100:F109)</f>
        <v>3600</v>
      </c>
      <c r="G99" s="711"/>
      <c r="H99" s="32">
        <f>SUM(H100:H109)</f>
        <v>3460</v>
      </c>
      <c r="I99" s="537" t="s">
        <v>1529</v>
      </c>
    </row>
    <row r="100" spans="1:9" ht="15">
      <c r="A100" s="948">
        <v>10.1</v>
      </c>
      <c r="B100" s="949" t="s">
        <v>737</v>
      </c>
      <c r="C100" s="25">
        <v>500</v>
      </c>
      <c r="D100" s="25">
        <v>500</v>
      </c>
      <c r="E100" s="943">
        <v>1800</v>
      </c>
      <c r="F100" s="30">
        <v>500</v>
      </c>
      <c r="G100" s="710">
        <v>2279</v>
      </c>
      <c r="H100" s="30">
        <v>500</v>
      </c>
      <c r="I100" s="37" t="s">
        <v>693</v>
      </c>
    </row>
    <row r="101" spans="1:9" ht="15">
      <c r="A101" s="948"/>
      <c r="B101" s="949"/>
      <c r="C101" s="25">
        <v>700</v>
      </c>
      <c r="D101" s="25">
        <v>651</v>
      </c>
      <c r="E101" s="944"/>
      <c r="F101" s="30">
        <v>700</v>
      </c>
      <c r="G101" s="710">
        <v>2390</v>
      </c>
      <c r="H101" s="30">
        <v>700</v>
      </c>
      <c r="I101" s="37" t="s">
        <v>230</v>
      </c>
    </row>
    <row r="102" spans="1:9" ht="15">
      <c r="A102" s="948"/>
      <c r="B102" s="949"/>
      <c r="C102" s="25">
        <v>400</v>
      </c>
      <c r="D102" s="25">
        <v>400</v>
      </c>
      <c r="E102" s="944"/>
      <c r="F102" s="30">
        <v>400</v>
      </c>
      <c r="G102" s="710">
        <v>2264</v>
      </c>
      <c r="H102" s="30">
        <v>400</v>
      </c>
      <c r="I102" s="37" t="s">
        <v>699</v>
      </c>
    </row>
    <row r="103" spans="1:9" ht="15">
      <c r="A103" s="948"/>
      <c r="B103" s="949"/>
      <c r="C103" s="25">
        <v>200</v>
      </c>
      <c r="D103" s="25">
        <v>200</v>
      </c>
      <c r="E103" s="945"/>
      <c r="F103" s="30">
        <v>200</v>
      </c>
      <c r="G103" s="710">
        <v>2390</v>
      </c>
      <c r="H103" s="30">
        <v>200</v>
      </c>
      <c r="I103" s="74" t="s">
        <v>684</v>
      </c>
    </row>
    <row r="104" spans="1:9" ht="15">
      <c r="A104" s="948">
        <v>10.2</v>
      </c>
      <c r="B104" s="949" t="s">
        <v>738</v>
      </c>
      <c r="C104" s="25">
        <v>500</v>
      </c>
      <c r="D104" s="25">
        <v>500</v>
      </c>
      <c r="E104" s="943">
        <v>1680</v>
      </c>
      <c r="F104" s="30">
        <v>500</v>
      </c>
      <c r="G104" s="710">
        <v>2279</v>
      </c>
      <c r="H104" s="30">
        <v>500</v>
      </c>
      <c r="I104" s="37" t="s">
        <v>693</v>
      </c>
    </row>
    <row r="105" spans="1:9" ht="15">
      <c r="A105" s="948"/>
      <c r="B105" s="949"/>
      <c r="C105" s="25">
        <v>180</v>
      </c>
      <c r="D105" s="25">
        <v>180</v>
      </c>
      <c r="E105" s="944"/>
      <c r="F105" s="30">
        <v>200</v>
      </c>
      <c r="G105" s="710">
        <v>2390</v>
      </c>
      <c r="H105" s="30">
        <v>180</v>
      </c>
      <c r="I105" s="74" t="s">
        <v>684</v>
      </c>
    </row>
    <row r="106" spans="1:9" ht="15">
      <c r="A106" s="948"/>
      <c r="B106" s="949"/>
      <c r="C106" s="25">
        <v>400</v>
      </c>
      <c r="D106" s="25">
        <v>400</v>
      </c>
      <c r="E106" s="944"/>
      <c r="F106" s="30">
        <v>500</v>
      </c>
      <c r="G106" s="710">
        <v>2390</v>
      </c>
      <c r="H106" s="30">
        <v>400</v>
      </c>
      <c r="I106" s="37" t="s">
        <v>230</v>
      </c>
    </row>
    <row r="107" spans="1:9" ht="15">
      <c r="A107" s="948"/>
      <c r="B107" s="949"/>
      <c r="C107" s="25">
        <v>400</v>
      </c>
      <c r="D107" s="25">
        <v>400</v>
      </c>
      <c r="E107" s="945"/>
      <c r="F107" s="30">
        <v>400</v>
      </c>
      <c r="G107" s="710">
        <v>2264</v>
      </c>
      <c r="H107" s="30">
        <v>400</v>
      </c>
      <c r="I107" s="37" t="s">
        <v>699</v>
      </c>
    </row>
    <row r="108" spans="1:9" ht="15">
      <c r="A108" s="948">
        <v>10.3</v>
      </c>
      <c r="B108" s="808" t="s">
        <v>739</v>
      </c>
      <c r="C108" s="25">
        <v>130</v>
      </c>
      <c r="D108" s="25">
        <v>0</v>
      </c>
      <c r="E108" s="943">
        <v>200</v>
      </c>
      <c r="F108" s="30">
        <v>150</v>
      </c>
      <c r="G108" s="710">
        <v>2390</v>
      </c>
      <c r="H108" s="30">
        <v>130</v>
      </c>
      <c r="I108" s="37" t="s">
        <v>230</v>
      </c>
    </row>
    <row r="109" spans="1:9" ht="15">
      <c r="A109" s="948"/>
      <c r="B109" s="808"/>
      <c r="C109" s="25">
        <v>50</v>
      </c>
      <c r="D109" s="25">
        <v>0</v>
      </c>
      <c r="E109" s="945"/>
      <c r="F109" s="30">
        <v>50</v>
      </c>
      <c r="G109" s="710">
        <v>2279</v>
      </c>
      <c r="H109" s="30">
        <v>50</v>
      </c>
      <c r="I109" s="37" t="s">
        <v>698</v>
      </c>
    </row>
    <row r="110" spans="1:9" ht="15">
      <c r="A110" s="242">
        <v>11</v>
      </c>
      <c r="B110" s="33" t="s">
        <v>740</v>
      </c>
      <c r="C110" s="32">
        <f>SUM(C111:C120)</f>
        <v>6900</v>
      </c>
      <c r="D110" s="32">
        <f>SUM(D111:D120)</f>
        <v>6900</v>
      </c>
      <c r="E110" s="210">
        <f>SUM(E111:E120)</f>
        <v>7760</v>
      </c>
      <c r="F110" s="32">
        <f>SUM(F111:F120)</f>
        <v>7760</v>
      </c>
      <c r="G110" s="711"/>
      <c r="H110" s="32">
        <f>SUM(H111:H120)</f>
        <v>7100</v>
      </c>
      <c r="I110" s="537" t="s">
        <v>1530</v>
      </c>
    </row>
    <row r="111" spans="1:9" ht="24.75">
      <c r="A111" s="950">
        <v>11.1</v>
      </c>
      <c r="B111" s="38" t="s">
        <v>741</v>
      </c>
      <c r="C111" s="809">
        <v>6500</v>
      </c>
      <c r="D111" s="809">
        <v>6500</v>
      </c>
      <c r="E111" s="943">
        <v>6500</v>
      </c>
      <c r="F111" s="809">
        <v>6500</v>
      </c>
      <c r="G111" s="953">
        <v>2279</v>
      </c>
      <c r="H111" s="798">
        <v>6500</v>
      </c>
      <c r="I111" s="795" t="s">
        <v>742</v>
      </c>
    </row>
    <row r="112" spans="1:9" ht="24.75">
      <c r="A112" s="951"/>
      <c r="B112" s="38" t="s">
        <v>743</v>
      </c>
      <c r="C112" s="809"/>
      <c r="D112" s="809"/>
      <c r="E112" s="944"/>
      <c r="F112" s="809"/>
      <c r="G112" s="953"/>
      <c r="H112" s="799"/>
      <c r="I112" s="796"/>
    </row>
    <row r="113" spans="1:9" ht="15">
      <c r="A113" s="951"/>
      <c r="B113" s="38" t="s">
        <v>744</v>
      </c>
      <c r="C113" s="809"/>
      <c r="D113" s="809"/>
      <c r="E113" s="944"/>
      <c r="F113" s="809"/>
      <c r="G113" s="953"/>
      <c r="H113" s="799"/>
      <c r="I113" s="796"/>
    </row>
    <row r="114" spans="1:9" ht="24.75">
      <c r="A114" s="952"/>
      <c r="B114" s="38" t="s">
        <v>745</v>
      </c>
      <c r="C114" s="809"/>
      <c r="D114" s="809"/>
      <c r="E114" s="945"/>
      <c r="F114" s="809"/>
      <c r="G114" s="953"/>
      <c r="H114" s="800"/>
      <c r="I114" s="797"/>
    </row>
    <row r="115" spans="1:9" ht="15">
      <c r="A115" s="948">
        <v>11.2</v>
      </c>
      <c r="B115" s="808" t="s">
        <v>746</v>
      </c>
      <c r="C115" s="25">
        <v>100</v>
      </c>
      <c r="D115" s="25">
        <v>100</v>
      </c>
      <c r="E115" s="943">
        <v>420</v>
      </c>
      <c r="F115" s="173">
        <v>200</v>
      </c>
      <c r="G115" s="713">
        <v>2264</v>
      </c>
      <c r="H115" s="30">
        <v>100</v>
      </c>
      <c r="I115" s="74" t="s">
        <v>680</v>
      </c>
    </row>
    <row r="116" spans="1:9" ht="15">
      <c r="A116" s="948"/>
      <c r="B116" s="808"/>
      <c r="C116" s="25">
        <v>100</v>
      </c>
      <c r="D116" s="25">
        <v>100</v>
      </c>
      <c r="E116" s="945"/>
      <c r="F116" s="173">
        <v>220</v>
      </c>
      <c r="G116" s="713">
        <v>2279</v>
      </c>
      <c r="H116" s="30">
        <v>100</v>
      </c>
      <c r="I116" s="74" t="s">
        <v>698</v>
      </c>
    </row>
    <row r="117" spans="1:9" ht="15">
      <c r="A117" s="948">
        <v>11.3</v>
      </c>
      <c r="B117" s="808" t="s">
        <v>747</v>
      </c>
      <c r="C117" s="25">
        <v>100</v>
      </c>
      <c r="D117" s="25">
        <v>100</v>
      </c>
      <c r="E117" s="943">
        <v>420</v>
      </c>
      <c r="F117" s="173">
        <v>200</v>
      </c>
      <c r="G117" s="713">
        <v>2264</v>
      </c>
      <c r="H117" s="30">
        <v>100</v>
      </c>
      <c r="I117" s="74" t="s">
        <v>680</v>
      </c>
    </row>
    <row r="118" spans="1:9" ht="15">
      <c r="A118" s="948"/>
      <c r="B118" s="808"/>
      <c r="C118" s="25">
        <v>100</v>
      </c>
      <c r="D118" s="25">
        <v>100</v>
      </c>
      <c r="E118" s="945"/>
      <c r="F118" s="173">
        <v>220</v>
      </c>
      <c r="G118" s="713">
        <v>2279</v>
      </c>
      <c r="H118" s="30">
        <v>100</v>
      </c>
      <c r="I118" s="74" t="s">
        <v>698</v>
      </c>
    </row>
    <row r="119" spans="1:9" ht="15">
      <c r="A119" s="948">
        <v>11.4</v>
      </c>
      <c r="B119" s="808" t="s">
        <v>748</v>
      </c>
      <c r="C119" s="809">
        <v>0</v>
      </c>
      <c r="D119" s="809">
        <v>0</v>
      </c>
      <c r="E119" s="943">
        <v>420</v>
      </c>
      <c r="F119" s="173">
        <v>200</v>
      </c>
      <c r="G119" s="713">
        <v>2264</v>
      </c>
      <c r="H119" s="30">
        <v>100</v>
      </c>
      <c r="I119" s="74" t="s">
        <v>680</v>
      </c>
    </row>
    <row r="120" spans="1:9" ht="15">
      <c r="A120" s="948"/>
      <c r="B120" s="808"/>
      <c r="C120" s="809"/>
      <c r="D120" s="809"/>
      <c r="E120" s="945"/>
      <c r="F120" s="173">
        <v>220</v>
      </c>
      <c r="G120" s="713">
        <v>2279</v>
      </c>
      <c r="H120" s="30">
        <v>100</v>
      </c>
      <c r="I120" s="74" t="s">
        <v>698</v>
      </c>
    </row>
    <row r="121" spans="1:9" ht="15">
      <c r="A121" s="242">
        <v>12</v>
      </c>
      <c r="B121" s="33" t="s">
        <v>749</v>
      </c>
      <c r="C121" s="32">
        <f>SUM(C122:C123)</f>
        <v>200</v>
      </c>
      <c r="D121" s="32">
        <f>SUM(D122:D123)</f>
        <v>200</v>
      </c>
      <c r="E121" s="210">
        <f>SUM(E122:E123)</f>
        <v>300</v>
      </c>
      <c r="F121" s="32">
        <f>SUM(F122:F123)</f>
        <v>300</v>
      </c>
      <c r="G121" s="712"/>
      <c r="H121" s="32">
        <f>SUM(H122:H123)</f>
        <v>200</v>
      </c>
      <c r="I121" s="537" t="s">
        <v>1522</v>
      </c>
    </row>
    <row r="122" spans="1:9" ht="15">
      <c r="A122" s="948">
        <v>12.1</v>
      </c>
      <c r="B122" s="949" t="s">
        <v>750</v>
      </c>
      <c r="C122" s="25">
        <v>100</v>
      </c>
      <c r="D122" s="25">
        <v>100</v>
      </c>
      <c r="E122" s="943">
        <v>300</v>
      </c>
      <c r="F122" s="173">
        <v>150</v>
      </c>
      <c r="G122" s="713">
        <v>2390</v>
      </c>
      <c r="H122" s="30">
        <v>100</v>
      </c>
      <c r="I122" s="74" t="s">
        <v>230</v>
      </c>
    </row>
    <row r="123" spans="1:9" ht="15">
      <c r="A123" s="948"/>
      <c r="B123" s="949"/>
      <c r="C123" s="25">
        <v>100</v>
      </c>
      <c r="D123" s="25">
        <v>100</v>
      </c>
      <c r="E123" s="945"/>
      <c r="F123" s="173">
        <v>150</v>
      </c>
      <c r="G123" s="713">
        <v>2262</v>
      </c>
      <c r="H123" s="30">
        <v>100</v>
      </c>
      <c r="I123" s="74" t="s">
        <v>691</v>
      </c>
    </row>
    <row r="124" spans="1:9" ht="15">
      <c r="A124" s="242">
        <v>13</v>
      </c>
      <c r="B124" s="33" t="s">
        <v>751</v>
      </c>
      <c r="C124" s="32">
        <f>SUM(C125:C126)</f>
        <v>200</v>
      </c>
      <c r="D124" s="32">
        <f>SUM(D125:D126)</f>
        <v>0</v>
      </c>
      <c r="E124" s="210">
        <f>SUM(E125:E126)</f>
        <v>5000</v>
      </c>
      <c r="F124" s="32">
        <f>SUM(F125:F126)</f>
        <v>5000</v>
      </c>
      <c r="G124" s="712"/>
      <c r="H124" s="32">
        <f>SUM(H125:H126)</f>
        <v>3000</v>
      </c>
      <c r="I124" s="537"/>
    </row>
    <row r="125" spans="1:9" ht="24.75">
      <c r="A125" s="200">
        <v>13.1</v>
      </c>
      <c r="B125" s="38" t="s">
        <v>752</v>
      </c>
      <c r="C125" s="30">
        <v>0</v>
      </c>
      <c r="D125" s="30">
        <v>0</v>
      </c>
      <c r="E125" s="20">
        <v>5000</v>
      </c>
      <c r="F125" s="30">
        <v>5000</v>
      </c>
      <c r="G125" s="710">
        <v>2279</v>
      </c>
      <c r="H125" s="30">
        <v>3000</v>
      </c>
      <c r="I125" s="74" t="s">
        <v>722</v>
      </c>
    </row>
    <row r="126" spans="1:9" ht="24.75">
      <c r="A126" s="200">
        <v>13.2</v>
      </c>
      <c r="B126" s="38" t="s">
        <v>753</v>
      </c>
      <c r="C126" s="30">
        <v>200</v>
      </c>
      <c r="D126" s="30">
        <v>0</v>
      </c>
      <c r="E126" s="20">
        <v>0</v>
      </c>
      <c r="F126" s="30">
        <v>0</v>
      </c>
      <c r="G126" s="710">
        <v>2390</v>
      </c>
      <c r="H126" s="30"/>
      <c r="I126" s="74"/>
    </row>
    <row r="127" spans="1:9" ht="15">
      <c r="A127" s="242">
        <v>14</v>
      </c>
      <c r="B127" s="33" t="s">
        <v>754</v>
      </c>
      <c r="C127" s="32">
        <f>SUM(C128:C131)</f>
        <v>600</v>
      </c>
      <c r="D127" s="32">
        <f>SUM(D128:D131)</f>
        <v>200</v>
      </c>
      <c r="E127" s="210">
        <f>SUM(E128:E131)</f>
        <v>600</v>
      </c>
      <c r="F127" s="32">
        <f>SUM(F128:F131)</f>
        <v>600</v>
      </c>
      <c r="G127" s="711"/>
      <c r="H127" s="32">
        <f>SUM(H128:H131)</f>
        <v>600</v>
      </c>
      <c r="I127" s="537" t="s">
        <v>1531</v>
      </c>
    </row>
    <row r="128" spans="1:9" ht="15">
      <c r="A128" s="948">
        <v>14.1</v>
      </c>
      <c r="B128" s="949" t="s">
        <v>755</v>
      </c>
      <c r="C128" s="25">
        <v>200</v>
      </c>
      <c r="D128" s="25">
        <v>0</v>
      </c>
      <c r="E128" s="943">
        <v>400</v>
      </c>
      <c r="F128" s="173">
        <v>200</v>
      </c>
      <c r="G128" s="713">
        <v>2390</v>
      </c>
      <c r="H128" s="30">
        <v>200</v>
      </c>
      <c r="I128" s="74" t="s">
        <v>230</v>
      </c>
    </row>
    <row r="129" spans="1:9" ht="15">
      <c r="A129" s="948"/>
      <c r="B129" s="949"/>
      <c r="C129" s="25">
        <v>200</v>
      </c>
      <c r="D129" s="25">
        <v>0</v>
      </c>
      <c r="E129" s="945"/>
      <c r="F129" s="173">
        <v>200</v>
      </c>
      <c r="G129" s="713">
        <v>2390</v>
      </c>
      <c r="H129" s="30">
        <v>200</v>
      </c>
      <c r="I129" s="74" t="s">
        <v>684</v>
      </c>
    </row>
    <row r="130" spans="1:9" ht="18" customHeight="1">
      <c r="A130" s="948">
        <v>14.2</v>
      </c>
      <c r="B130" s="949" t="s">
        <v>756</v>
      </c>
      <c r="C130" s="20">
        <v>100</v>
      </c>
      <c r="D130" s="20">
        <v>100</v>
      </c>
      <c r="E130" s="957">
        <v>200</v>
      </c>
      <c r="F130" s="173">
        <v>100</v>
      </c>
      <c r="G130" s="713">
        <v>2390</v>
      </c>
      <c r="H130" s="30">
        <v>100</v>
      </c>
      <c r="I130" s="74" t="s">
        <v>230</v>
      </c>
    </row>
    <row r="131" spans="1:9" ht="17.25" customHeight="1">
      <c r="A131" s="948"/>
      <c r="B131" s="949"/>
      <c r="C131" s="20">
        <v>100</v>
      </c>
      <c r="D131" s="20">
        <v>100</v>
      </c>
      <c r="E131" s="958"/>
      <c r="F131" s="173">
        <v>100</v>
      </c>
      <c r="G131" s="713">
        <v>2279</v>
      </c>
      <c r="H131" s="30">
        <v>100</v>
      </c>
      <c r="I131" s="74" t="s">
        <v>757</v>
      </c>
    </row>
    <row r="132" spans="1:9" ht="15">
      <c r="A132" s="242">
        <v>15</v>
      </c>
      <c r="B132" s="33" t="s">
        <v>758</v>
      </c>
      <c r="C132" s="32">
        <f>SUM(C133:C137)</f>
        <v>680</v>
      </c>
      <c r="D132" s="32">
        <f>SUM(D133:D137)</f>
        <v>680</v>
      </c>
      <c r="E132" s="210">
        <f>SUM(E133:E137)</f>
        <v>1000</v>
      </c>
      <c r="F132" s="32">
        <f>SUM(F133:F137)</f>
        <v>1000</v>
      </c>
      <c r="G132" s="712"/>
      <c r="H132" s="32">
        <f>SUM(H133:H137)</f>
        <v>680</v>
      </c>
      <c r="I132" s="537" t="s">
        <v>1522</v>
      </c>
    </row>
    <row r="133" spans="1:9" ht="15">
      <c r="A133" s="948">
        <v>15.1</v>
      </c>
      <c r="B133" s="808" t="s">
        <v>759</v>
      </c>
      <c r="C133" s="25">
        <v>170</v>
      </c>
      <c r="D133" s="25">
        <v>170</v>
      </c>
      <c r="E133" s="943">
        <v>1000</v>
      </c>
      <c r="F133" s="30">
        <v>200</v>
      </c>
      <c r="G133" s="713">
        <v>2390</v>
      </c>
      <c r="H133" s="30">
        <v>170</v>
      </c>
      <c r="I133" s="74" t="s">
        <v>230</v>
      </c>
    </row>
    <row r="134" spans="1:9" ht="15">
      <c r="A134" s="948"/>
      <c r="B134" s="808"/>
      <c r="C134" s="25">
        <v>100</v>
      </c>
      <c r="D134" s="25">
        <v>100</v>
      </c>
      <c r="E134" s="944"/>
      <c r="F134" s="30">
        <v>200</v>
      </c>
      <c r="G134" s="713">
        <v>2264</v>
      </c>
      <c r="H134" s="30">
        <v>100</v>
      </c>
      <c r="I134" s="37" t="s">
        <v>682</v>
      </c>
    </row>
    <row r="135" spans="1:9" ht="15">
      <c r="A135" s="948"/>
      <c r="B135" s="808"/>
      <c r="C135" s="25">
        <v>170</v>
      </c>
      <c r="D135" s="25">
        <v>170</v>
      </c>
      <c r="E135" s="944"/>
      <c r="F135" s="30">
        <v>200</v>
      </c>
      <c r="G135" s="713">
        <v>2264</v>
      </c>
      <c r="H135" s="30">
        <v>170</v>
      </c>
      <c r="I135" s="74" t="s">
        <v>760</v>
      </c>
    </row>
    <row r="136" spans="1:9" ht="15">
      <c r="A136" s="948"/>
      <c r="B136" s="808"/>
      <c r="C136" s="25">
        <v>70</v>
      </c>
      <c r="D136" s="25">
        <v>70</v>
      </c>
      <c r="E136" s="944"/>
      <c r="F136" s="30">
        <v>200</v>
      </c>
      <c r="G136" s="713">
        <v>2390</v>
      </c>
      <c r="H136" s="30">
        <v>70</v>
      </c>
      <c r="I136" s="74" t="s">
        <v>684</v>
      </c>
    </row>
    <row r="137" spans="1:9" ht="15">
      <c r="A137" s="948"/>
      <c r="B137" s="808"/>
      <c r="C137" s="25">
        <v>170</v>
      </c>
      <c r="D137" s="25">
        <v>170</v>
      </c>
      <c r="E137" s="945"/>
      <c r="F137" s="30">
        <v>200</v>
      </c>
      <c r="G137" s="713">
        <v>2261</v>
      </c>
      <c r="H137" s="30">
        <v>170</v>
      </c>
      <c r="I137" s="74" t="s">
        <v>717</v>
      </c>
    </row>
    <row r="138" spans="1:9" ht="15">
      <c r="A138" s="242">
        <v>16</v>
      </c>
      <c r="B138" s="33" t="s">
        <v>761</v>
      </c>
      <c r="C138" s="32">
        <f>SUM(C139:C146)</f>
        <v>515</v>
      </c>
      <c r="D138" s="32">
        <f>SUM(D139:D146)</f>
        <v>510</v>
      </c>
      <c r="E138" s="210">
        <f>SUM(E139:E146)</f>
        <v>2615</v>
      </c>
      <c r="F138" s="32">
        <f>SUM(F139:F146)</f>
        <v>2315</v>
      </c>
      <c r="G138" s="712"/>
      <c r="H138" s="32">
        <f>SUM(H139:H146)</f>
        <v>1610</v>
      </c>
      <c r="I138" s="537" t="s">
        <v>1619</v>
      </c>
    </row>
    <row r="139" spans="1:9" ht="15">
      <c r="A139" s="948">
        <v>16.1</v>
      </c>
      <c r="B139" s="795" t="s">
        <v>762</v>
      </c>
      <c r="C139" s="956">
        <v>0</v>
      </c>
      <c r="D139" s="809">
        <v>0</v>
      </c>
      <c r="E139" s="943">
        <v>1400</v>
      </c>
      <c r="F139" s="30">
        <v>500</v>
      </c>
      <c r="G139" s="710">
        <v>2264</v>
      </c>
      <c r="H139" s="30">
        <v>500</v>
      </c>
      <c r="I139" s="74" t="s">
        <v>760</v>
      </c>
    </row>
    <row r="140" spans="1:9" ht="15">
      <c r="A140" s="948"/>
      <c r="B140" s="954"/>
      <c r="C140" s="956"/>
      <c r="D140" s="809"/>
      <c r="E140" s="944"/>
      <c r="F140" s="30">
        <v>100</v>
      </c>
      <c r="G140" s="710">
        <v>2262</v>
      </c>
      <c r="H140" s="30">
        <v>100</v>
      </c>
      <c r="I140" s="37" t="s">
        <v>691</v>
      </c>
    </row>
    <row r="141" spans="1:9" ht="15">
      <c r="A141" s="948"/>
      <c r="B141" s="954"/>
      <c r="C141" s="956"/>
      <c r="D141" s="809"/>
      <c r="E141" s="944"/>
      <c r="F141" s="30">
        <v>300</v>
      </c>
      <c r="G141" s="710">
        <v>2261</v>
      </c>
      <c r="H141" s="30">
        <v>300</v>
      </c>
      <c r="I141" s="37" t="s">
        <v>717</v>
      </c>
    </row>
    <row r="142" spans="1:9" ht="15">
      <c r="A142" s="948"/>
      <c r="B142" s="955"/>
      <c r="C142" s="956"/>
      <c r="D142" s="809"/>
      <c r="E142" s="945"/>
      <c r="F142" s="30">
        <v>200</v>
      </c>
      <c r="G142" s="710">
        <v>2279</v>
      </c>
      <c r="H142" s="30">
        <v>200</v>
      </c>
      <c r="I142" s="37" t="s">
        <v>763</v>
      </c>
    </row>
    <row r="143" spans="1:9" ht="15">
      <c r="A143" s="948">
        <v>16.2</v>
      </c>
      <c r="B143" s="808" t="s">
        <v>764</v>
      </c>
      <c r="C143" s="81">
        <v>0</v>
      </c>
      <c r="D143" s="81">
        <v>0</v>
      </c>
      <c r="E143" s="943">
        <v>1215</v>
      </c>
      <c r="F143" s="173">
        <v>500</v>
      </c>
      <c r="G143" s="713">
        <v>2264</v>
      </c>
      <c r="H143" s="30"/>
      <c r="I143" s="74" t="s">
        <v>700</v>
      </c>
    </row>
    <row r="144" spans="1:9" ht="15">
      <c r="A144" s="948"/>
      <c r="B144" s="808"/>
      <c r="C144" s="81">
        <v>265</v>
      </c>
      <c r="D144" s="81">
        <v>265</v>
      </c>
      <c r="E144" s="944"/>
      <c r="F144" s="173">
        <v>265</v>
      </c>
      <c r="G144" s="713">
        <v>2279</v>
      </c>
      <c r="H144" s="30">
        <v>265</v>
      </c>
      <c r="I144" s="74" t="s">
        <v>698</v>
      </c>
    </row>
    <row r="145" spans="1:9" ht="15">
      <c r="A145" s="948"/>
      <c r="B145" s="808"/>
      <c r="C145" s="81">
        <v>250</v>
      </c>
      <c r="D145" s="81">
        <v>245</v>
      </c>
      <c r="E145" s="944"/>
      <c r="F145" s="173">
        <v>250</v>
      </c>
      <c r="G145" s="713">
        <v>2390</v>
      </c>
      <c r="H145" s="30">
        <v>245</v>
      </c>
      <c r="I145" s="74" t="s">
        <v>230</v>
      </c>
    </row>
    <row r="146" spans="1:9" ht="15">
      <c r="A146" s="948"/>
      <c r="B146" s="808"/>
      <c r="C146" s="81">
        <v>0</v>
      </c>
      <c r="D146" s="81">
        <v>0</v>
      </c>
      <c r="E146" s="945"/>
      <c r="F146" s="173">
        <v>200</v>
      </c>
      <c r="G146" s="713">
        <v>2261</v>
      </c>
      <c r="H146" s="30"/>
      <c r="I146" s="74" t="s">
        <v>717</v>
      </c>
    </row>
    <row r="147" spans="1:9" ht="15">
      <c r="A147" s="242">
        <v>17</v>
      </c>
      <c r="B147" s="33" t="s">
        <v>765</v>
      </c>
      <c r="C147" s="32">
        <f>SUM(C148:C162)</f>
        <v>51620</v>
      </c>
      <c r="D147" s="32">
        <f>SUM(D148:D162)</f>
        <v>51617</v>
      </c>
      <c r="E147" s="210">
        <f>SUM(E148:E162)</f>
        <v>82733</v>
      </c>
      <c r="F147" s="32">
        <f>SUM(F148:F162)</f>
        <v>52733</v>
      </c>
      <c r="G147" s="712"/>
      <c r="H147" s="32">
        <f>SUM(H148:H162)</f>
        <v>51613</v>
      </c>
      <c r="I147" s="537" t="s">
        <v>1522</v>
      </c>
    </row>
    <row r="148" spans="1:9" ht="15">
      <c r="A148" s="200">
        <v>17.1</v>
      </c>
      <c r="B148" s="37" t="s">
        <v>766</v>
      </c>
      <c r="C148" s="30">
        <v>200</v>
      </c>
      <c r="D148" s="30">
        <v>199</v>
      </c>
      <c r="E148" s="20">
        <v>220</v>
      </c>
      <c r="F148" s="173">
        <v>220</v>
      </c>
      <c r="G148" s="713">
        <v>2390</v>
      </c>
      <c r="H148" s="30">
        <v>200</v>
      </c>
      <c r="I148" s="74" t="s">
        <v>230</v>
      </c>
    </row>
    <row r="149" spans="1:9" ht="15">
      <c r="A149" s="948">
        <v>17.2</v>
      </c>
      <c r="B149" s="808" t="s">
        <v>767</v>
      </c>
      <c r="C149" s="25">
        <v>100</v>
      </c>
      <c r="D149" s="25">
        <v>100</v>
      </c>
      <c r="E149" s="943">
        <v>1000</v>
      </c>
      <c r="F149" s="173">
        <v>600</v>
      </c>
      <c r="G149" s="713">
        <v>2390</v>
      </c>
      <c r="H149" s="30">
        <v>200</v>
      </c>
      <c r="I149" s="74" t="s">
        <v>230</v>
      </c>
    </row>
    <row r="150" spans="1:9" ht="15">
      <c r="A150" s="948"/>
      <c r="B150" s="808"/>
      <c r="C150" s="25">
        <v>50</v>
      </c>
      <c r="D150" s="25">
        <v>50</v>
      </c>
      <c r="E150" s="944"/>
      <c r="F150" s="173">
        <v>50</v>
      </c>
      <c r="G150" s="713">
        <v>2264</v>
      </c>
      <c r="H150" s="30">
        <v>50</v>
      </c>
      <c r="I150" s="37" t="s">
        <v>699</v>
      </c>
    </row>
    <row r="151" spans="1:9" ht="15">
      <c r="A151" s="948"/>
      <c r="B151" s="808"/>
      <c r="C151" s="25">
        <v>50</v>
      </c>
      <c r="D151" s="25">
        <v>50</v>
      </c>
      <c r="E151" s="945"/>
      <c r="F151" s="173">
        <v>350</v>
      </c>
      <c r="G151" s="713">
        <v>2279</v>
      </c>
      <c r="H151" s="30">
        <v>50</v>
      </c>
      <c r="I151" s="74" t="s">
        <v>698</v>
      </c>
    </row>
    <row r="152" spans="1:9" ht="15">
      <c r="A152" s="948">
        <v>17.3</v>
      </c>
      <c r="B152" s="808" t="s">
        <v>768</v>
      </c>
      <c r="C152" s="25">
        <v>170</v>
      </c>
      <c r="D152" s="25">
        <v>170</v>
      </c>
      <c r="E152" s="943">
        <v>540</v>
      </c>
      <c r="F152" s="173">
        <v>240</v>
      </c>
      <c r="G152" s="713">
        <v>2390</v>
      </c>
      <c r="H152" s="30">
        <v>170</v>
      </c>
      <c r="I152" s="74" t="s">
        <v>230</v>
      </c>
    </row>
    <row r="153" spans="1:9" ht="15">
      <c r="A153" s="948"/>
      <c r="B153" s="808"/>
      <c r="C153" s="25">
        <v>170</v>
      </c>
      <c r="D153" s="25">
        <v>170</v>
      </c>
      <c r="E153" s="945"/>
      <c r="F153" s="173">
        <v>300</v>
      </c>
      <c r="G153" s="713">
        <v>2279</v>
      </c>
      <c r="H153" s="30">
        <v>170</v>
      </c>
      <c r="I153" s="74" t="s">
        <v>698</v>
      </c>
    </row>
    <row r="154" spans="1:9" ht="15">
      <c r="A154" s="948">
        <v>17.4</v>
      </c>
      <c r="B154" s="808" t="s">
        <v>769</v>
      </c>
      <c r="C154" s="25">
        <v>50</v>
      </c>
      <c r="D154" s="25">
        <v>50</v>
      </c>
      <c r="E154" s="943">
        <v>350</v>
      </c>
      <c r="F154" s="173">
        <v>50</v>
      </c>
      <c r="G154" s="713">
        <v>2264</v>
      </c>
      <c r="H154" s="30">
        <v>50</v>
      </c>
      <c r="I154" s="37" t="s">
        <v>699</v>
      </c>
    </row>
    <row r="155" spans="1:9" ht="15">
      <c r="A155" s="948"/>
      <c r="B155" s="808"/>
      <c r="C155" s="25">
        <v>50</v>
      </c>
      <c r="D155" s="25">
        <v>50</v>
      </c>
      <c r="E155" s="944"/>
      <c r="F155" s="173">
        <v>50</v>
      </c>
      <c r="G155" s="713">
        <v>2279</v>
      </c>
      <c r="H155" s="30">
        <v>50</v>
      </c>
      <c r="I155" s="74" t="s">
        <v>698</v>
      </c>
    </row>
    <row r="156" spans="1:9" ht="15">
      <c r="A156" s="948"/>
      <c r="B156" s="808"/>
      <c r="C156" s="25">
        <v>240</v>
      </c>
      <c r="D156" s="25">
        <v>240</v>
      </c>
      <c r="E156" s="945"/>
      <c r="F156" s="173">
        <v>250</v>
      </c>
      <c r="G156" s="713">
        <v>2390</v>
      </c>
      <c r="H156" s="30">
        <v>240</v>
      </c>
      <c r="I156" s="74" t="s">
        <v>230</v>
      </c>
    </row>
    <row r="157" spans="1:9" ht="15">
      <c r="A157" s="948">
        <v>17.5</v>
      </c>
      <c r="B157" s="795" t="s">
        <v>770</v>
      </c>
      <c r="C157" s="30">
        <v>0</v>
      </c>
      <c r="D157" s="30">
        <v>0</v>
      </c>
      <c r="E157" s="957">
        <v>623</v>
      </c>
      <c r="F157" s="173">
        <v>50</v>
      </c>
      <c r="G157" s="713">
        <v>2264</v>
      </c>
      <c r="H157" s="30"/>
      <c r="I157" s="37" t="s">
        <v>699</v>
      </c>
    </row>
    <row r="158" spans="1:9" ht="15">
      <c r="A158" s="948"/>
      <c r="B158" s="796"/>
      <c r="C158" s="30">
        <v>0</v>
      </c>
      <c r="D158" s="30">
        <v>0</v>
      </c>
      <c r="E158" s="962"/>
      <c r="F158" s="173">
        <v>40</v>
      </c>
      <c r="G158" s="713">
        <v>2269</v>
      </c>
      <c r="H158" s="30"/>
      <c r="I158" s="74" t="s">
        <v>771</v>
      </c>
    </row>
    <row r="159" spans="1:9" ht="15">
      <c r="A159" s="948"/>
      <c r="B159" s="796"/>
      <c r="C159" s="30">
        <v>0</v>
      </c>
      <c r="D159" s="30">
        <v>0</v>
      </c>
      <c r="E159" s="962"/>
      <c r="F159" s="173">
        <v>100</v>
      </c>
      <c r="G159" s="713">
        <v>2279</v>
      </c>
      <c r="H159" s="30"/>
      <c r="I159" s="74" t="s">
        <v>698</v>
      </c>
    </row>
    <row r="160" spans="1:9" ht="15">
      <c r="A160" s="948"/>
      <c r="B160" s="797"/>
      <c r="C160" s="30">
        <v>433</v>
      </c>
      <c r="D160" s="30">
        <v>433</v>
      </c>
      <c r="E160" s="958"/>
      <c r="F160" s="173">
        <v>433</v>
      </c>
      <c r="G160" s="713">
        <v>2390</v>
      </c>
      <c r="H160" s="30">
        <v>433</v>
      </c>
      <c r="I160" s="74" t="s">
        <v>230</v>
      </c>
    </row>
    <row r="161" spans="1:9" ht="15">
      <c r="A161" s="950">
        <v>17.6</v>
      </c>
      <c r="B161" s="795" t="s">
        <v>772</v>
      </c>
      <c r="C161" s="30">
        <v>50000</v>
      </c>
      <c r="D161" s="30">
        <v>50000</v>
      </c>
      <c r="E161" s="20">
        <v>80000</v>
      </c>
      <c r="F161" s="173">
        <v>50000</v>
      </c>
      <c r="G161" s="713">
        <v>2279</v>
      </c>
      <c r="H161" s="30">
        <v>50000</v>
      </c>
      <c r="I161" s="74" t="s">
        <v>722</v>
      </c>
    </row>
    <row r="162" spans="1:9" ht="15">
      <c r="A162" s="952"/>
      <c r="B162" s="797"/>
      <c r="C162" s="30">
        <v>107</v>
      </c>
      <c r="D162" s="30">
        <v>105</v>
      </c>
      <c r="E162" s="20">
        <v>0</v>
      </c>
      <c r="F162" s="173">
        <v>0</v>
      </c>
      <c r="G162" s="713">
        <v>2361</v>
      </c>
      <c r="H162" s="30"/>
      <c r="I162" s="74"/>
    </row>
    <row r="163" spans="1:9" ht="15">
      <c r="A163" s="242">
        <v>18</v>
      </c>
      <c r="B163" s="33" t="s">
        <v>773</v>
      </c>
      <c r="C163" s="32">
        <f>SUM(C164:C166)</f>
        <v>1000</v>
      </c>
      <c r="D163" s="32">
        <f>SUM(D164:D166)</f>
        <v>1000</v>
      </c>
      <c r="E163" s="210">
        <f>SUM(E164:E166)</f>
        <v>2600</v>
      </c>
      <c r="F163" s="32">
        <f>SUM(F164:F166)</f>
        <v>1500</v>
      </c>
      <c r="G163" s="711"/>
      <c r="H163" s="32">
        <f>SUM(H164:H166)</f>
        <v>1000</v>
      </c>
      <c r="I163" s="537" t="s">
        <v>1522</v>
      </c>
    </row>
    <row r="164" spans="1:9" ht="15">
      <c r="A164" s="217">
        <v>18.1</v>
      </c>
      <c r="B164" s="37" t="s">
        <v>774</v>
      </c>
      <c r="C164" s="173">
        <v>500</v>
      </c>
      <c r="D164" s="173">
        <v>500</v>
      </c>
      <c r="E164" s="536">
        <v>500</v>
      </c>
      <c r="F164" s="173">
        <v>500</v>
      </c>
      <c r="G164" s="713">
        <v>2279</v>
      </c>
      <c r="H164" s="173">
        <v>500</v>
      </c>
      <c r="I164" s="74" t="s">
        <v>775</v>
      </c>
    </row>
    <row r="165" spans="1:9" ht="15">
      <c r="A165" s="217">
        <v>18.2</v>
      </c>
      <c r="B165" s="37" t="s">
        <v>776</v>
      </c>
      <c r="C165" s="173">
        <v>500</v>
      </c>
      <c r="D165" s="173">
        <v>500</v>
      </c>
      <c r="E165" s="536">
        <v>500</v>
      </c>
      <c r="F165" s="173">
        <v>500</v>
      </c>
      <c r="G165" s="713">
        <v>2279</v>
      </c>
      <c r="H165" s="173">
        <v>500</v>
      </c>
      <c r="I165" s="74" t="s">
        <v>775</v>
      </c>
    </row>
    <row r="166" spans="1:9" ht="15">
      <c r="A166" s="217">
        <v>18.3</v>
      </c>
      <c r="B166" s="37" t="s">
        <v>792</v>
      </c>
      <c r="C166" s="173">
        <v>0</v>
      </c>
      <c r="D166" s="173">
        <v>0</v>
      </c>
      <c r="E166" s="536">
        <v>1600</v>
      </c>
      <c r="F166" s="173">
        <v>500</v>
      </c>
      <c r="G166" s="713">
        <v>2390</v>
      </c>
      <c r="H166" s="173"/>
      <c r="I166" s="74" t="s">
        <v>230</v>
      </c>
    </row>
    <row r="167" spans="1:9" ht="15">
      <c r="A167" s="242">
        <v>19</v>
      </c>
      <c r="B167" s="33" t="s">
        <v>777</v>
      </c>
      <c r="C167" s="551">
        <f>SUM(C168:C188)</f>
        <v>31643</v>
      </c>
      <c r="D167" s="551">
        <f>SUM(D168:D188)</f>
        <v>31599</v>
      </c>
      <c r="E167" s="551">
        <f>SUM(E168:E188)</f>
        <v>51050</v>
      </c>
      <c r="F167" s="551">
        <f>SUM(F168:F188)</f>
        <v>45960</v>
      </c>
      <c r="G167" s="714"/>
      <c r="H167" s="551">
        <f>SUM(H168:H188)</f>
        <v>43480</v>
      </c>
      <c r="I167" s="537" t="s">
        <v>1620</v>
      </c>
    </row>
    <row r="168" spans="1:9" ht="15">
      <c r="A168" s="200">
        <v>19.1</v>
      </c>
      <c r="B168" s="37" t="s">
        <v>778</v>
      </c>
      <c r="C168" s="30">
        <v>0</v>
      </c>
      <c r="D168" s="30">
        <v>0</v>
      </c>
      <c r="E168" s="20">
        <v>2000</v>
      </c>
      <c r="F168" s="30">
        <v>2000</v>
      </c>
      <c r="G168" s="713">
        <v>2279</v>
      </c>
      <c r="H168" s="30">
        <v>2000</v>
      </c>
      <c r="I168" s="74" t="s">
        <v>775</v>
      </c>
    </row>
    <row r="169" spans="1:9" ht="15">
      <c r="A169" s="200">
        <v>19.2</v>
      </c>
      <c r="B169" s="38" t="s">
        <v>779</v>
      </c>
      <c r="C169" s="30">
        <v>0</v>
      </c>
      <c r="D169" s="30">
        <v>0</v>
      </c>
      <c r="E169" s="20">
        <v>1000</v>
      </c>
      <c r="F169" s="30">
        <v>1000</v>
      </c>
      <c r="G169" s="713">
        <v>2279</v>
      </c>
      <c r="H169" s="30"/>
      <c r="I169" s="74" t="s">
        <v>775</v>
      </c>
    </row>
    <row r="170" spans="1:9" ht="15">
      <c r="A170" s="948">
        <v>19.3</v>
      </c>
      <c r="B170" s="949" t="s">
        <v>780</v>
      </c>
      <c r="C170" s="25">
        <v>50</v>
      </c>
      <c r="D170" s="25">
        <v>50</v>
      </c>
      <c r="E170" s="943">
        <v>350</v>
      </c>
      <c r="F170" s="173">
        <v>50</v>
      </c>
      <c r="G170" s="713">
        <v>2279</v>
      </c>
      <c r="H170" s="30">
        <v>50</v>
      </c>
      <c r="I170" s="74" t="s">
        <v>698</v>
      </c>
    </row>
    <row r="171" spans="1:9" ht="15">
      <c r="A171" s="948"/>
      <c r="B171" s="949"/>
      <c r="C171" s="25">
        <v>210</v>
      </c>
      <c r="D171" s="25">
        <v>201</v>
      </c>
      <c r="E171" s="944"/>
      <c r="F171" s="173">
        <v>220</v>
      </c>
      <c r="G171" s="713">
        <v>2390</v>
      </c>
      <c r="H171" s="30">
        <v>220</v>
      </c>
      <c r="I171" s="74" t="s">
        <v>230</v>
      </c>
    </row>
    <row r="172" spans="1:9" ht="15">
      <c r="A172" s="948"/>
      <c r="B172" s="949"/>
      <c r="C172" s="25">
        <v>80</v>
      </c>
      <c r="D172" s="25">
        <v>80</v>
      </c>
      <c r="E172" s="945"/>
      <c r="F172" s="173">
        <v>80</v>
      </c>
      <c r="G172" s="713">
        <v>2264</v>
      </c>
      <c r="H172" s="30">
        <v>80</v>
      </c>
      <c r="I172" s="37" t="s">
        <v>699</v>
      </c>
    </row>
    <row r="173" spans="1:9" ht="24.75">
      <c r="A173" s="200">
        <v>19.4</v>
      </c>
      <c r="B173" s="37" t="s">
        <v>781</v>
      </c>
      <c r="C173" s="30">
        <v>0</v>
      </c>
      <c r="D173" s="30">
        <v>0</v>
      </c>
      <c r="E173" s="20">
        <v>3000</v>
      </c>
      <c r="F173" s="173">
        <v>3000</v>
      </c>
      <c r="G173" s="713">
        <v>2279</v>
      </c>
      <c r="H173" s="552">
        <v>2450</v>
      </c>
      <c r="I173" s="74" t="s">
        <v>722</v>
      </c>
    </row>
    <row r="174" spans="1:9" ht="24.75">
      <c r="A174" s="200">
        <v>19.5</v>
      </c>
      <c r="B174" s="245" t="s">
        <v>782</v>
      </c>
      <c r="C174" s="30">
        <v>115</v>
      </c>
      <c r="D174" s="30">
        <v>105</v>
      </c>
      <c r="E174" s="20">
        <v>120</v>
      </c>
      <c r="F174" s="173">
        <v>120</v>
      </c>
      <c r="G174" s="713">
        <v>2390</v>
      </c>
      <c r="H174" s="552">
        <v>115</v>
      </c>
      <c r="I174" s="74" t="s">
        <v>230</v>
      </c>
    </row>
    <row r="175" spans="1:9" ht="15">
      <c r="A175" s="200">
        <v>19.6</v>
      </c>
      <c r="B175" s="245" t="s">
        <v>783</v>
      </c>
      <c r="C175" s="30">
        <v>22000</v>
      </c>
      <c r="D175" s="30">
        <v>22000</v>
      </c>
      <c r="E175" s="20">
        <v>24000</v>
      </c>
      <c r="F175" s="173">
        <v>20000</v>
      </c>
      <c r="G175" s="713">
        <v>2279</v>
      </c>
      <c r="H175" s="552">
        <v>24000</v>
      </c>
      <c r="I175" s="74" t="s">
        <v>775</v>
      </c>
    </row>
    <row r="176" spans="1:9" ht="15">
      <c r="A176" s="950">
        <v>19.7</v>
      </c>
      <c r="B176" s="959" t="s">
        <v>784</v>
      </c>
      <c r="C176" s="30">
        <v>600</v>
      </c>
      <c r="D176" s="30">
        <v>600</v>
      </c>
      <c r="E176" s="20">
        <v>0</v>
      </c>
      <c r="F176" s="173">
        <v>0</v>
      </c>
      <c r="G176" s="713">
        <v>2261</v>
      </c>
      <c r="H176" s="552"/>
      <c r="I176" s="74"/>
    </row>
    <row r="177" spans="1:9" ht="15">
      <c r="A177" s="951"/>
      <c r="B177" s="960"/>
      <c r="C177" s="30">
        <v>200</v>
      </c>
      <c r="D177" s="30">
        <v>200</v>
      </c>
      <c r="E177" s="20">
        <v>0</v>
      </c>
      <c r="F177" s="173">
        <v>0</v>
      </c>
      <c r="G177" s="713">
        <v>2390</v>
      </c>
      <c r="H177" s="552"/>
      <c r="I177" s="74"/>
    </row>
    <row r="178" spans="1:9" ht="15">
      <c r="A178" s="952"/>
      <c r="B178" s="961"/>
      <c r="C178" s="30">
        <v>300</v>
      </c>
      <c r="D178" s="30">
        <v>275</v>
      </c>
      <c r="E178" s="20">
        <v>0</v>
      </c>
      <c r="F178" s="173">
        <v>0</v>
      </c>
      <c r="G178" s="713">
        <v>2390</v>
      </c>
      <c r="H178" s="552"/>
      <c r="I178" s="74"/>
    </row>
    <row r="179" spans="1:9" ht="15">
      <c r="A179" s="200">
        <v>19.8</v>
      </c>
      <c r="B179" s="246" t="s">
        <v>785</v>
      </c>
      <c r="C179" s="30">
        <v>293</v>
      </c>
      <c r="D179" s="30">
        <v>293</v>
      </c>
      <c r="E179" s="20">
        <v>0</v>
      </c>
      <c r="F179" s="173">
        <v>0</v>
      </c>
      <c r="G179" s="713">
        <v>2279</v>
      </c>
      <c r="H179" s="552"/>
      <c r="I179" s="74"/>
    </row>
    <row r="180" spans="1:9" ht="15">
      <c r="A180" s="200">
        <v>19.9</v>
      </c>
      <c r="B180" s="37" t="s">
        <v>786</v>
      </c>
      <c r="C180" s="30">
        <v>200</v>
      </c>
      <c r="D180" s="30">
        <v>200</v>
      </c>
      <c r="E180" s="20">
        <v>1565</v>
      </c>
      <c r="F180" s="173">
        <v>1565</v>
      </c>
      <c r="G180" s="713">
        <v>2279</v>
      </c>
      <c r="H180" s="552">
        <v>200</v>
      </c>
      <c r="I180" s="74" t="s">
        <v>787</v>
      </c>
    </row>
    <row r="181" spans="1:9" ht="24.75">
      <c r="A181" s="247">
        <v>19.1</v>
      </c>
      <c r="B181" s="37" t="s">
        <v>788</v>
      </c>
      <c r="C181" s="30">
        <v>7595</v>
      </c>
      <c r="D181" s="30">
        <v>7595</v>
      </c>
      <c r="E181" s="20">
        <v>7595</v>
      </c>
      <c r="F181" s="30">
        <v>7595</v>
      </c>
      <c r="G181" s="710">
        <v>2279</v>
      </c>
      <c r="H181" s="30">
        <v>7595</v>
      </c>
      <c r="I181" s="37" t="s">
        <v>789</v>
      </c>
    </row>
    <row r="182" spans="1:9" ht="15">
      <c r="A182" s="200">
        <v>19.11</v>
      </c>
      <c r="B182" s="37" t="s">
        <v>790</v>
      </c>
      <c r="C182" s="30">
        <v>0</v>
      </c>
      <c r="D182" s="30">
        <v>0</v>
      </c>
      <c r="E182" s="20">
        <v>3330</v>
      </c>
      <c r="F182" s="30">
        <v>3330</v>
      </c>
      <c r="G182" s="710">
        <v>2279</v>
      </c>
      <c r="H182" s="30">
        <v>270</v>
      </c>
      <c r="I182" s="37" t="s">
        <v>722</v>
      </c>
    </row>
    <row r="183" spans="1:9" ht="15">
      <c r="A183" s="107">
        <v>19.12</v>
      </c>
      <c r="B183" s="69" t="s">
        <v>791</v>
      </c>
      <c r="C183" s="30">
        <v>0</v>
      </c>
      <c r="D183" s="30">
        <v>0</v>
      </c>
      <c r="E183" s="79">
        <v>1500</v>
      </c>
      <c r="F183" s="70">
        <v>1000</v>
      </c>
      <c r="G183" s="715">
        <v>2279</v>
      </c>
      <c r="H183" s="30">
        <v>500</v>
      </c>
      <c r="I183" s="37" t="s">
        <v>722</v>
      </c>
    </row>
    <row r="184" spans="1:9" ht="13.5" customHeight="1">
      <c r="A184" s="200">
        <v>19.13</v>
      </c>
      <c r="B184" s="37" t="s">
        <v>1127</v>
      </c>
      <c r="C184" s="30">
        <v>0</v>
      </c>
      <c r="D184" s="30">
        <v>0</v>
      </c>
      <c r="E184" s="20">
        <v>500</v>
      </c>
      <c r="F184" s="30">
        <v>500</v>
      </c>
      <c r="G184" s="710">
        <v>2279</v>
      </c>
      <c r="H184" s="30">
        <v>500</v>
      </c>
      <c r="I184" s="37" t="s">
        <v>722</v>
      </c>
    </row>
    <row r="185" spans="1:9" ht="24.75">
      <c r="A185" s="948">
        <v>19.14</v>
      </c>
      <c r="B185" s="808" t="s">
        <v>793</v>
      </c>
      <c r="C185" s="809">
        <v>0</v>
      </c>
      <c r="D185" s="809">
        <v>0</v>
      </c>
      <c r="E185" s="943">
        <v>5000</v>
      </c>
      <c r="F185" s="20">
        <v>3000</v>
      </c>
      <c r="G185" s="710">
        <v>2279</v>
      </c>
      <c r="H185" s="30">
        <v>3000</v>
      </c>
      <c r="I185" s="37" t="s">
        <v>794</v>
      </c>
    </row>
    <row r="186" spans="1:9" ht="15">
      <c r="A186" s="948"/>
      <c r="B186" s="808"/>
      <c r="C186" s="809"/>
      <c r="D186" s="809"/>
      <c r="E186" s="945"/>
      <c r="F186" s="20">
        <v>2000</v>
      </c>
      <c r="G186" s="710">
        <v>2261</v>
      </c>
      <c r="H186" s="30">
        <v>2000</v>
      </c>
      <c r="I186" s="74" t="s">
        <v>717</v>
      </c>
    </row>
    <row r="187" spans="1:9" ht="15">
      <c r="A187" s="950">
        <v>19.15</v>
      </c>
      <c r="B187" s="795" t="s">
        <v>795</v>
      </c>
      <c r="C187" s="81">
        <v>0</v>
      </c>
      <c r="D187" s="81">
        <v>0</v>
      </c>
      <c r="E187" s="798">
        <v>1090</v>
      </c>
      <c r="F187" s="20">
        <v>300</v>
      </c>
      <c r="G187" s="710">
        <v>2390</v>
      </c>
      <c r="H187" s="30">
        <v>300</v>
      </c>
      <c r="I187" s="74"/>
    </row>
    <row r="188" spans="1:9" ht="15">
      <c r="A188" s="952"/>
      <c r="B188" s="797"/>
      <c r="C188" s="81">
        <v>0</v>
      </c>
      <c r="D188" s="81">
        <v>0</v>
      </c>
      <c r="E188" s="800"/>
      <c r="F188" s="20">
        <v>200</v>
      </c>
      <c r="G188" s="710">
        <v>2261</v>
      </c>
      <c r="H188" s="30">
        <v>200</v>
      </c>
      <c r="I188" s="74"/>
    </row>
    <row r="189" spans="1:9" ht="15">
      <c r="A189" s="242">
        <v>20</v>
      </c>
      <c r="B189" s="55" t="s">
        <v>796</v>
      </c>
      <c r="C189" s="32">
        <f>SUM(C190:C195)</f>
        <v>0</v>
      </c>
      <c r="D189" s="32">
        <f>SUM(D190:D195)</f>
        <v>0</v>
      </c>
      <c r="E189" s="210">
        <f>SUM(E190:E195)</f>
        <v>2190</v>
      </c>
      <c r="F189" s="32">
        <f>SUM(F190:F195)</f>
        <v>1980</v>
      </c>
      <c r="G189" s="712"/>
      <c r="H189" s="32">
        <f>SUM(H190:H195)</f>
        <v>1580</v>
      </c>
      <c r="I189" s="537"/>
    </row>
    <row r="190" spans="1:9" ht="15">
      <c r="A190" s="948">
        <v>20.1</v>
      </c>
      <c r="B190" s="808" t="s">
        <v>797</v>
      </c>
      <c r="C190" s="809">
        <v>0</v>
      </c>
      <c r="D190" s="809">
        <v>0</v>
      </c>
      <c r="E190" s="943">
        <v>780</v>
      </c>
      <c r="F190" s="173">
        <v>300</v>
      </c>
      <c r="G190" s="713">
        <v>2261</v>
      </c>
      <c r="H190" s="552">
        <v>300</v>
      </c>
      <c r="I190" s="74" t="s">
        <v>717</v>
      </c>
    </row>
    <row r="191" spans="1:9" ht="15">
      <c r="A191" s="948"/>
      <c r="B191" s="808"/>
      <c r="C191" s="809"/>
      <c r="D191" s="809"/>
      <c r="E191" s="944"/>
      <c r="F191" s="173">
        <v>120</v>
      </c>
      <c r="G191" s="713">
        <v>2264</v>
      </c>
      <c r="H191" s="552">
        <v>60</v>
      </c>
      <c r="I191" s="74" t="s">
        <v>798</v>
      </c>
    </row>
    <row r="192" spans="1:9" ht="15">
      <c r="A192" s="948"/>
      <c r="B192" s="808"/>
      <c r="C192" s="809"/>
      <c r="D192" s="809"/>
      <c r="E192" s="945"/>
      <c r="F192" s="173">
        <v>360</v>
      </c>
      <c r="G192" s="713">
        <v>2279</v>
      </c>
      <c r="H192" s="552">
        <v>360</v>
      </c>
      <c r="I192" s="74" t="s">
        <v>698</v>
      </c>
    </row>
    <row r="193" spans="1:9" ht="15">
      <c r="A193" s="948">
        <v>20.2</v>
      </c>
      <c r="B193" s="808" t="s">
        <v>799</v>
      </c>
      <c r="C193" s="809">
        <v>0</v>
      </c>
      <c r="D193" s="809">
        <v>0</v>
      </c>
      <c r="E193" s="943">
        <v>1410</v>
      </c>
      <c r="F193" s="173">
        <v>400</v>
      </c>
      <c r="G193" s="713">
        <v>2279</v>
      </c>
      <c r="H193" s="552">
        <v>360</v>
      </c>
      <c r="I193" s="74" t="s">
        <v>698</v>
      </c>
    </row>
    <row r="194" spans="1:9" ht="15">
      <c r="A194" s="948"/>
      <c r="B194" s="808"/>
      <c r="C194" s="809"/>
      <c r="D194" s="809"/>
      <c r="E194" s="944"/>
      <c r="F194" s="173">
        <v>600</v>
      </c>
      <c r="G194" s="713">
        <v>2261</v>
      </c>
      <c r="H194" s="552">
        <v>400</v>
      </c>
      <c r="I194" s="74" t="s">
        <v>717</v>
      </c>
    </row>
    <row r="195" spans="1:9" ht="15">
      <c r="A195" s="948"/>
      <c r="B195" s="808"/>
      <c r="C195" s="809"/>
      <c r="D195" s="809"/>
      <c r="E195" s="945"/>
      <c r="F195" s="30">
        <v>200</v>
      </c>
      <c r="G195" s="710">
        <v>2264</v>
      </c>
      <c r="H195" s="552">
        <v>100</v>
      </c>
      <c r="I195" s="74" t="s">
        <v>798</v>
      </c>
    </row>
    <row r="196" spans="1:9" ht="15">
      <c r="A196" s="242">
        <v>21</v>
      </c>
      <c r="B196" s="33" t="s">
        <v>800</v>
      </c>
      <c r="C196" s="32">
        <f>SUM(C197:C201)</f>
        <v>800</v>
      </c>
      <c r="D196" s="32">
        <f>SUM(D197:D201)</f>
        <v>729</v>
      </c>
      <c r="E196" s="210">
        <f>SUM(E197:E201)</f>
        <v>1000</v>
      </c>
      <c r="F196" s="32">
        <f>SUM(F197:F201)</f>
        <v>1000</v>
      </c>
      <c r="G196" s="712"/>
      <c r="H196" s="32">
        <f>SUM(H197:H201)</f>
        <v>740</v>
      </c>
      <c r="I196" s="537" t="s">
        <v>1532</v>
      </c>
    </row>
    <row r="197" spans="1:9" ht="15">
      <c r="A197" s="948">
        <v>21.1</v>
      </c>
      <c r="B197" s="808" t="s">
        <v>801</v>
      </c>
      <c r="C197" s="25">
        <v>200</v>
      </c>
      <c r="D197" s="25">
        <v>138</v>
      </c>
      <c r="E197" s="943">
        <v>600</v>
      </c>
      <c r="F197" s="173">
        <v>200</v>
      </c>
      <c r="G197" s="713">
        <v>2390</v>
      </c>
      <c r="H197" s="552">
        <v>140</v>
      </c>
      <c r="I197" s="74" t="s">
        <v>230</v>
      </c>
    </row>
    <row r="198" spans="1:9" ht="15">
      <c r="A198" s="948"/>
      <c r="B198" s="808"/>
      <c r="C198" s="25">
        <v>200</v>
      </c>
      <c r="D198" s="25">
        <v>200</v>
      </c>
      <c r="E198" s="944"/>
      <c r="F198" s="173">
        <v>200</v>
      </c>
      <c r="G198" s="713">
        <v>2390</v>
      </c>
      <c r="H198" s="552">
        <v>200</v>
      </c>
      <c r="I198" s="74" t="s">
        <v>684</v>
      </c>
    </row>
    <row r="199" spans="1:9" ht="15">
      <c r="A199" s="948"/>
      <c r="B199" s="808"/>
      <c r="C199" s="25">
        <v>100</v>
      </c>
      <c r="D199" s="25">
        <v>100</v>
      </c>
      <c r="E199" s="945"/>
      <c r="F199" s="173">
        <v>200</v>
      </c>
      <c r="G199" s="713">
        <v>2279</v>
      </c>
      <c r="H199" s="552">
        <v>100</v>
      </c>
      <c r="I199" s="74" t="s">
        <v>698</v>
      </c>
    </row>
    <row r="200" spans="1:9" ht="15">
      <c r="A200" s="948">
        <v>21.2</v>
      </c>
      <c r="B200" s="808" t="s">
        <v>802</v>
      </c>
      <c r="C200" s="25">
        <v>150</v>
      </c>
      <c r="D200" s="25">
        <v>141</v>
      </c>
      <c r="E200" s="943">
        <v>400</v>
      </c>
      <c r="F200" s="173">
        <v>200</v>
      </c>
      <c r="G200" s="713">
        <v>2390</v>
      </c>
      <c r="H200" s="30">
        <v>150</v>
      </c>
      <c r="I200" s="74" t="s">
        <v>230</v>
      </c>
    </row>
    <row r="201" spans="1:9" ht="15">
      <c r="A201" s="948"/>
      <c r="B201" s="808"/>
      <c r="C201" s="25">
        <v>150</v>
      </c>
      <c r="D201" s="25">
        <v>150</v>
      </c>
      <c r="E201" s="945"/>
      <c r="F201" s="173">
        <v>200</v>
      </c>
      <c r="G201" s="713">
        <v>2279</v>
      </c>
      <c r="H201" s="30">
        <v>150</v>
      </c>
      <c r="I201" s="74" t="s">
        <v>803</v>
      </c>
    </row>
    <row r="202" spans="1:9" ht="15">
      <c r="A202" s="242">
        <v>21</v>
      </c>
      <c r="B202" s="33" t="s">
        <v>804</v>
      </c>
      <c r="C202" s="32">
        <f>SUM(C203:C209)</f>
        <v>1940</v>
      </c>
      <c r="D202" s="32">
        <f>SUM(D203:D209)</f>
        <v>1934</v>
      </c>
      <c r="E202" s="210">
        <f>SUM(E203:E209)</f>
        <v>2600</v>
      </c>
      <c r="F202" s="32">
        <f>SUM(F203:F209)</f>
        <v>2100</v>
      </c>
      <c r="G202" s="712"/>
      <c r="H202" s="32">
        <f>SUM(H203:H209)</f>
        <v>1940</v>
      </c>
      <c r="I202" s="537" t="s">
        <v>1533</v>
      </c>
    </row>
    <row r="203" spans="1:9" ht="24.75">
      <c r="A203" s="200">
        <v>21.1</v>
      </c>
      <c r="B203" s="37" t="s">
        <v>805</v>
      </c>
      <c r="C203" s="30">
        <v>1500</v>
      </c>
      <c r="D203" s="30">
        <v>1500</v>
      </c>
      <c r="E203" s="20">
        <v>2000</v>
      </c>
      <c r="F203" s="30">
        <v>1500</v>
      </c>
      <c r="G203" s="710">
        <v>2279</v>
      </c>
      <c r="H203" s="30">
        <v>1500</v>
      </c>
      <c r="I203" s="37" t="s">
        <v>806</v>
      </c>
    </row>
    <row r="204" spans="1:9" ht="15">
      <c r="A204" s="948">
        <v>21.2</v>
      </c>
      <c r="B204" s="808" t="s">
        <v>807</v>
      </c>
      <c r="C204" s="25">
        <v>120</v>
      </c>
      <c r="D204" s="25">
        <v>120</v>
      </c>
      <c r="E204" s="943">
        <v>200</v>
      </c>
      <c r="F204" s="173">
        <v>120</v>
      </c>
      <c r="G204" s="713">
        <v>2390</v>
      </c>
      <c r="H204" s="30">
        <v>120</v>
      </c>
      <c r="I204" s="74" t="s">
        <v>230</v>
      </c>
    </row>
    <row r="205" spans="1:9" ht="15">
      <c r="A205" s="948"/>
      <c r="B205" s="808"/>
      <c r="C205" s="25">
        <v>80</v>
      </c>
      <c r="D205" s="25">
        <v>80</v>
      </c>
      <c r="E205" s="945"/>
      <c r="F205" s="173">
        <v>80</v>
      </c>
      <c r="G205" s="713">
        <v>2261</v>
      </c>
      <c r="H205" s="30">
        <v>80</v>
      </c>
      <c r="I205" s="74" t="s">
        <v>717</v>
      </c>
    </row>
    <row r="206" spans="1:9" ht="15">
      <c r="A206" s="948">
        <v>21.3</v>
      </c>
      <c r="B206" s="808" t="s">
        <v>808</v>
      </c>
      <c r="C206" s="25">
        <v>120</v>
      </c>
      <c r="D206" s="25">
        <v>114</v>
      </c>
      <c r="E206" s="943">
        <v>200</v>
      </c>
      <c r="F206" s="173">
        <v>120</v>
      </c>
      <c r="G206" s="713">
        <v>2390</v>
      </c>
      <c r="H206" s="30">
        <v>120</v>
      </c>
      <c r="I206" s="74" t="s">
        <v>230</v>
      </c>
    </row>
    <row r="207" spans="1:9" ht="15">
      <c r="A207" s="948"/>
      <c r="B207" s="808"/>
      <c r="C207" s="25">
        <v>0</v>
      </c>
      <c r="D207" s="25">
        <v>0</v>
      </c>
      <c r="E207" s="945"/>
      <c r="F207" s="173">
        <v>80</v>
      </c>
      <c r="G207" s="713">
        <v>2261</v>
      </c>
      <c r="H207" s="30"/>
      <c r="I207" s="74" t="s">
        <v>717</v>
      </c>
    </row>
    <row r="208" spans="1:9" ht="15">
      <c r="A208" s="948">
        <v>21.4</v>
      </c>
      <c r="B208" s="808" t="s">
        <v>809</v>
      </c>
      <c r="C208" s="25">
        <v>120</v>
      </c>
      <c r="D208" s="25">
        <v>120</v>
      </c>
      <c r="E208" s="943">
        <v>200</v>
      </c>
      <c r="F208" s="173">
        <v>120</v>
      </c>
      <c r="G208" s="713">
        <v>2390</v>
      </c>
      <c r="H208" s="30">
        <v>120</v>
      </c>
      <c r="I208" s="74" t="s">
        <v>230</v>
      </c>
    </row>
    <row r="209" spans="1:9" ht="15">
      <c r="A209" s="948"/>
      <c r="B209" s="808"/>
      <c r="C209" s="25">
        <v>0</v>
      </c>
      <c r="D209" s="25">
        <v>0</v>
      </c>
      <c r="E209" s="945"/>
      <c r="F209" s="173">
        <v>80</v>
      </c>
      <c r="G209" s="713">
        <v>2261</v>
      </c>
      <c r="H209" s="30"/>
      <c r="I209" s="74" t="s">
        <v>717</v>
      </c>
    </row>
    <row r="210" spans="1:9" ht="48" customHeight="1">
      <c r="A210" s="963" t="s">
        <v>810</v>
      </c>
      <c r="B210" s="963"/>
      <c r="C210" s="32">
        <f>SUM(C211:C281)</f>
        <v>127939</v>
      </c>
      <c r="D210" s="32">
        <f>SUM(D211:D281)</f>
        <v>127386</v>
      </c>
      <c r="E210" s="32">
        <f>SUM(E211:E281)</f>
        <v>330140</v>
      </c>
      <c r="F210" s="32">
        <f>SUM(F211:F281)</f>
        <v>242751</v>
      </c>
      <c r="G210" s="712"/>
      <c r="H210" s="32">
        <f>SUM(H211:H281)</f>
        <v>211435</v>
      </c>
      <c r="I210" s="537" t="s">
        <v>1621</v>
      </c>
    </row>
    <row r="211" spans="1:9" ht="24.75">
      <c r="A211" s="200">
        <v>1</v>
      </c>
      <c r="B211" s="37" t="s">
        <v>811</v>
      </c>
      <c r="C211" s="30">
        <v>11700</v>
      </c>
      <c r="D211" s="30">
        <v>11700</v>
      </c>
      <c r="E211" s="20">
        <v>30000</v>
      </c>
      <c r="F211" s="173">
        <v>30000</v>
      </c>
      <c r="G211" s="713">
        <v>2279</v>
      </c>
      <c r="H211" s="30">
        <v>30000</v>
      </c>
      <c r="I211" s="37" t="s">
        <v>806</v>
      </c>
    </row>
    <row r="212" spans="1:9" ht="24.75">
      <c r="A212" s="200">
        <v>2</v>
      </c>
      <c r="B212" s="37" t="s">
        <v>812</v>
      </c>
      <c r="C212" s="30">
        <v>15000</v>
      </c>
      <c r="D212" s="30">
        <v>15000</v>
      </c>
      <c r="E212" s="20">
        <v>20000</v>
      </c>
      <c r="F212" s="173">
        <v>20000</v>
      </c>
      <c r="G212" s="713">
        <v>2279</v>
      </c>
      <c r="H212" s="30">
        <v>20000</v>
      </c>
      <c r="I212" s="37" t="s">
        <v>806</v>
      </c>
    </row>
    <row r="213" spans="1:9" ht="24.75">
      <c r="A213" s="200">
        <v>3</v>
      </c>
      <c r="B213" s="37" t="s">
        <v>813</v>
      </c>
      <c r="C213" s="30">
        <v>7845</v>
      </c>
      <c r="D213" s="30">
        <v>7845</v>
      </c>
      <c r="E213" s="20">
        <v>0</v>
      </c>
      <c r="F213" s="173">
        <v>5000</v>
      </c>
      <c r="G213" s="713">
        <v>2279</v>
      </c>
      <c r="H213" s="30">
        <v>5000</v>
      </c>
      <c r="I213" s="37" t="s">
        <v>806</v>
      </c>
    </row>
    <row r="214" spans="1:9" ht="15">
      <c r="A214" s="948">
        <v>4</v>
      </c>
      <c r="B214" s="808" t="s">
        <v>814</v>
      </c>
      <c r="C214" s="25">
        <v>0</v>
      </c>
      <c r="D214" s="25">
        <v>0</v>
      </c>
      <c r="E214" s="943">
        <v>4000</v>
      </c>
      <c r="F214" s="30">
        <v>1000</v>
      </c>
      <c r="G214" s="713">
        <v>2262</v>
      </c>
      <c r="H214" s="30">
        <v>1000</v>
      </c>
      <c r="I214" s="74" t="s">
        <v>691</v>
      </c>
    </row>
    <row r="215" spans="1:9" ht="15">
      <c r="A215" s="948"/>
      <c r="B215" s="808"/>
      <c r="C215" s="25">
        <v>1396</v>
      </c>
      <c r="D215" s="25">
        <v>1396</v>
      </c>
      <c r="E215" s="945"/>
      <c r="F215" s="30">
        <v>3000</v>
      </c>
      <c r="G215" s="713">
        <v>2279</v>
      </c>
      <c r="H215" s="30">
        <v>3000</v>
      </c>
      <c r="I215" s="74" t="s">
        <v>382</v>
      </c>
    </row>
    <row r="216" spans="1:9" ht="15">
      <c r="A216" s="948">
        <v>5</v>
      </c>
      <c r="B216" s="795" t="s">
        <v>815</v>
      </c>
      <c r="C216" s="25">
        <v>0</v>
      </c>
      <c r="D216" s="25">
        <v>0</v>
      </c>
      <c r="E216" s="943">
        <v>16415</v>
      </c>
      <c r="F216" s="30">
        <v>2000</v>
      </c>
      <c r="G216" s="713">
        <v>2262</v>
      </c>
      <c r="H216" s="30">
        <v>2000</v>
      </c>
      <c r="I216" s="74" t="s">
        <v>691</v>
      </c>
    </row>
    <row r="217" spans="1:9" ht="15">
      <c r="A217" s="948"/>
      <c r="B217" s="796"/>
      <c r="C217" s="25">
        <v>216</v>
      </c>
      <c r="D217" s="25">
        <v>216</v>
      </c>
      <c r="E217" s="944"/>
      <c r="F217" s="30">
        <v>3000</v>
      </c>
      <c r="G217" s="713">
        <v>2261</v>
      </c>
      <c r="H217" s="30">
        <v>3000</v>
      </c>
      <c r="I217" s="74" t="s">
        <v>717</v>
      </c>
    </row>
    <row r="218" spans="1:9" ht="15">
      <c r="A218" s="948"/>
      <c r="B218" s="796"/>
      <c r="C218" s="25">
        <v>2497</v>
      </c>
      <c r="D218" s="25">
        <v>2497</v>
      </c>
      <c r="E218" s="944"/>
      <c r="F218" s="30">
        <v>5040</v>
      </c>
      <c r="G218" s="713">
        <v>2231</v>
      </c>
      <c r="H218" s="335">
        <v>5040</v>
      </c>
      <c r="I218" s="74" t="s">
        <v>272</v>
      </c>
    </row>
    <row r="219" spans="1:9" ht="15">
      <c r="A219" s="948"/>
      <c r="B219" s="797"/>
      <c r="C219" s="25">
        <v>6375</v>
      </c>
      <c r="D219" s="25">
        <v>6375</v>
      </c>
      <c r="E219" s="945"/>
      <c r="F219" s="30">
        <v>6375</v>
      </c>
      <c r="G219" s="713">
        <v>2361</v>
      </c>
      <c r="H219" s="30">
        <v>6375</v>
      </c>
      <c r="I219" s="74" t="s">
        <v>816</v>
      </c>
    </row>
    <row r="220" spans="1:9" ht="15">
      <c r="A220" s="200">
        <v>6</v>
      </c>
      <c r="B220" s="37" t="s">
        <v>817</v>
      </c>
      <c r="C220" s="30">
        <v>0</v>
      </c>
      <c r="D220" s="30">
        <v>0</v>
      </c>
      <c r="E220" s="20">
        <v>20000</v>
      </c>
      <c r="F220" s="173">
        <v>5000</v>
      </c>
      <c r="G220" s="713">
        <v>2279</v>
      </c>
      <c r="H220" s="30">
        <v>5000</v>
      </c>
      <c r="I220" s="74" t="s">
        <v>775</v>
      </c>
    </row>
    <row r="221" spans="1:9" ht="24.75">
      <c r="A221" s="200">
        <v>7</v>
      </c>
      <c r="B221" s="37" t="s">
        <v>818</v>
      </c>
      <c r="C221" s="30">
        <v>2800</v>
      </c>
      <c r="D221" s="30">
        <v>2800</v>
      </c>
      <c r="E221" s="20">
        <v>3400</v>
      </c>
      <c r="F221" s="173">
        <v>3400</v>
      </c>
      <c r="G221" s="713">
        <v>2279</v>
      </c>
      <c r="H221" s="30">
        <v>2800</v>
      </c>
      <c r="I221" s="37" t="s">
        <v>806</v>
      </c>
    </row>
    <row r="222" spans="1:9" ht="24.75">
      <c r="A222" s="200">
        <v>8</v>
      </c>
      <c r="B222" s="37" t="s">
        <v>819</v>
      </c>
      <c r="C222" s="30">
        <v>3800</v>
      </c>
      <c r="D222" s="30">
        <v>3800</v>
      </c>
      <c r="E222" s="20">
        <v>3040</v>
      </c>
      <c r="F222" s="173">
        <v>3040</v>
      </c>
      <c r="G222" s="713">
        <v>2279</v>
      </c>
      <c r="H222" s="30">
        <v>3040</v>
      </c>
      <c r="I222" s="74" t="s">
        <v>382</v>
      </c>
    </row>
    <row r="223" spans="1:9" ht="15">
      <c r="A223" s="200">
        <v>9</v>
      </c>
      <c r="B223" s="37" t="s">
        <v>820</v>
      </c>
      <c r="C223" s="30">
        <v>8925</v>
      </c>
      <c r="D223" s="30">
        <v>8925</v>
      </c>
      <c r="E223" s="20">
        <v>25071</v>
      </c>
      <c r="F223" s="173">
        <v>15000</v>
      </c>
      <c r="G223" s="713">
        <v>2279</v>
      </c>
      <c r="H223" s="30">
        <v>10000</v>
      </c>
      <c r="I223" s="37" t="s">
        <v>806</v>
      </c>
    </row>
    <row r="224" spans="1:9" ht="15">
      <c r="A224" s="200">
        <v>10</v>
      </c>
      <c r="B224" s="37" t="s">
        <v>821</v>
      </c>
      <c r="C224" s="30">
        <v>4500</v>
      </c>
      <c r="D224" s="30">
        <v>4500</v>
      </c>
      <c r="E224" s="20">
        <v>9532</v>
      </c>
      <c r="F224" s="173">
        <v>2000</v>
      </c>
      <c r="G224" s="713">
        <v>2279</v>
      </c>
      <c r="H224" s="30">
        <v>9532</v>
      </c>
      <c r="I224" s="74" t="s">
        <v>775</v>
      </c>
    </row>
    <row r="225" spans="1:9" ht="15">
      <c r="A225" s="200">
        <v>11</v>
      </c>
      <c r="B225" s="37" t="s">
        <v>822</v>
      </c>
      <c r="C225" s="30">
        <v>7845</v>
      </c>
      <c r="D225" s="30">
        <v>7845</v>
      </c>
      <c r="E225" s="20">
        <v>33020</v>
      </c>
      <c r="F225" s="173">
        <v>20000</v>
      </c>
      <c r="G225" s="713">
        <v>2279</v>
      </c>
      <c r="H225" s="30">
        <v>10000</v>
      </c>
      <c r="I225" s="74" t="s">
        <v>775</v>
      </c>
    </row>
    <row r="226" spans="1:9" ht="15">
      <c r="A226" s="200">
        <v>12</v>
      </c>
      <c r="B226" s="37" t="s">
        <v>823</v>
      </c>
      <c r="C226" s="30">
        <v>6000</v>
      </c>
      <c r="D226" s="30">
        <v>6000</v>
      </c>
      <c r="E226" s="20">
        <v>25000</v>
      </c>
      <c r="F226" s="173">
        <v>20000</v>
      </c>
      <c r="G226" s="713">
        <v>2279</v>
      </c>
      <c r="H226" s="30">
        <v>20000</v>
      </c>
      <c r="I226" s="74" t="s">
        <v>806</v>
      </c>
    </row>
    <row r="227" spans="1:9" ht="15">
      <c r="A227" s="200">
        <v>13</v>
      </c>
      <c r="B227" s="37" t="s">
        <v>824</v>
      </c>
      <c r="C227" s="30">
        <v>450</v>
      </c>
      <c r="D227" s="30">
        <v>450</v>
      </c>
      <c r="E227" s="20">
        <v>1120</v>
      </c>
      <c r="F227" s="173">
        <v>1120</v>
      </c>
      <c r="G227" s="713">
        <v>2279</v>
      </c>
      <c r="H227" s="30">
        <v>450</v>
      </c>
      <c r="I227" s="74" t="s">
        <v>382</v>
      </c>
    </row>
    <row r="228" spans="1:9" ht="15">
      <c r="A228" s="948">
        <v>14</v>
      </c>
      <c r="B228" s="808" t="s">
        <v>825</v>
      </c>
      <c r="C228" s="25">
        <v>0</v>
      </c>
      <c r="D228" s="25">
        <v>0</v>
      </c>
      <c r="E228" s="943">
        <v>9062</v>
      </c>
      <c r="F228" s="173">
        <v>642</v>
      </c>
      <c r="G228" s="713">
        <v>2312</v>
      </c>
      <c r="H228" s="30">
        <v>642</v>
      </c>
      <c r="I228" s="74" t="s">
        <v>690</v>
      </c>
    </row>
    <row r="229" spans="1:9" ht="15">
      <c r="A229" s="948"/>
      <c r="B229" s="808"/>
      <c r="C229" s="25">
        <v>0</v>
      </c>
      <c r="D229" s="25">
        <v>0</v>
      </c>
      <c r="E229" s="944"/>
      <c r="F229" s="173">
        <v>3300</v>
      </c>
      <c r="G229" s="713">
        <v>2261</v>
      </c>
      <c r="H229" s="30">
        <v>2500</v>
      </c>
      <c r="I229" s="74" t="s">
        <v>717</v>
      </c>
    </row>
    <row r="230" spans="1:9" ht="15">
      <c r="A230" s="948"/>
      <c r="B230" s="808"/>
      <c r="C230" s="25">
        <v>1000</v>
      </c>
      <c r="D230" s="25">
        <v>998</v>
      </c>
      <c r="E230" s="944"/>
      <c r="F230" s="173">
        <v>0</v>
      </c>
      <c r="G230" s="713">
        <v>2262</v>
      </c>
      <c r="H230" s="30"/>
      <c r="I230" s="74" t="s">
        <v>691</v>
      </c>
    </row>
    <row r="231" spans="1:9" ht="15">
      <c r="A231" s="948"/>
      <c r="B231" s="808"/>
      <c r="C231" s="25">
        <v>0</v>
      </c>
      <c r="D231" s="25">
        <v>0</v>
      </c>
      <c r="E231" s="945"/>
      <c r="F231" s="173">
        <v>960</v>
      </c>
      <c r="G231" s="713">
        <v>2279</v>
      </c>
      <c r="H231" s="30">
        <v>960</v>
      </c>
      <c r="I231" s="74" t="s">
        <v>382</v>
      </c>
    </row>
    <row r="232" spans="1:9" ht="15">
      <c r="A232" s="950">
        <v>15</v>
      </c>
      <c r="B232" s="795" t="s">
        <v>826</v>
      </c>
      <c r="C232" s="20">
        <v>500</v>
      </c>
      <c r="D232" s="20">
        <v>500</v>
      </c>
      <c r="E232" s="957">
        <v>17434</v>
      </c>
      <c r="F232" s="536">
        <v>15000</v>
      </c>
      <c r="G232" s="713">
        <v>2279</v>
      </c>
      <c r="H232" s="20">
        <v>10000</v>
      </c>
      <c r="I232" s="231" t="s">
        <v>705</v>
      </c>
    </row>
    <row r="233" spans="1:9" ht="15">
      <c r="A233" s="952"/>
      <c r="B233" s="797"/>
      <c r="C233" s="20">
        <v>250</v>
      </c>
      <c r="D233" s="20">
        <v>250</v>
      </c>
      <c r="E233" s="958"/>
      <c r="F233" s="536">
        <v>0</v>
      </c>
      <c r="G233" s="713">
        <v>2262</v>
      </c>
      <c r="H233" s="20"/>
      <c r="I233" s="231"/>
    </row>
    <row r="234" spans="1:9" ht="24.75">
      <c r="A234" s="200">
        <v>16</v>
      </c>
      <c r="B234" s="37" t="s">
        <v>827</v>
      </c>
      <c r="C234" s="30">
        <v>450</v>
      </c>
      <c r="D234" s="30">
        <v>450</v>
      </c>
      <c r="E234" s="20">
        <v>450</v>
      </c>
      <c r="F234" s="173">
        <v>450</v>
      </c>
      <c r="G234" s="713">
        <v>2279</v>
      </c>
      <c r="H234" s="30">
        <v>450</v>
      </c>
      <c r="I234" s="37" t="s">
        <v>705</v>
      </c>
    </row>
    <row r="235" spans="1:9" ht="15">
      <c r="A235" s="200">
        <v>17</v>
      </c>
      <c r="B235" s="37" t="s">
        <v>828</v>
      </c>
      <c r="C235" s="30">
        <v>440</v>
      </c>
      <c r="D235" s="30">
        <v>440</v>
      </c>
      <c r="E235" s="20">
        <v>440</v>
      </c>
      <c r="F235" s="173">
        <v>300</v>
      </c>
      <c r="G235" s="713">
        <v>2279</v>
      </c>
      <c r="H235" s="30">
        <v>200</v>
      </c>
      <c r="I235" s="74" t="s">
        <v>382</v>
      </c>
    </row>
    <row r="236" spans="1:9" ht="15">
      <c r="A236" s="200">
        <v>18</v>
      </c>
      <c r="B236" s="37" t="s">
        <v>829</v>
      </c>
      <c r="C236" s="30">
        <v>0</v>
      </c>
      <c r="D236" s="30">
        <v>0</v>
      </c>
      <c r="E236" s="20">
        <v>1000</v>
      </c>
      <c r="F236" s="173">
        <v>200</v>
      </c>
      <c r="G236" s="713">
        <v>2279</v>
      </c>
      <c r="H236" s="30">
        <v>500</v>
      </c>
      <c r="I236" s="74" t="s">
        <v>382</v>
      </c>
    </row>
    <row r="237" spans="1:9" ht="15">
      <c r="A237" s="948">
        <v>19</v>
      </c>
      <c r="B237" s="808" t="s">
        <v>830</v>
      </c>
      <c r="C237" s="25">
        <v>0</v>
      </c>
      <c r="D237" s="25">
        <v>0</v>
      </c>
      <c r="E237" s="943">
        <v>2281</v>
      </c>
      <c r="F237" s="173">
        <v>936</v>
      </c>
      <c r="G237" s="713">
        <v>2262</v>
      </c>
      <c r="H237" s="30"/>
      <c r="I237" s="74" t="s">
        <v>691</v>
      </c>
    </row>
    <row r="238" spans="1:9" ht="15">
      <c r="A238" s="948"/>
      <c r="B238" s="808"/>
      <c r="C238" s="25">
        <v>0</v>
      </c>
      <c r="D238" s="25">
        <v>0</v>
      </c>
      <c r="E238" s="944"/>
      <c r="F238" s="173">
        <v>935</v>
      </c>
      <c r="G238" s="713">
        <v>2322</v>
      </c>
      <c r="H238" s="30">
        <v>935</v>
      </c>
      <c r="I238" s="74" t="s">
        <v>403</v>
      </c>
    </row>
    <row r="239" spans="1:9" ht="15">
      <c r="A239" s="948"/>
      <c r="B239" s="808"/>
      <c r="C239" s="25">
        <v>250</v>
      </c>
      <c r="D239" s="25">
        <v>250</v>
      </c>
      <c r="E239" s="945"/>
      <c r="F239" s="173">
        <v>410</v>
      </c>
      <c r="G239" s="713">
        <v>2279</v>
      </c>
      <c r="H239" s="30">
        <v>410</v>
      </c>
      <c r="I239" s="74" t="s">
        <v>382</v>
      </c>
    </row>
    <row r="240" spans="1:9" ht="15">
      <c r="A240" s="200">
        <v>20</v>
      </c>
      <c r="B240" s="37" t="s">
        <v>831</v>
      </c>
      <c r="C240" s="30">
        <v>5000</v>
      </c>
      <c r="D240" s="30">
        <v>5000</v>
      </c>
      <c r="E240" s="20">
        <v>5000</v>
      </c>
      <c r="F240" s="173">
        <v>5000</v>
      </c>
      <c r="G240" s="713">
        <v>2279</v>
      </c>
      <c r="H240" s="30">
        <v>5000</v>
      </c>
      <c r="I240" s="74" t="s">
        <v>832</v>
      </c>
    </row>
    <row r="241" spans="1:9" ht="15">
      <c r="A241" s="106">
        <v>21</v>
      </c>
      <c r="B241" s="91" t="s">
        <v>833</v>
      </c>
      <c r="C241" s="25">
        <v>1500</v>
      </c>
      <c r="D241" s="25">
        <v>1500</v>
      </c>
      <c r="E241" s="25">
        <v>1500</v>
      </c>
      <c r="F241" s="173">
        <f>1500+1000</f>
        <v>2500</v>
      </c>
      <c r="G241" s="713">
        <v>2279</v>
      </c>
      <c r="H241" s="30">
        <f>1500+1000</f>
        <v>2500</v>
      </c>
      <c r="I241" s="74" t="s">
        <v>832</v>
      </c>
    </row>
    <row r="242" spans="1:9" ht="15">
      <c r="A242" s="948">
        <v>22</v>
      </c>
      <c r="B242" s="808" t="s">
        <v>834</v>
      </c>
      <c r="C242" s="25">
        <v>450</v>
      </c>
      <c r="D242" s="25">
        <v>450</v>
      </c>
      <c r="E242" s="943">
        <v>950</v>
      </c>
      <c r="F242" s="173">
        <v>450</v>
      </c>
      <c r="G242" s="713">
        <v>2262</v>
      </c>
      <c r="H242" s="30">
        <v>450</v>
      </c>
      <c r="I242" s="74" t="s">
        <v>691</v>
      </c>
    </row>
    <row r="243" spans="1:9" ht="15">
      <c r="A243" s="948"/>
      <c r="B243" s="808"/>
      <c r="C243" s="25">
        <v>500</v>
      </c>
      <c r="D243" s="25">
        <v>490</v>
      </c>
      <c r="E243" s="945"/>
      <c r="F243" s="173">
        <v>500</v>
      </c>
      <c r="G243" s="713">
        <v>2279</v>
      </c>
      <c r="H243" s="30">
        <v>500</v>
      </c>
      <c r="I243" s="74" t="s">
        <v>382</v>
      </c>
    </row>
    <row r="244" spans="1:9" ht="15">
      <c r="A244" s="942">
        <v>23</v>
      </c>
      <c r="B244" s="968" t="s">
        <v>835</v>
      </c>
      <c r="C244" s="956">
        <v>0</v>
      </c>
      <c r="D244" s="956">
        <v>0</v>
      </c>
      <c r="E244" s="969">
        <v>500</v>
      </c>
      <c r="F244" s="173">
        <v>100</v>
      </c>
      <c r="G244" s="713">
        <v>2279</v>
      </c>
      <c r="H244" s="30">
        <v>100</v>
      </c>
      <c r="I244" s="74" t="s">
        <v>382</v>
      </c>
    </row>
    <row r="245" spans="1:9" ht="15">
      <c r="A245" s="942"/>
      <c r="B245" s="968"/>
      <c r="C245" s="956"/>
      <c r="D245" s="956"/>
      <c r="E245" s="971"/>
      <c r="F245" s="173">
        <v>100</v>
      </c>
      <c r="G245" s="713">
        <v>2262</v>
      </c>
      <c r="H245" s="30"/>
      <c r="I245" s="74" t="s">
        <v>691</v>
      </c>
    </row>
    <row r="246" spans="1:9" ht="15">
      <c r="A246" s="942"/>
      <c r="B246" s="968"/>
      <c r="C246" s="956"/>
      <c r="D246" s="956"/>
      <c r="E246" s="970"/>
      <c r="F246" s="173">
        <v>300</v>
      </c>
      <c r="G246" s="713">
        <v>2361</v>
      </c>
      <c r="H246" s="30">
        <v>300</v>
      </c>
      <c r="I246" s="74" t="s">
        <v>816</v>
      </c>
    </row>
    <row r="247" spans="1:9" ht="15">
      <c r="A247" s="217">
        <v>24</v>
      </c>
      <c r="B247" s="37" t="s">
        <v>836</v>
      </c>
      <c r="C247" s="173">
        <v>1000</v>
      </c>
      <c r="D247" s="173">
        <v>1000</v>
      </c>
      <c r="E247" s="536">
        <v>2760</v>
      </c>
      <c r="F247" s="173">
        <v>1000</v>
      </c>
      <c r="G247" s="713">
        <v>2279</v>
      </c>
      <c r="H247" s="30">
        <f>1300+500</f>
        <v>1800</v>
      </c>
      <c r="I247" s="74" t="s">
        <v>832</v>
      </c>
    </row>
    <row r="248" spans="1:9" ht="15">
      <c r="A248" s="217">
        <v>25</v>
      </c>
      <c r="B248" s="37" t="s">
        <v>837</v>
      </c>
      <c r="C248" s="173">
        <v>500</v>
      </c>
      <c r="D248" s="173">
        <v>500</v>
      </c>
      <c r="E248" s="536">
        <v>500</v>
      </c>
      <c r="F248" s="173">
        <v>500</v>
      </c>
      <c r="G248" s="713">
        <v>2279</v>
      </c>
      <c r="H248" s="30">
        <v>500</v>
      </c>
      <c r="I248" s="74" t="s">
        <v>832</v>
      </c>
    </row>
    <row r="249" spans="1:9" ht="15">
      <c r="A249" s="200">
        <v>26</v>
      </c>
      <c r="B249" s="37" t="s">
        <v>838</v>
      </c>
      <c r="C249" s="30">
        <v>3200</v>
      </c>
      <c r="D249" s="30">
        <v>3200</v>
      </c>
      <c r="E249" s="20">
        <f>3500+1000</f>
        <v>4500</v>
      </c>
      <c r="F249" s="173">
        <f>3500+1000</f>
        <v>4500</v>
      </c>
      <c r="G249" s="713">
        <v>2279</v>
      </c>
      <c r="H249" s="30">
        <v>4500</v>
      </c>
      <c r="I249" s="74" t="s">
        <v>832</v>
      </c>
    </row>
    <row r="250" spans="1:9" ht="12.75" customHeight="1">
      <c r="A250" s="200">
        <v>27</v>
      </c>
      <c r="B250" s="37" t="s">
        <v>839</v>
      </c>
      <c r="C250" s="30">
        <v>500</v>
      </c>
      <c r="D250" s="30">
        <v>500</v>
      </c>
      <c r="E250" s="20">
        <v>1626</v>
      </c>
      <c r="F250" s="173">
        <v>1626</v>
      </c>
      <c r="G250" s="713">
        <v>2279</v>
      </c>
      <c r="H250" s="30">
        <v>1626</v>
      </c>
      <c r="I250" s="74" t="s">
        <v>832</v>
      </c>
    </row>
    <row r="251" spans="1:9" ht="25.5" customHeight="1">
      <c r="A251" s="343">
        <v>28</v>
      </c>
      <c r="B251" s="37" t="s">
        <v>1653</v>
      </c>
      <c r="C251" s="30">
        <v>0</v>
      </c>
      <c r="D251" s="30">
        <v>0</v>
      </c>
      <c r="E251" s="20">
        <v>1830</v>
      </c>
      <c r="F251" s="173">
        <v>1830</v>
      </c>
      <c r="G251" s="713">
        <v>2279</v>
      </c>
      <c r="H251" s="30"/>
      <c r="I251" s="74" t="s">
        <v>382</v>
      </c>
    </row>
    <row r="252" spans="1:9" ht="15">
      <c r="A252" s="200">
        <v>29</v>
      </c>
      <c r="B252" s="37" t="s">
        <v>840</v>
      </c>
      <c r="C252" s="30">
        <v>300</v>
      </c>
      <c r="D252" s="30">
        <v>0</v>
      </c>
      <c r="E252" s="20">
        <v>0</v>
      </c>
      <c r="F252" s="173">
        <v>300</v>
      </c>
      <c r="G252" s="713">
        <v>2279</v>
      </c>
      <c r="H252" s="30"/>
      <c r="I252" s="74" t="s">
        <v>382</v>
      </c>
    </row>
    <row r="253" spans="1:9" ht="24.75">
      <c r="A253" s="200">
        <v>30</v>
      </c>
      <c r="B253" s="37" t="s">
        <v>841</v>
      </c>
      <c r="C253" s="30">
        <v>1000</v>
      </c>
      <c r="D253" s="30">
        <v>1000</v>
      </c>
      <c r="E253" s="20">
        <v>2280</v>
      </c>
      <c r="F253" s="173">
        <v>1500</v>
      </c>
      <c r="G253" s="713">
        <v>2279</v>
      </c>
      <c r="H253" s="30">
        <f>1500+780</f>
        <v>2280</v>
      </c>
      <c r="I253" s="74" t="s">
        <v>382</v>
      </c>
    </row>
    <row r="254" spans="1:9" ht="24.75">
      <c r="A254" s="200">
        <v>31</v>
      </c>
      <c r="B254" s="37" t="s">
        <v>842</v>
      </c>
      <c r="C254" s="30">
        <v>500</v>
      </c>
      <c r="D254" s="30">
        <v>500</v>
      </c>
      <c r="E254" s="20">
        <v>1000</v>
      </c>
      <c r="F254" s="173">
        <v>500</v>
      </c>
      <c r="G254" s="713">
        <v>2279</v>
      </c>
      <c r="H254" s="30">
        <v>500</v>
      </c>
      <c r="I254" s="74" t="s">
        <v>382</v>
      </c>
    </row>
    <row r="255" spans="1:9" ht="24.75">
      <c r="A255" s="200">
        <v>32</v>
      </c>
      <c r="B255" s="37" t="s">
        <v>843</v>
      </c>
      <c r="C255" s="30">
        <v>2000</v>
      </c>
      <c r="D255" s="30">
        <v>2000</v>
      </c>
      <c r="E255" s="20">
        <v>5000</v>
      </c>
      <c r="F255" s="173">
        <v>2000</v>
      </c>
      <c r="G255" s="713">
        <v>2279</v>
      </c>
      <c r="H255" s="552">
        <v>2000</v>
      </c>
      <c r="I255" s="37" t="s">
        <v>705</v>
      </c>
    </row>
    <row r="256" spans="1:9" ht="15">
      <c r="A256" s="200">
        <v>33</v>
      </c>
      <c r="B256" s="37" t="s">
        <v>844</v>
      </c>
      <c r="C256" s="30">
        <v>1750</v>
      </c>
      <c r="D256" s="30">
        <v>1750</v>
      </c>
      <c r="E256" s="20">
        <v>22990</v>
      </c>
      <c r="F256" s="173">
        <v>2000</v>
      </c>
      <c r="G256" s="713">
        <v>2279</v>
      </c>
      <c r="H256" s="552">
        <v>1750</v>
      </c>
      <c r="I256" s="37" t="s">
        <v>705</v>
      </c>
    </row>
    <row r="257" spans="1:9" ht="12" customHeight="1">
      <c r="A257" s="200">
        <v>34</v>
      </c>
      <c r="B257" s="37" t="s">
        <v>845</v>
      </c>
      <c r="C257" s="30">
        <v>500</v>
      </c>
      <c r="D257" s="30">
        <v>500</v>
      </c>
      <c r="E257" s="20">
        <v>2400</v>
      </c>
      <c r="F257" s="173">
        <v>1500</v>
      </c>
      <c r="G257" s="713">
        <v>2279</v>
      </c>
      <c r="H257" s="552">
        <v>500</v>
      </c>
      <c r="I257" s="37" t="s">
        <v>705</v>
      </c>
    </row>
    <row r="258" spans="1:9" ht="15">
      <c r="A258" s="200">
        <v>35</v>
      </c>
      <c r="B258" s="37" t="s">
        <v>846</v>
      </c>
      <c r="C258" s="30">
        <v>1116</v>
      </c>
      <c r="D258" s="30">
        <v>1116</v>
      </c>
      <c r="E258" s="20">
        <v>1762</v>
      </c>
      <c r="F258" s="173">
        <v>1762</v>
      </c>
      <c r="G258" s="713">
        <v>2279</v>
      </c>
      <c r="H258" s="552"/>
      <c r="I258" s="74" t="s">
        <v>722</v>
      </c>
    </row>
    <row r="259" spans="1:9" ht="15">
      <c r="A259" s="200">
        <v>36</v>
      </c>
      <c r="B259" s="37" t="s">
        <v>847</v>
      </c>
      <c r="C259" s="30">
        <v>500</v>
      </c>
      <c r="D259" s="30">
        <v>500</v>
      </c>
      <c r="E259" s="20">
        <v>4800</v>
      </c>
      <c r="F259" s="173">
        <v>3000</v>
      </c>
      <c r="G259" s="713">
        <v>2279</v>
      </c>
      <c r="H259" s="552">
        <v>500</v>
      </c>
      <c r="I259" s="37" t="s">
        <v>705</v>
      </c>
    </row>
    <row r="260" spans="1:9" ht="12.75" customHeight="1">
      <c r="A260" s="200">
        <v>37</v>
      </c>
      <c r="B260" s="37" t="s">
        <v>848</v>
      </c>
      <c r="C260" s="30">
        <v>1000</v>
      </c>
      <c r="D260" s="30">
        <v>1000</v>
      </c>
      <c r="E260" s="20">
        <v>0</v>
      </c>
      <c r="F260" s="173">
        <v>0</v>
      </c>
      <c r="G260" s="713">
        <v>2279</v>
      </c>
      <c r="H260" s="552"/>
      <c r="I260" s="74" t="s">
        <v>382</v>
      </c>
    </row>
    <row r="261" spans="1:9" ht="24.75" customHeight="1">
      <c r="A261" s="343">
        <v>38</v>
      </c>
      <c r="B261" s="37" t="s">
        <v>1128</v>
      </c>
      <c r="C261" s="30">
        <v>0</v>
      </c>
      <c r="D261" s="30">
        <v>0</v>
      </c>
      <c r="E261" s="20">
        <v>2000</v>
      </c>
      <c r="F261" s="173">
        <v>2000</v>
      </c>
      <c r="G261" s="713">
        <v>2279</v>
      </c>
      <c r="H261" s="552">
        <v>2000</v>
      </c>
      <c r="I261" s="74" t="s">
        <v>832</v>
      </c>
    </row>
    <row r="262" spans="1:9" ht="15">
      <c r="A262" s="200">
        <v>39</v>
      </c>
      <c r="B262" s="37" t="s">
        <v>849</v>
      </c>
      <c r="C262" s="30">
        <v>1000</v>
      </c>
      <c r="D262" s="30">
        <v>1000</v>
      </c>
      <c r="E262" s="20">
        <v>4000</v>
      </c>
      <c r="F262" s="173">
        <v>2000</v>
      </c>
      <c r="G262" s="713">
        <v>2279</v>
      </c>
      <c r="H262" s="552">
        <v>1000</v>
      </c>
      <c r="I262" s="37" t="s">
        <v>705</v>
      </c>
    </row>
    <row r="263" spans="1:9" ht="15">
      <c r="A263" s="200">
        <v>40</v>
      </c>
      <c r="B263" s="37" t="s">
        <v>1654</v>
      </c>
      <c r="C263" s="30">
        <v>350</v>
      </c>
      <c r="D263" s="30">
        <v>350</v>
      </c>
      <c r="E263" s="20">
        <v>0</v>
      </c>
      <c r="F263" s="173">
        <v>0</v>
      </c>
      <c r="G263" s="713">
        <v>2279</v>
      </c>
      <c r="H263" s="552"/>
      <c r="I263" s="37" t="s">
        <v>705</v>
      </c>
    </row>
    <row r="264" spans="1:9" ht="24.75">
      <c r="A264" s="200">
        <v>41</v>
      </c>
      <c r="B264" s="37" t="s">
        <v>850</v>
      </c>
      <c r="C264" s="30">
        <v>550</v>
      </c>
      <c r="D264" s="30">
        <v>550</v>
      </c>
      <c r="E264" s="20">
        <v>1010</v>
      </c>
      <c r="F264" s="173">
        <v>1010</v>
      </c>
      <c r="G264" s="713">
        <v>2279</v>
      </c>
      <c r="H264" s="552">
        <v>1010</v>
      </c>
      <c r="I264" s="37" t="s">
        <v>705</v>
      </c>
    </row>
    <row r="265" spans="1:9" ht="15">
      <c r="A265" s="942">
        <v>42</v>
      </c>
      <c r="B265" s="968" t="s">
        <v>851</v>
      </c>
      <c r="C265" s="20">
        <v>100</v>
      </c>
      <c r="D265" s="536">
        <v>100</v>
      </c>
      <c r="E265" s="972">
        <v>600</v>
      </c>
      <c r="F265" s="173">
        <v>100</v>
      </c>
      <c r="G265" s="713">
        <v>2262</v>
      </c>
      <c r="H265" s="552">
        <v>100</v>
      </c>
      <c r="I265" s="37" t="s">
        <v>691</v>
      </c>
    </row>
    <row r="266" spans="1:9" ht="15">
      <c r="A266" s="942"/>
      <c r="B266" s="968"/>
      <c r="C266" s="20">
        <v>400</v>
      </c>
      <c r="D266" s="536">
        <v>400</v>
      </c>
      <c r="E266" s="973"/>
      <c r="F266" s="173">
        <v>500</v>
      </c>
      <c r="G266" s="713">
        <v>2279</v>
      </c>
      <c r="H266" s="552">
        <v>400</v>
      </c>
      <c r="I266" s="74" t="s">
        <v>382</v>
      </c>
    </row>
    <row r="267" spans="1:9" ht="15">
      <c r="A267" s="942">
        <v>43</v>
      </c>
      <c r="B267" s="968" t="s">
        <v>852</v>
      </c>
      <c r="C267" s="809">
        <v>0</v>
      </c>
      <c r="D267" s="956">
        <v>0</v>
      </c>
      <c r="E267" s="969">
        <v>2250</v>
      </c>
      <c r="F267" s="173">
        <v>150</v>
      </c>
      <c r="G267" s="713">
        <v>2279</v>
      </c>
      <c r="H267" s="553">
        <f>150+215</f>
        <v>365</v>
      </c>
      <c r="I267" s="37" t="s">
        <v>382</v>
      </c>
    </row>
    <row r="268" spans="1:9" ht="15">
      <c r="A268" s="942"/>
      <c r="B268" s="968"/>
      <c r="C268" s="809"/>
      <c r="D268" s="956"/>
      <c r="E268" s="970"/>
      <c r="F268" s="173">
        <v>350</v>
      </c>
      <c r="G268" s="713">
        <v>2312</v>
      </c>
      <c r="H268" s="554">
        <f>350+285</f>
        <v>635</v>
      </c>
      <c r="I268" s="74" t="s">
        <v>690</v>
      </c>
    </row>
    <row r="269" spans="1:9" ht="15">
      <c r="A269" s="243">
        <v>44</v>
      </c>
      <c r="B269" s="244" t="s">
        <v>853</v>
      </c>
      <c r="C269" s="30">
        <v>0</v>
      </c>
      <c r="D269" s="173">
        <v>0</v>
      </c>
      <c r="E269" s="536">
        <v>685</v>
      </c>
      <c r="F269" s="173">
        <v>685</v>
      </c>
      <c r="G269" s="716">
        <v>2279</v>
      </c>
      <c r="H269" s="552">
        <v>405</v>
      </c>
      <c r="I269" s="69" t="s">
        <v>382</v>
      </c>
    </row>
    <row r="270" spans="1:9" ht="24.75">
      <c r="A270" s="217">
        <v>45</v>
      </c>
      <c r="B270" s="37" t="s">
        <v>854</v>
      </c>
      <c r="C270" s="30">
        <v>0</v>
      </c>
      <c r="D270" s="173">
        <v>0</v>
      </c>
      <c r="E270" s="536">
        <v>1000</v>
      </c>
      <c r="F270" s="173">
        <v>1000</v>
      </c>
      <c r="G270" s="713">
        <v>2279</v>
      </c>
      <c r="H270" s="552">
        <v>1000</v>
      </c>
      <c r="I270" s="37" t="s">
        <v>855</v>
      </c>
    </row>
    <row r="271" spans="1:9" ht="24.75">
      <c r="A271" s="217">
        <v>46</v>
      </c>
      <c r="B271" s="248" t="s">
        <v>856</v>
      </c>
      <c r="C271" s="30">
        <v>350</v>
      </c>
      <c r="D271" s="173">
        <v>350</v>
      </c>
      <c r="E271" s="536">
        <v>0</v>
      </c>
      <c r="F271" s="173">
        <v>0</v>
      </c>
      <c r="G271" s="713">
        <v>2279</v>
      </c>
      <c r="H271" s="552"/>
      <c r="I271" s="37"/>
    </row>
    <row r="272" spans="1:9" ht="36.75">
      <c r="A272" s="217">
        <v>47</v>
      </c>
      <c r="B272" s="37" t="s">
        <v>857</v>
      </c>
      <c r="C272" s="30">
        <v>2430</v>
      </c>
      <c r="D272" s="173">
        <v>2430</v>
      </c>
      <c r="E272" s="536">
        <v>0</v>
      </c>
      <c r="F272" s="173">
        <v>0</v>
      </c>
      <c r="G272" s="713">
        <v>2279</v>
      </c>
      <c r="H272" s="552"/>
      <c r="I272" s="37"/>
    </row>
    <row r="273" spans="1:9" ht="15">
      <c r="A273" s="964">
        <v>48</v>
      </c>
      <c r="B273" s="795" t="s">
        <v>858</v>
      </c>
      <c r="C273" s="30">
        <v>144</v>
      </c>
      <c r="D273" s="173">
        <v>144</v>
      </c>
      <c r="E273" s="536">
        <v>0</v>
      </c>
      <c r="F273" s="173">
        <v>0</v>
      </c>
      <c r="G273" s="713">
        <v>2121</v>
      </c>
      <c r="H273" s="552"/>
      <c r="I273" s="37"/>
    </row>
    <row r="274" spans="1:9" ht="15">
      <c r="A274" s="965"/>
      <c r="B274" s="797"/>
      <c r="C274" s="30">
        <v>856</v>
      </c>
      <c r="D274" s="173">
        <v>615</v>
      </c>
      <c r="E274" s="536">
        <v>0</v>
      </c>
      <c r="F274" s="173">
        <v>0</v>
      </c>
      <c r="G274" s="713">
        <v>2122</v>
      </c>
      <c r="H274" s="552"/>
      <c r="I274" s="37"/>
    </row>
    <row r="275" spans="1:9" ht="24.75">
      <c r="A275" s="217">
        <v>49</v>
      </c>
      <c r="B275" s="37" t="s">
        <v>859</v>
      </c>
      <c r="C275" s="30">
        <v>5120</v>
      </c>
      <c r="D275" s="173">
        <v>5120</v>
      </c>
      <c r="E275" s="536">
        <v>9880</v>
      </c>
      <c r="F275" s="173">
        <v>9880</v>
      </c>
      <c r="G275" s="713">
        <v>2279</v>
      </c>
      <c r="H275" s="552">
        <v>9880</v>
      </c>
      <c r="I275" s="37" t="s">
        <v>860</v>
      </c>
    </row>
    <row r="276" spans="1:9" ht="24.75">
      <c r="A276" s="217">
        <v>50</v>
      </c>
      <c r="B276" s="37" t="s">
        <v>1655</v>
      </c>
      <c r="C276" s="30">
        <v>750</v>
      </c>
      <c r="D276" s="173">
        <v>750</v>
      </c>
      <c r="E276" s="536">
        <v>0</v>
      </c>
      <c r="F276" s="173">
        <v>0</v>
      </c>
      <c r="G276" s="713">
        <v>2279</v>
      </c>
      <c r="H276" s="552"/>
      <c r="I276" s="37"/>
    </row>
    <row r="277" spans="1:9" ht="15">
      <c r="A277" s="217">
        <v>51</v>
      </c>
      <c r="B277" s="74" t="s">
        <v>861</v>
      </c>
      <c r="C277" s="30">
        <v>1000</v>
      </c>
      <c r="D277" s="173">
        <v>1000</v>
      </c>
      <c r="E277" s="536">
        <v>1000</v>
      </c>
      <c r="F277" s="173">
        <v>1000</v>
      </c>
      <c r="G277" s="713">
        <v>2279</v>
      </c>
      <c r="H277" s="552">
        <v>1000</v>
      </c>
      <c r="I277" s="37" t="s">
        <v>855</v>
      </c>
    </row>
    <row r="278" spans="1:9" ht="15">
      <c r="A278" s="217">
        <v>52</v>
      </c>
      <c r="B278" s="74" t="s">
        <v>862</v>
      </c>
      <c r="C278" s="30">
        <v>0</v>
      </c>
      <c r="D278" s="173">
        <v>0</v>
      </c>
      <c r="E278" s="536">
        <v>1497</v>
      </c>
      <c r="F278" s="173">
        <v>1000</v>
      </c>
      <c r="G278" s="713">
        <v>2279</v>
      </c>
      <c r="H278" s="552"/>
      <c r="I278" s="37"/>
    </row>
    <row r="279" spans="1:9" ht="24.75">
      <c r="A279" s="217">
        <v>53</v>
      </c>
      <c r="B279" s="37" t="s">
        <v>863</v>
      </c>
      <c r="C279" s="30">
        <v>0</v>
      </c>
      <c r="D279" s="173">
        <v>0</v>
      </c>
      <c r="E279" s="536">
        <v>3555</v>
      </c>
      <c r="F279" s="173">
        <v>2000</v>
      </c>
      <c r="G279" s="713">
        <v>2279</v>
      </c>
      <c r="H279" s="552">
        <v>1000</v>
      </c>
      <c r="I279" s="37"/>
    </row>
    <row r="280" spans="1:9" ht="15">
      <c r="A280" s="217">
        <v>54</v>
      </c>
      <c r="B280" s="37" t="s">
        <v>1546</v>
      </c>
      <c r="C280" s="30">
        <v>0</v>
      </c>
      <c r="D280" s="173">
        <v>0</v>
      </c>
      <c r="E280" s="536">
        <v>2000</v>
      </c>
      <c r="F280" s="173">
        <v>2000</v>
      </c>
      <c r="G280" s="713">
        <v>2279</v>
      </c>
      <c r="H280" s="552">
        <v>2000</v>
      </c>
      <c r="I280" s="37"/>
    </row>
    <row r="281" spans="1:9" ht="36">
      <c r="A281" s="217">
        <v>55</v>
      </c>
      <c r="B281" s="221" t="s">
        <v>671</v>
      </c>
      <c r="C281" s="30">
        <v>11334</v>
      </c>
      <c r="D281" s="173">
        <v>11334</v>
      </c>
      <c r="E281" s="536">
        <v>20000</v>
      </c>
      <c r="F281" s="173">
        <v>20000</v>
      </c>
      <c r="G281" s="713">
        <v>6423</v>
      </c>
      <c r="H281" s="552">
        <v>13000</v>
      </c>
      <c r="I281" s="37"/>
    </row>
    <row r="282" spans="1:9" ht="15">
      <c r="A282" s="249" t="s">
        <v>864</v>
      </c>
      <c r="B282" s="250" t="s">
        <v>865</v>
      </c>
      <c r="C282" s="57">
        <f>SUM(C283)</f>
        <v>0</v>
      </c>
      <c r="D282" s="57">
        <f>SUM(D283)</f>
        <v>0</v>
      </c>
      <c r="E282" s="556">
        <f>SUM(E283)</f>
        <v>3000</v>
      </c>
      <c r="F282" s="57">
        <f>SUM(F283)</f>
        <v>3000</v>
      </c>
      <c r="G282" s="717"/>
      <c r="H282" s="57">
        <f>SUM(H283)</f>
        <v>0</v>
      </c>
      <c r="I282" s="251"/>
    </row>
    <row r="283" spans="1:9" ht="15">
      <c r="A283" s="106">
        <v>1</v>
      </c>
      <c r="B283" s="91" t="s">
        <v>866</v>
      </c>
      <c r="C283" s="557">
        <v>0</v>
      </c>
      <c r="D283" s="557">
        <v>0</v>
      </c>
      <c r="E283" s="558">
        <v>3000</v>
      </c>
      <c r="F283" s="559">
        <v>3000</v>
      </c>
      <c r="G283" s="718">
        <v>2275</v>
      </c>
      <c r="H283" s="555"/>
      <c r="I283" s="542"/>
    </row>
    <row r="284" spans="1:28" s="96" customFormat="1" ht="15">
      <c r="A284" s="966" t="s">
        <v>17</v>
      </c>
      <c r="B284" s="967"/>
      <c r="C284" s="252">
        <f>C11</f>
        <v>278938</v>
      </c>
      <c r="D284" s="252">
        <f>D11</f>
        <v>276420</v>
      </c>
      <c r="E284" s="252">
        <f>E11</f>
        <v>533927</v>
      </c>
      <c r="F284" s="252">
        <f>F11</f>
        <v>393906</v>
      </c>
      <c r="G284" s="719"/>
      <c r="H284" s="252">
        <f>H11</f>
        <v>348295</v>
      </c>
      <c r="I284" s="540" t="s">
        <v>1617</v>
      </c>
      <c r="J284"/>
      <c r="K284"/>
      <c r="L284"/>
      <c r="M284"/>
      <c r="N284"/>
      <c r="O284"/>
      <c r="P284"/>
      <c r="Q284"/>
      <c r="R284"/>
      <c r="S284"/>
      <c r="T284"/>
      <c r="U284"/>
      <c r="V284"/>
      <c r="W284"/>
      <c r="X284"/>
      <c r="Y284"/>
      <c r="Z284"/>
      <c r="AA284"/>
      <c r="AB284"/>
    </row>
    <row r="285" ht="15"/>
    <row r="286" ht="15"/>
    <row r="287" ht="15"/>
    <row r="288" ht="15"/>
    <row r="289" ht="15"/>
    <row r="290" ht="15"/>
    <row r="291" ht="15"/>
    <row r="292" ht="15"/>
    <row r="293" ht="15"/>
    <row r="294" ht="15"/>
    <row r="295" ht="15"/>
    <row r="296" ht="15"/>
    <row r="297" ht="15"/>
  </sheetData>
  <sheetProtection/>
  <mergeCells count="208">
    <mergeCell ref="D267:D268"/>
    <mergeCell ref="E267:E268"/>
    <mergeCell ref="A244:A246"/>
    <mergeCell ref="B244:B246"/>
    <mergeCell ref="C244:C246"/>
    <mergeCell ref="D244:D246"/>
    <mergeCell ref="E244:E246"/>
    <mergeCell ref="A265:A266"/>
    <mergeCell ref="B265:B266"/>
    <mergeCell ref="E265:E266"/>
    <mergeCell ref="A273:A274"/>
    <mergeCell ref="B273:B274"/>
    <mergeCell ref="A284:B284"/>
    <mergeCell ref="A267:A268"/>
    <mergeCell ref="B267:B268"/>
    <mergeCell ref="C267:C268"/>
    <mergeCell ref="A228:A231"/>
    <mergeCell ref="B228:B231"/>
    <mergeCell ref="E228:E231"/>
    <mergeCell ref="A232:A233"/>
    <mergeCell ref="B232:B233"/>
    <mergeCell ref="E232:E233"/>
    <mergeCell ref="A237:A239"/>
    <mergeCell ref="B237:B239"/>
    <mergeCell ref="E237:E239"/>
    <mergeCell ref="A242:A243"/>
    <mergeCell ref="B242:B243"/>
    <mergeCell ref="E242:E243"/>
    <mergeCell ref="A206:A207"/>
    <mergeCell ref="B206:B207"/>
    <mergeCell ref="E206:E207"/>
    <mergeCell ref="A208:A209"/>
    <mergeCell ref="B208:B209"/>
    <mergeCell ref="E208:E209"/>
    <mergeCell ref="A210:B210"/>
    <mergeCell ref="A214:A215"/>
    <mergeCell ref="B214:B215"/>
    <mergeCell ref="E214:E215"/>
    <mergeCell ref="A216:A219"/>
    <mergeCell ref="B216:B219"/>
    <mergeCell ref="E216:E219"/>
    <mergeCell ref="A193:A195"/>
    <mergeCell ref="B193:B195"/>
    <mergeCell ref="C193:C195"/>
    <mergeCell ref="D193:D195"/>
    <mergeCell ref="E193:E195"/>
    <mergeCell ref="A197:A199"/>
    <mergeCell ref="B197:B199"/>
    <mergeCell ref="E197:E199"/>
    <mergeCell ref="A200:A201"/>
    <mergeCell ref="B200:B201"/>
    <mergeCell ref="E200:E201"/>
    <mergeCell ref="A204:A205"/>
    <mergeCell ref="B204:B205"/>
    <mergeCell ref="E204:E205"/>
    <mergeCell ref="E185:E186"/>
    <mergeCell ref="A187:A188"/>
    <mergeCell ref="B187:B188"/>
    <mergeCell ref="E187:E188"/>
    <mergeCell ref="A190:A192"/>
    <mergeCell ref="B190:B192"/>
    <mergeCell ref="C190:C192"/>
    <mergeCell ref="D190:D192"/>
    <mergeCell ref="E190:E192"/>
    <mergeCell ref="A157:A160"/>
    <mergeCell ref="B157:B160"/>
    <mergeCell ref="E157:E160"/>
    <mergeCell ref="A161:A162"/>
    <mergeCell ref="B161:B162"/>
    <mergeCell ref="A170:A172"/>
    <mergeCell ref="B170:B172"/>
    <mergeCell ref="E170:E172"/>
    <mergeCell ref="A176:A178"/>
    <mergeCell ref="B176:B178"/>
    <mergeCell ref="A185:A186"/>
    <mergeCell ref="B185:B186"/>
    <mergeCell ref="C185:C186"/>
    <mergeCell ref="D185:D186"/>
    <mergeCell ref="A143:A146"/>
    <mergeCell ref="B143:B146"/>
    <mergeCell ref="E143:E146"/>
    <mergeCell ref="A149:A151"/>
    <mergeCell ref="B149:B151"/>
    <mergeCell ref="E149:E151"/>
    <mergeCell ref="A152:A153"/>
    <mergeCell ref="B152:B153"/>
    <mergeCell ref="E152:E153"/>
    <mergeCell ref="A154:A156"/>
    <mergeCell ref="B154:B156"/>
    <mergeCell ref="E154:E156"/>
    <mergeCell ref="A139:A142"/>
    <mergeCell ref="B139:B142"/>
    <mergeCell ref="C139:C142"/>
    <mergeCell ref="D139:D142"/>
    <mergeCell ref="E139:E142"/>
    <mergeCell ref="A128:A129"/>
    <mergeCell ref="B128:B129"/>
    <mergeCell ref="E128:E129"/>
    <mergeCell ref="A130:A131"/>
    <mergeCell ref="B130:B131"/>
    <mergeCell ref="A122:A123"/>
    <mergeCell ref="B122:B123"/>
    <mergeCell ref="E122:E123"/>
    <mergeCell ref="H111:H114"/>
    <mergeCell ref="A133:A137"/>
    <mergeCell ref="B133:B137"/>
    <mergeCell ref="E133:E137"/>
    <mergeCell ref="E130:E131"/>
    <mergeCell ref="E111:E114"/>
    <mergeCell ref="F111:F114"/>
    <mergeCell ref="G111:G114"/>
    <mergeCell ref="A119:A120"/>
    <mergeCell ref="B119:B120"/>
    <mergeCell ref="C119:C120"/>
    <mergeCell ref="D119:D120"/>
    <mergeCell ref="E119:E120"/>
    <mergeCell ref="I111:I114"/>
    <mergeCell ref="A115:A116"/>
    <mergeCell ref="B115:B116"/>
    <mergeCell ref="E115:E116"/>
    <mergeCell ref="A117:A118"/>
    <mergeCell ref="B117:B118"/>
    <mergeCell ref="E117:E118"/>
    <mergeCell ref="A111:A114"/>
    <mergeCell ref="C111:C114"/>
    <mergeCell ref="D111:D114"/>
    <mergeCell ref="A87:A88"/>
    <mergeCell ref="B87:B88"/>
    <mergeCell ref="E87:E88"/>
    <mergeCell ref="A100:A103"/>
    <mergeCell ref="B100:B103"/>
    <mergeCell ref="E100:E103"/>
    <mergeCell ref="A104:A107"/>
    <mergeCell ref="B104:B107"/>
    <mergeCell ref="E104:E107"/>
    <mergeCell ref="A108:A109"/>
    <mergeCell ref="B108:B109"/>
    <mergeCell ref="E108:E109"/>
    <mergeCell ref="A77:A78"/>
    <mergeCell ref="B77:B78"/>
    <mergeCell ref="E77:E78"/>
    <mergeCell ref="A79:A80"/>
    <mergeCell ref="B79:B80"/>
    <mergeCell ref="E79:E80"/>
    <mergeCell ref="A81:A82"/>
    <mergeCell ref="B81:B82"/>
    <mergeCell ref="E81:E82"/>
    <mergeCell ref="A85:A86"/>
    <mergeCell ref="B85:B86"/>
    <mergeCell ref="E85:E86"/>
    <mergeCell ref="A58:A62"/>
    <mergeCell ref="B58:B62"/>
    <mergeCell ref="E58:E62"/>
    <mergeCell ref="A64:A65"/>
    <mergeCell ref="B64:B65"/>
    <mergeCell ref="A66:A67"/>
    <mergeCell ref="B66:B67"/>
    <mergeCell ref="A68:A69"/>
    <mergeCell ref="B68:B69"/>
    <mergeCell ref="A70:A73"/>
    <mergeCell ref="B70:B73"/>
    <mergeCell ref="A74:A75"/>
    <mergeCell ref="B74:B75"/>
    <mergeCell ref="A39:A40"/>
    <mergeCell ref="B39:B40"/>
    <mergeCell ref="E39:E40"/>
    <mergeCell ref="A41:A42"/>
    <mergeCell ref="B41:B42"/>
    <mergeCell ref="C41:C42"/>
    <mergeCell ref="D41:D42"/>
    <mergeCell ref="E41:E42"/>
    <mergeCell ref="A44:A49"/>
    <mergeCell ref="B44:B49"/>
    <mergeCell ref="E44:E49"/>
    <mergeCell ref="A50:A53"/>
    <mergeCell ref="B50:B53"/>
    <mergeCell ref="E50:E53"/>
    <mergeCell ref="A24:A28"/>
    <mergeCell ref="B24:B28"/>
    <mergeCell ref="E24:E28"/>
    <mergeCell ref="A29:A30"/>
    <mergeCell ref="B29:B30"/>
    <mergeCell ref="C29:C30"/>
    <mergeCell ref="D29:D30"/>
    <mergeCell ref="E29:E30"/>
    <mergeCell ref="A32:A36"/>
    <mergeCell ref="B32:B36"/>
    <mergeCell ref="E32:E36"/>
    <mergeCell ref="A37:A38"/>
    <mergeCell ref="B37:B38"/>
    <mergeCell ref="E37:E38"/>
    <mergeCell ref="C4:I4"/>
    <mergeCell ref="A5:I5"/>
    <mergeCell ref="C6:I6"/>
    <mergeCell ref="C7:I7"/>
    <mergeCell ref="C8:I8"/>
    <mergeCell ref="A9:A10"/>
    <mergeCell ref="B9:B10"/>
    <mergeCell ref="C9:C10"/>
    <mergeCell ref="D9:D10"/>
    <mergeCell ref="E9:E10"/>
    <mergeCell ref="F9:F10"/>
    <mergeCell ref="I9:I10"/>
    <mergeCell ref="A11:B11"/>
    <mergeCell ref="A12:B12"/>
    <mergeCell ref="A14:A23"/>
    <mergeCell ref="B14:B23"/>
    <mergeCell ref="E14:E23"/>
  </mergeCells>
  <printOptions/>
  <pageMargins left="0.3937007874015748" right="0.3937007874015748" top="0.7874015748031497" bottom="0.7874015748031497" header="0.5118110236220472" footer="0.5118110236220472"/>
  <pageSetup fitToHeight="0"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rgb="FFFF66FF"/>
    <pageSetUpPr fitToPage="1"/>
  </sheetPr>
  <dimension ref="A1:L18"/>
  <sheetViews>
    <sheetView zoomScalePageLayoutView="0" workbookViewId="0" topLeftCell="A1">
      <selection activeCell="I21" sqref="I21"/>
    </sheetView>
  </sheetViews>
  <sheetFormatPr defaultColWidth="9.140625" defaultRowHeight="15"/>
  <cols>
    <col min="1" max="1" width="6.140625" style="1" customWidth="1"/>
    <col min="2" max="2" width="44.8515625" style="1" customWidth="1"/>
    <col min="3" max="3" width="10.7109375" style="1" customWidth="1"/>
    <col min="4" max="4" width="11.00390625" style="1" customWidth="1"/>
    <col min="5" max="5" width="10.28125" style="1" customWidth="1"/>
    <col min="6" max="6" width="10.7109375" style="1" customWidth="1"/>
    <col min="7" max="7" width="11.00390625" style="1" customWidth="1"/>
    <col min="8" max="8" width="21.28125" style="1" customWidth="1"/>
    <col min="13" max="16384" width="9.140625" style="1" customWidth="1"/>
  </cols>
  <sheetData>
    <row r="1" spans="8:12" s="727" customFormat="1" ht="15.75">
      <c r="H1" s="728" t="s">
        <v>1644</v>
      </c>
      <c r="I1"/>
      <c r="J1"/>
      <c r="K1"/>
      <c r="L1"/>
    </row>
    <row r="2" spans="8:12" s="727" customFormat="1" ht="15.75">
      <c r="H2" s="728" t="s">
        <v>1627</v>
      </c>
      <c r="I2"/>
      <c r="J2"/>
      <c r="K2"/>
      <c r="L2"/>
    </row>
    <row r="3" spans="8:12" s="727" customFormat="1" ht="15.75">
      <c r="H3" s="728" t="s">
        <v>1628</v>
      </c>
      <c r="I3"/>
      <c r="J3"/>
      <c r="K3"/>
      <c r="L3"/>
    </row>
    <row r="4" spans="1:8" ht="15">
      <c r="A4" s="1" t="s">
        <v>18</v>
      </c>
      <c r="B4" s="2"/>
      <c r="C4" s="822" t="s">
        <v>1</v>
      </c>
      <c r="D4" s="822"/>
      <c r="E4" s="822"/>
      <c r="F4" s="822"/>
      <c r="G4" s="822"/>
      <c r="H4" s="822"/>
    </row>
    <row r="5" spans="1:8" ht="16.5">
      <c r="A5" s="823" t="s">
        <v>2</v>
      </c>
      <c r="B5" s="823"/>
      <c r="C5" s="823"/>
      <c r="D5" s="823"/>
      <c r="E5" s="823"/>
      <c r="F5" s="823"/>
      <c r="G5" s="823"/>
      <c r="H5" s="823"/>
    </row>
    <row r="6" spans="1:8" ht="15">
      <c r="A6" s="1" t="s">
        <v>3</v>
      </c>
      <c r="C6" s="822" t="s">
        <v>867</v>
      </c>
      <c r="D6" s="822"/>
      <c r="E6" s="822"/>
      <c r="F6" s="822"/>
      <c r="G6" s="822"/>
      <c r="H6" s="822"/>
    </row>
    <row r="7" spans="1:8" ht="15">
      <c r="A7" s="1" t="s">
        <v>19</v>
      </c>
      <c r="C7" s="806" t="s">
        <v>589</v>
      </c>
      <c r="D7" s="806"/>
      <c r="E7" s="806"/>
      <c r="F7" s="806"/>
      <c r="G7" s="806"/>
      <c r="H7" s="806"/>
    </row>
    <row r="8" spans="1:8" ht="15">
      <c r="A8" s="1" t="s">
        <v>20</v>
      </c>
      <c r="C8" s="806" t="s">
        <v>6</v>
      </c>
      <c r="D8" s="806"/>
      <c r="E8" s="806"/>
      <c r="F8" s="806"/>
      <c r="G8" s="806"/>
      <c r="H8" s="806"/>
    </row>
    <row r="9" spans="1:8" ht="36.75">
      <c r="A9" s="803" t="s">
        <v>7</v>
      </c>
      <c r="B9" s="803" t="s">
        <v>8</v>
      </c>
      <c r="C9" s="803" t="s">
        <v>9</v>
      </c>
      <c r="D9" s="803" t="s">
        <v>943</v>
      </c>
      <c r="E9" s="803" t="s">
        <v>10</v>
      </c>
      <c r="F9" s="4" t="s">
        <v>11</v>
      </c>
      <c r="G9" s="4" t="s">
        <v>12</v>
      </c>
      <c r="H9" s="803" t="s">
        <v>13</v>
      </c>
    </row>
    <row r="10" spans="1:8" ht="36.75" customHeight="1">
      <c r="A10" s="803"/>
      <c r="B10" s="803"/>
      <c r="C10" s="803"/>
      <c r="D10" s="803"/>
      <c r="E10" s="803"/>
      <c r="F10" s="5" t="s">
        <v>14</v>
      </c>
      <c r="G10" s="5" t="s">
        <v>15</v>
      </c>
      <c r="H10" s="803"/>
    </row>
    <row r="11" spans="1:8" ht="15">
      <c r="A11" s="804" t="s">
        <v>16</v>
      </c>
      <c r="B11" s="805"/>
      <c r="C11" s="6">
        <f>SUM(C12:C17)</f>
        <v>60175</v>
      </c>
      <c r="D11" s="6">
        <f>SUM(D12:D17)</f>
        <v>60147</v>
      </c>
      <c r="E11" s="6">
        <f>SUM(E12:E17)</f>
        <v>60275</v>
      </c>
      <c r="F11" s="6"/>
      <c r="G11" s="6">
        <f>SUM(G12:G17)</f>
        <v>60150</v>
      </c>
      <c r="H11" s="537" t="s">
        <v>1522</v>
      </c>
    </row>
    <row r="12" spans="1:12" s="2" customFormat="1" ht="36.75">
      <c r="A12" s="7">
        <v>1</v>
      </c>
      <c r="B12" s="7" t="s">
        <v>868</v>
      </c>
      <c r="C12" s="16">
        <v>47190</v>
      </c>
      <c r="D12" s="16">
        <v>47185</v>
      </c>
      <c r="E12" s="16">
        <v>50000</v>
      </c>
      <c r="F12" s="17">
        <v>2279</v>
      </c>
      <c r="G12" s="16">
        <v>50000</v>
      </c>
      <c r="H12" s="7"/>
      <c r="I12"/>
      <c r="J12"/>
      <c r="K12"/>
      <c r="L12"/>
    </row>
    <row r="13" spans="1:12" s="2" customFormat="1" ht="36.75">
      <c r="A13" s="7">
        <v>2</v>
      </c>
      <c r="B13" s="7" t="s">
        <v>869</v>
      </c>
      <c r="C13" s="16">
        <v>7690</v>
      </c>
      <c r="D13" s="16">
        <v>7690</v>
      </c>
      <c r="E13" s="16">
        <v>5000</v>
      </c>
      <c r="F13" s="17">
        <v>2279</v>
      </c>
      <c r="G13" s="16">
        <v>5000</v>
      </c>
      <c r="H13" s="7"/>
      <c r="I13"/>
      <c r="J13"/>
      <c r="K13"/>
      <c r="L13"/>
    </row>
    <row r="14" spans="1:12" s="2" customFormat="1" ht="24" customHeight="1">
      <c r="A14" s="7">
        <v>3</v>
      </c>
      <c r="B14" s="7" t="s">
        <v>870</v>
      </c>
      <c r="C14" s="16">
        <v>0</v>
      </c>
      <c r="D14" s="16">
        <v>0</v>
      </c>
      <c r="E14" s="16">
        <v>50</v>
      </c>
      <c r="F14" s="17">
        <v>2279</v>
      </c>
      <c r="G14" s="16">
        <v>50</v>
      </c>
      <c r="H14" s="7"/>
      <c r="I14"/>
      <c r="J14"/>
      <c r="K14"/>
      <c r="L14"/>
    </row>
    <row r="15" spans="1:12" s="2" customFormat="1" ht="12.75" customHeight="1">
      <c r="A15" s="7">
        <v>4</v>
      </c>
      <c r="B15" s="7" t="s">
        <v>871</v>
      </c>
      <c r="C15" s="16">
        <v>5176</v>
      </c>
      <c r="D15" s="16">
        <v>5153</v>
      </c>
      <c r="E15" s="16">
        <v>5000</v>
      </c>
      <c r="F15" s="17">
        <v>2519</v>
      </c>
      <c r="G15" s="16">
        <v>5000</v>
      </c>
      <c r="H15" s="7"/>
      <c r="I15"/>
      <c r="J15"/>
      <c r="K15"/>
      <c r="L15"/>
    </row>
    <row r="16" spans="1:12" s="2" customFormat="1" ht="12.75" customHeight="1">
      <c r="A16" s="7">
        <v>5</v>
      </c>
      <c r="B16" s="7" t="s">
        <v>872</v>
      </c>
      <c r="C16" s="16">
        <v>119</v>
      </c>
      <c r="D16" s="16">
        <v>119</v>
      </c>
      <c r="E16" s="16">
        <v>200</v>
      </c>
      <c r="F16" s="17">
        <v>2276</v>
      </c>
      <c r="G16" s="16">
        <v>100</v>
      </c>
      <c r="H16" s="7"/>
      <c r="I16"/>
      <c r="J16"/>
      <c r="K16"/>
      <c r="L16"/>
    </row>
    <row r="17" spans="1:12" s="2" customFormat="1" ht="15">
      <c r="A17" s="7">
        <v>6</v>
      </c>
      <c r="B17" s="7" t="s">
        <v>873</v>
      </c>
      <c r="C17" s="16">
        <v>0</v>
      </c>
      <c r="D17" s="16">
        <v>0</v>
      </c>
      <c r="E17" s="16">
        <v>25</v>
      </c>
      <c r="F17" s="17">
        <v>2279</v>
      </c>
      <c r="G17" s="16"/>
      <c r="H17" s="7"/>
      <c r="I17"/>
      <c r="J17"/>
      <c r="K17"/>
      <c r="L17"/>
    </row>
    <row r="18" spans="1:8" ht="15">
      <c r="A18" s="784" t="s">
        <v>17</v>
      </c>
      <c r="B18" s="785"/>
      <c r="C18" s="13">
        <f>C11</f>
        <v>60175</v>
      </c>
      <c r="D18" s="13">
        <f>D11</f>
        <v>60147</v>
      </c>
      <c r="E18" s="13">
        <f>E11</f>
        <v>60275</v>
      </c>
      <c r="F18" s="13"/>
      <c r="G18" s="13">
        <f>G11</f>
        <v>60150</v>
      </c>
      <c r="H18" s="14"/>
    </row>
    <row r="19" ht="15"/>
    <row r="20" ht="15"/>
    <row r="21" ht="15"/>
    <row r="22" ht="15"/>
    <row r="23" ht="15"/>
    <row r="24" ht="12" customHeight="1"/>
    <row r="25" ht="12.75" customHeight="1"/>
    <row r="26" ht="15"/>
    <row r="27" ht="15"/>
    <row r="28" ht="15"/>
    <row r="29" ht="15"/>
    <row r="31" ht="12" customHeight="1"/>
  </sheetData>
  <sheetProtection/>
  <mergeCells count="13">
    <mergeCell ref="C9:C10"/>
    <mergeCell ref="D9:D10"/>
    <mergeCell ref="E9:E10"/>
    <mergeCell ref="H9:H10"/>
    <mergeCell ref="A11:B11"/>
    <mergeCell ref="A18:B18"/>
    <mergeCell ref="C4:H4"/>
    <mergeCell ref="A5:H5"/>
    <mergeCell ref="C6:H6"/>
    <mergeCell ref="C7:H7"/>
    <mergeCell ref="C8:H8"/>
    <mergeCell ref="A9:A10"/>
    <mergeCell ref="B9:B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tabColor rgb="FFFF66FF"/>
    <pageSetUpPr fitToPage="1"/>
  </sheetPr>
  <dimension ref="A1:AA107"/>
  <sheetViews>
    <sheetView zoomScalePageLayoutView="0" workbookViewId="0" topLeftCell="A103">
      <selection activeCell="I21" sqref="I21"/>
    </sheetView>
  </sheetViews>
  <sheetFormatPr defaultColWidth="9.140625" defaultRowHeight="15"/>
  <cols>
    <col min="1" max="1" width="6.140625" style="96" customWidth="1"/>
    <col min="2" max="2" width="45.7109375" style="96" customWidth="1"/>
    <col min="3" max="3" width="11.8515625" style="96" customWidth="1"/>
    <col min="4" max="4" width="11.140625" style="96" customWidth="1"/>
    <col min="5" max="5" width="10.28125" style="96" customWidth="1"/>
    <col min="6" max="6" width="10.57421875" style="96" customWidth="1"/>
    <col min="7" max="7" width="9.7109375" style="96" customWidth="1"/>
    <col min="8" max="8" width="16.7109375" style="96" customWidth="1"/>
    <col min="9" max="16" width="0" style="96" hidden="1" customWidth="1"/>
    <col min="28" max="16384" width="9.140625" style="96" customWidth="1"/>
  </cols>
  <sheetData>
    <row r="1" spans="8:27" s="725" customFormat="1" ht="15.75">
      <c r="H1" s="726" t="s">
        <v>1645</v>
      </c>
      <c r="Q1"/>
      <c r="R1"/>
      <c r="S1"/>
      <c r="T1"/>
      <c r="U1"/>
      <c r="V1"/>
      <c r="W1"/>
      <c r="X1"/>
      <c r="Y1"/>
      <c r="Z1"/>
      <c r="AA1"/>
    </row>
    <row r="2" spans="8:27" s="725" customFormat="1" ht="15.75">
      <c r="H2" s="726" t="s">
        <v>1627</v>
      </c>
      <c r="Q2"/>
      <c r="R2"/>
      <c r="S2"/>
      <c r="T2"/>
      <c r="U2"/>
      <c r="V2"/>
      <c r="W2"/>
      <c r="X2"/>
      <c r="Y2"/>
      <c r="Z2"/>
      <c r="AA2"/>
    </row>
    <row r="3" spans="8:27" s="725" customFormat="1" ht="15.75">
      <c r="H3" s="726" t="s">
        <v>1628</v>
      </c>
      <c r="Q3"/>
      <c r="R3"/>
      <c r="S3"/>
      <c r="T3"/>
      <c r="U3"/>
      <c r="V3"/>
      <c r="W3"/>
      <c r="X3"/>
      <c r="Y3"/>
      <c r="Z3"/>
      <c r="AA3"/>
    </row>
    <row r="4" spans="1:8" ht="15">
      <c r="A4" s="96" t="s">
        <v>18</v>
      </c>
      <c r="B4" s="42"/>
      <c r="C4" s="946" t="s">
        <v>1</v>
      </c>
      <c r="D4" s="946"/>
      <c r="E4" s="946"/>
      <c r="F4" s="946"/>
      <c r="G4" s="946"/>
      <c r="H4" s="946"/>
    </row>
    <row r="5" spans="1:8" ht="15.75">
      <c r="A5" s="974" t="s">
        <v>2</v>
      </c>
      <c r="B5" s="974"/>
      <c r="C5" s="974"/>
      <c r="D5" s="974"/>
      <c r="E5" s="974"/>
      <c r="F5" s="974"/>
      <c r="G5" s="974"/>
      <c r="H5" s="974"/>
    </row>
    <row r="6" spans="1:8" ht="15">
      <c r="A6" s="96" t="s">
        <v>3</v>
      </c>
      <c r="C6" s="946" t="s">
        <v>874</v>
      </c>
      <c r="D6" s="946"/>
      <c r="E6" s="946"/>
      <c r="F6" s="946"/>
      <c r="G6" s="946"/>
      <c r="H6" s="946"/>
    </row>
    <row r="7" spans="1:8" ht="15">
      <c r="A7" s="96" t="s">
        <v>4</v>
      </c>
      <c r="C7" s="801" t="s">
        <v>875</v>
      </c>
      <c r="D7" s="801"/>
      <c r="E7" s="801"/>
      <c r="F7" s="801"/>
      <c r="G7" s="801"/>
      <c r="H7" s="801"/>
    </row>
    <row r="8" spans="1:8" ht="15">
      <c r="A8" s="96" t="s">
        <v>20</v>
      </c>
      <c r="C8" s="801" t="s">
        <v>478</v>
      </c>
      <c r="D8" s="801"/>
      <c r="E8" s="801"/>
      <c r="F8" s="801"/>
      <c r="G8" s="801"/>
      <c r="H8" s="801"/>
    </row>
    <row r="9" spans="1:8" ht="36.75">
      <c r="A9" s="938" t="s">
        <v>7</v>
      </c>
      <c r="B9" s="938" t="s">
        <v>8</v>
      </c>
      <c r="C9" s="938" t="s">
        <v>9</v>
      </c>
      <c r="D9" s="938" t="s">
        <v>943</v>
      </c>
      <c r="E9" s="938" t="s">
        <v>10</v>
      </c>
      <c r="F9" s="40" t="s">
        <v>11</v>
      </c>
      <c r="G9" s="40" t="s">
        <v>12</v>
      </c>
      <c r="H9" s="938" t="s">
        <v>13</v>
      </c>
    </row>
    <row r="10" spans="1:8" ht="36">
      <c r="A10" s="938"/>
      <c r="B10" s="938"/>
      <c r="C10" s="938"/>
      <c r="D10" s="938"/>
      <c r="E10" s="938"/>
      <c r="F10" s="239" t="s">
        <v>14</v>
      </c>
      <c r="G10" s="239" t="s">
        <v>15</v>
      </c>
      <c r="H10" s="938"/>
    </row>
    <row r="11" spans="1:8" ht="24.75">
      <c r="A11" s="939" t="s">
        <v>16</v>
      </c>
      <c r="B11" s="939"/>
      <c r="C11" s="210">
        <f>C12+C20+C35+C47+C53+C72</f>
        <v>82817</v>
      </c>
      <c r="D11" s="210">
        <f>D12+D20+D35+D47+D53+D72</f>
        <v>82810.35</v>
      </c>
      <c r="E11" s="210">
        <f>E12+E20+E35+E47+E53+E72</f>
        <v>117412.73000000001</v>
      </c>
      <c r="F11" s="240"/>
      <c r="G11" s="32">
        <f>SUM(G12,G20,G35,G47,G53,G72)</f>
        <v>100809</v>
      </c>
      <c r="H11" s="537" t="s">
        <v>1534</v>
      </c>
    </row>
    <row r="12" spans="1:8" ht="15">
      <c r="A12" s="33">
        <v>1</v>
      </c>
      <c r="B12" s="33" t="s">
        <v>876</v>
      </c>
      <c r="C12" s="210">
        <f>SUM(C13:C19)</f>
        <v>4500</v>
      </c>
      <c r="D12" s="210">
        <f>SUM(D13:D19)</f>
        <v>4400.0599999999995</v>
      </c>
      <c r="E12" s="210">
        <f>SUM(E13:E19)</f>
        <v>11500</v>
      </c>
      <c r="F12" s="210"/>
      <c r="G12" s="32">
        <f>SUM(G13:G19)</f>
        <v>6500</v>
      </c>
      <c r="H12" s="38"/>
    </row>
    <row r="13" spans="1:8" ht="15">
      <c r="A13" s="38">
        <v>1.1</v>
      </c>
      <c r="B13" s="38" t="s">
        <v>877</v>
      </c>
      <c r="C13" s="20">
        <v>2300</v>
      </c>
      <c r="D13" s="20">
        <v>2299.06</v>
      </c>
      <c r="E13" s="20">
        <v>1500</v>
      </c>
      <c r="F13" s="86">
        <v>2279</v>
      </c>
      <c r="G13" s="30">
        <v>1500</v>
      </c>
      <c r="H13" s="38"/>
    </row>
    <row r="14" spans="1:8" ht="15">
      <c r="A14" s="950">
        <v>1.2</v>
      </c>
      <c r="B14" s="795" t="s">
        <v>878</v>
      </c>
      <c r="C14" s="20">
        <v>192</v>
      </c>
      <c r="D14" s="20">
        <v>192</v>
      </c>
      <c r="E14" s="20">
        <v>0</v>
      </c>
      <c r="F14" s="86">
        <v>2121</v>
      </c>
      <c r="G14" s="30"/>
      <c r="H14" s="38"/>
    </row>
    <row r="15" spans="1:8" ht="12.75" customHeight="1">
      <c r="A15" s="952"/>
      <c r="B15" s="797"/>
      <c r="C15" s="20">
        <v>470</v>
      </c>
      <c r="D15" s="20">
        <v>470</v>
      </c>
      <c r="E15" s="20">
        <v>0</v>
      </c>
      <c r="F15" s="86">
        <v>2122</v>
      </c>
      <c r="G15" s="30"/>
      <c r="H15" s="38"/>
    </row>
    <row r="16" spans="1:8" ht="15">
      <c r="A16" s="950">
        <v>1.3</v>
      </c>
      <c r="B16" s="795" t="s">
        <v>879</v>
      </c>
      <c r="C16" s="20">
        <v>268</v>
      </c>
      <c r="D16" s="20">
        <v>268</v>
      </c>
      <c r="E16" s="20">
        <v>0</v>
      </c>
      <c r="F16" s="86">
        <v>2121</v>
      </c>
      <c r="G16" s="30"/>
      <c r="H16" s="38"/>
    </row>
    <row r="17" spans="1:8" ht="12.75" customHeight="1">
      <c r="A17" s="951"/>
      <c r="B17" s="796"/>
      <c r="C17" s="20">
        <v>680</v>
      </c>
      <c r="D17" s="20">
        <v>665</v>
      </c>
      <c r="E17" s="20">
        <v>0</v>
      </c>
      <c r="F17" s="86">
        <v>7712</v>
      </c>
      <c r="G17" s="30"/>
      <c r="H17" s="38"/>
    </row>
    <row r="18" spans="1:8" ht="12.75" customHeight="1">
      <c r="A18" s="952"/>
      <c r="B18" s="797"/>
      <c r="C18" s="20">
        <v>590</v>
      </c>
      <c r="D18" s="20">
        <v>506</v>
      </c>
      <c r="E18" s="20">
        <v>0</v>
      </c>
      <c r="F18" s="86">
        <v>2122</v>
      </c>
      <c r="G18" s="30"/>
      <c r="H18" s="38"/>
    </row>
    <row r="19" spans="1:8" ht="15">
      <c r="A19" s="38">
        <v>1.4</v>
      </c>
      <c r="B19" s="38" t="s">
        <v>880</v>
      </c>
      <c r="C19" s="20">
        <v>0</v>
      </c>
      <c r="D19" s="20">
        <v>0</v>
      </c>
      <c r="E19" s="20">
        <v>10000</v>
      </c>
      <c r="F19" s="31">
        <v>7712</v>
      </c>
      <c r="G19" s="30">
        <v>5000</v>
      </c>
      <c r="H19" s="38"/>
    </row>
    <row r="20" spans="1:8" ht="15">
      <c r="A20" s="33">
        <v>2</v>
      </c>
      <c r="B20" s="33" t="s">
        <v>881</v>
      </c>
      <c r="C20" s="210">
        <f>SUM(C21:C34)</f>
        <v>5313</v>
      </c>
      <c r="D20" s="210">
        <f>SUM(D21:D34)</f>
        <v>5310</v>
      </c>
      <c r="E20" s="210">
        <f>SUM(E21:E34)</f>
        <v>4000</v>
      </c>
      <c r="F20" s="210"/>
      <c r="G20" s="32">
        <f>SUM(G21:G34)</f>
        <v>9500</v>
      </c>
      <c r="H20" s="537" t="s">
        <v>1535</v>
      </c>
    </row>
    <row r="21" spans="1:8" ht="15">
      <c r="A21" s="950">
        <v>2.4</v>
      </c>
      <c r="B21" s="795" t="s">
        <v>882</v>
      </c>
      <c r="C21" s="20">
        <v>660</v>
      </c>
      <c r="D21" s="20">
        <v>684</v>
      </c>
      <c r="E21" s="20">
        <v>500</v>
      </c>
      <c r="F21" s="31">
        <v>2121</v>
      </c>
      <c r="G21" s="30">
        <v>500</v>
      </c>
      <c r="H21" s="38"/>
    </row>
    <row r="22" spans="1:8" ht="15">
      <c r="A22" s="951"/>
      <c r="B22" s="796"/>
      <c r="C22" s="20">
        <v>1632</v>
      </c>
      <c r="D22" s="20">
        <v>1661</v>
      </c>
      <c r="E22" s="20">
        <v>2000</v>
      </c>
      <c r="F22" s="31">
        <v>2122</v>
      </c>
      <c r="G22" s="30">
        <v>2000</v>
      </c>
      <c r="H22" s="38"/>
    </row>
    <row r="23" spans="1:8" ht="12.75" customHeight="1">
      <c r="A23" s="952"/>
      <c r="B23" s="797"/>
      <c r="C23" s="20">
        <v>380</v>
      </c>
      <c r="D23" s="20">
        <v>380</v>
      </c>
      <c r="E23" s="20">
        <v>0</v>
      </c>
      <c r="F23" s="31">
        <v>2279</v>
      </c>
      <c r="G23" s="30"/>
      <c r="H23" s="38"/>
    </row>
    <row r="24" spans="1:8" ht="15">
      <c r="A24" s="964">
        <v>2.5</v>
      </c>
      <c r="B24" s="975" t="s">
        <v>883</v>
      </c>
      <c r="C24" s="220">
        <v>192</v>
      </c>
      <c r="D24" s="173">
        <v>192</v>
      </c>
      <c r="E24" s="173">
        <v>0</v>
      </c>
      <c r="F24" s="214">
        <v>2121</v>
      </c>
      <c r="G24" s="173"/>
      <c r="H24" s="215"/>
    </row>
    <row r="25" spans="1:8" ht="12.75" customHeight="1">
      <c r="A25" s="965"/>
      <c r="B25" s="976"/>
      <c r="C25" s="220">
        <v>480</v>
      </c>
      <c r="D25" s="173">
        <v>480</v>
      </c>
      <c r="E25" s="173">
        <v>0</v>
      </c>
      <c r="F25" s="214">
        <v>2122</v>
      </c>
      <c r="G25" s="173"/>
      <c r="H25" s="215"/>
    </row>
    <row r="26" spans="1:8" ht="15">
      <c r="A26" s="964">
        <v>2.6</v>
      </c>
      <c r="B26" s="975" t="s">
        <v>884</v>
      </c>
      <c r="C26" s="81">
        <v>224</v>
      </c>
      <c r="D26" s="173">
        <v>168</v>
      </c>
      <c r="E26" s="173">
        <v>0</v>
      </c>
      <c r="F26" s="214">
        <v>2121</v>
      </c>
      <c r="G26" s="173"/>
      <c r="H26" s="74"/>
    </row>
    <row r="27" spans="1:8" ht="12.75" customHeight="1">
      <c r="A27" s="965"/>
      <c r="B27" s="976"/>
      <c r="C27" s="81">
        <v>200</v>
      </c>
      <c r="D27" s="173">
        <v>200</v>
      </c>
      <c r="E27" s="173">
        <v>0</v>
      </c>
      <c r="F27" s="214">
        <v>2122</v>
      </c>
      <c r="G27" s="173"/>
      <c r="H27" s="74"/>
    </row>
    <row r="28" spans="1:8" ht="15">
      <c r="A28" s="950">
        <v>2.7</v>
      </c>
      <c r="B28" s="795" t="s">
        <v>885</v>
      </c>
      <c r="C28" s="20">
        <v>140</v>
      </c>
      <c r="D28" s="81">
        <v>140</v>
      </c>
      <c r="E28" s="81">
        <v>0</v>
      </c>
      <c r="F28" s="26">
        <v>2121</v>
      </c>
      <c r="G28" s="81"/>
      <c r="H28" s="239"/>
    </row>
    <row r="29" spans="1:8" ht="12.75" customHeight="1">
      <c r="A29" s="952"/>
      <c r="B29" s="797"/>
      <c r="C29" s="20">
        <v>272</v>
      </c>
      <c r="D29" s="81">
        <v>272</v>
      </c>
      <c r="E29" s="81">
        <v>0</v>
      </c>
      <c r="F29" s="26">
        <v>2122</v>
      </c>
      <c r="G29" s="81"/>
      <c r="H29" s="239"/>
    </row>
    <row r="30" spans="1:8" ht="15">
      <c r="A30" s="950">
        <v>2.8</v>
      </c>
      <c r="B30" s="795" t="s">
        <v>1547</v>
      </c>
      <c r="C30" s="20">
        <v>0</v>
      </c>
      <c r="D30" s="30">
        <v>0</v>
      </c>
      <c r="E30" s="30">
        <v>400</v>
      </c>
      <c r="F30" s="31">
        <v>2121</v>
      </c>
      <c r="G30" s="81">
        <v>1520</v>
      </c>
      <c r="H30" s="239"/>
    </row>
    <row r="31" spans="1:8" ht="12.75" customHeight="1">
      <c r="A31" s="952"/>
      <c r="B31" s="797"/>
      <c r="C31" s="20">
        <v>0</v>
      </c>
      <c r="D31" s="30">
        <v>0</v>
      </c>
      <c r="E31" s="30">
        <v>1100</v>
      </c>
      <c r="F31" s="31">
        <v>2122</v>
      </c>
      <c r="G31" s="81">
        <v>5480</v>
      </c>
      <c r="H31" s="239"/>
    </row>
    <row r="32" spans="1:8" ht="15">
      <c r="A32" s="950">
        <v>2.9</v>
      </c>
      <c r="B32" s="795" t="s">
        <v>886</v>
      </c>
      <c r="C32" s="20">
        <v>250</v>
      </c>
      <c r="D32" s="30">
        <v>250</v>
      </c>
      <c r="E32" s="30">
        <v>0</v>
      </c>
      <c r="F32" s="31">
        <v>7712</v>
      </c>
      <c r="G32" s="81"/>
      <c r="H32" s="239"/>
    </row>
    <row r="33" spans="1:8" ht="12.75" customHeight="1">
      <c r="A33" s="951"/>
      <c r="B33" s="796"/>
      <c r="C33" s="20">
        <v>651</v>
      </c>
      <c r="D33" s="30">
        <v>651</v>
      </c>
      <c r="E33" s="30">
        <v>0</v>
      </c>
      <c r="F33" s="31">
        <v>2122</v>
      </c>
      <c r="G33" s="81"/>
      <c r="H33" s="239"/>
    </row>
    <row r="34" spans="1:8" ht="12.75" customHeight="1">
      <c r="A34" s="952"/>
      <c r="B34" s="797"/>
      <c r="C34" s="20">
        <v>232</v>
      </c>
      <c r="D34" s="30">
        <v>232</v>
      </c>
      <c r="E34" s="30">
        <v>0</v>
      </c>
      <c r="F34" s="31">
        <v>2121</v>
      </c>
      <c r="G34" s="81"/>
      <c r="H34" s="239"/>
    </row>
    <row r="35" spans="1:8" ht="24.75">
      <c r="A35" s="249">
        <v>3</v>
      </c>
      <c r="B35" s="250" t="s">
        <v>887</v>
      </c>
      <c r="C35" s="210">
        <f>SUM(C36:C46)</f>
        <v>24469</v>
      </c>
      <c r="D35" s="210">
        <f>SUM(D36:D46)</f>
        <v>24468.319999999996</v>
      </c>
      <c r="E35" s="210">
        <f>SUM(E36:E46)</f>
        <v>40386</v>
      </c>
      <c r="F35" s="210"/>
      <c r="G35" s="32">
        <f>SUM(G36:G46)</f>
        <v>36634</v>
      </c>
      <c r="H35" s="537" t="s">
        <v>1536</v>
      </c>
    </row>
    <row r="36" spans="1:8" ht="15">
      <c r="A36" s="950">
        <v>3.1</v>
      </c>
      <c r="B36" s="795" t="s">
        <v>888</v>
      </c>
      <c r="C36" s="20">
        <v>20912</v>
      </c>
      <c r="D36" s="30">
        <v>20911.8</v>
      </c>
      <c r="E36" s="30">
        <v>24394</v>
      </c>
      <c r="F36" s="31">
        <v>2390</v>
      </c>
      <c r="G36" s="81">
        <v>24394</v>
      </c>
      <c r="H36" s="239"/>
    </row>
    <row r="37" spans="1:8" ht="12.75" customHeight="1">
      <c r="A37" s="952"/>
      <c r="B37" s="797"/>
      <c r="C37" s="20">
        <v>0</v>
      </c>
      <c r="D37" s="81">
        <v>0</v>
      </c>
      <c r="E37" s="81">
        <v>2790</v>
      </c>
      <c r="F37" s="26">
        <v>5110</v>
      </c>
      <c r="G37" s="81">
        <v>2790</v>
      </c>
      <c r="H37" s="239"/>
    </row>
    <row r="38" spans="1:8" ht="15">
      <c r="A38" s="106">
        <v>3.2</v>
      </c>
      <c r="B38" s="91" t="s">
        <v>889</v>
      </c>
      <c r="C38" s="20">
        <v>937</v>
      </c>
      <c r="D38" s="81">
        <v>936.96</v>
      </c>
      <c r="E38" s="81">
        <v>950</v>
      </c>
      <c r="F38" s="26">
        <v>2390</v>
      </c>
      <c r="G38" s="81">
        <v>950</v>
      </c>
      <c r="H38" s="239"/>
    </row>
    <row r="39" spans="1:8" ht="15">
      <c r="A39" s="106">
        <v>3.3</v>
      </c>
      <c r="B39" s="91" t="s">
        <v>890</v>
      </c>
      <c r="C39" s="20">
        <v>1950</v>
      </c>
      <c r="D39" s="81">
        <v>1949.78</v>
      </c>
      <c r="E39" s="81">
        <v>2000</v>
      </c>
      <c r="F39" s="26">
        <v>2390</v>
      </c>
      <c r="G39" s="81">
        <v>2000</v>
      </c>
      <c r="H39" s="239"/>
    </row>
    <row r="40" spans="1:8" ht="15">
      <c r="A40" s="106">
        <v>3.4</v>
      </c>
      <c r="B40" s="91" t="s">
        <v>891</v>
      </c>
      <c r="C40" s="20">
        <v>670</v>
      </c>
      <c r="D40" s="81">
        <v>669.78</v>
      </c>
      <c r="E40" s="81">
        <v>700</v>
      </c>
      <c r="F40" s="26">
        <v>2390</v>
      </c>
      <c r="G40" s="81">
        <v>700</v>
      </c>
      <c r="H40" s="239"/>
    </row>
    <row r="41" spans="1:8" ht="15">
      <c r="A41" s="106">
        <v>3.5</v>
      </c>
      <c r="B41" s="91" t="s">
        <v>892</v>
      </c>
      <c r="C41" s="20">
        <v>0</v>
      </c>
      <c r="D41" s="81">
        <v>0</v>
      </c>
      <c r="E41" s="81">
        <v>800</v>
      </c>
      <c r="F41" s="26">
        <v>2390</v>
      </c>
      <c r="G41" s="81">
        <v>800</v>
      </c>
      <c r="H41" s="239"/>
    </row>
    <row r="42" spans="1:8" ht="15">
      <c r="A42" s="106">
        <v>3.6</v>
      </c>
      <c r="B42" s="91" t="s">
        <v>893</v>
      </c>
      <c r="C42" s="20">
        <v>0</v>
      </c>
      <c r="D42" s="81">
        <v>0</v>
      </c>
      <c r="E42" s="81">
        <v>800</v>
      </c>
      <c r="F42" s="26">
        <v>2390</v>
      </c>
      <c r="G42" s="81">
        <v>800</v>
      </c>
      <c r="H42" s="239"/>
    </row>
    <row r="43" spans="1:8" ht="15">
      <c r="A43" s="106">
        <v>3.7</v>
      </c>
      <c r="B43" s="91" t="s">
        <v>894</v>
      </c>
      <c r="C43" s="20">
        <v>0</v>
      </c>
      <c r="D43" s="81">
        <v>0</v>
      </c>
      <c r="E43" s="81">
        <v>600</v>
      </c>
      <c r="F43" s="26">
        <v>2390</v>
      </c>
      <c r="G43" s="81">
        <v>600</v>
      </c>
      <c r="H43" s="239"/>
    </row>
    <row r="44" spans="1:8" ht="15">
      <c r="A44" s="106">
        <v>3.8</v>
      </c>
      <c r="B44" s="91" t="s">
        <v>895</v>
      </c>
      <c r="C44" s="20">
        <v>0</v>
      </c>
      <c r="D44" s="81">
        <v>0</v>
      </c>
      <c r="E44" s="81">
        <v>3000</v>
      </c>
      <c r="F44" s="26">
        <v>2390</v>
      </c>
      <c r="G44" s="81">
        <v>3000</v>
      </c>
      <c r="H44" s="239"/>
    </row>
    <row r="45" spans="1:8" ht="15">
      <c r="A45" s="106">
        <v>3.9</v>
      </c>
      <c r="B45" s="91" t="s">
        <v>896</v>
      </c>
      <c r="C45" s="20">
        <v>0</v>
      </c>
      <c r="D45" s="81">
        <v>0</v>
      </c>
      <c r="E45" s="81">
        <v>3752</v>
      </c>
      <c r="F45" s="26">
        <v>2390</v>
      </c>
      <c r="G45" s="81"/>
      <c r="H45" s="239"/>
    </row>
    <row r="46" spans="1:8" ht="15">
      <c r="A46" s="255">
        <v>3.1</v>
      </c>
      <c r="B46" s="91" t="s">
        <v>897</v>
      </c>
      <c r="C46" s="20">
        <v>0</v>
      </c>
      <c r="D46" s="81">
        <v>0</v>
      </c>
      <c r="E46" s="81">
        <v>600</v>
      </c>
      <c r="F46" s="26">
        <v>2390</v>
      </c>
      <c r="G46" s="81">
        <v>600</v>
      </c>
      <c r="H46" s="239"/>
    </row>
    <row r="47" spans="1:8" ht="24.75">
      <c r="A47" s="33">
        <v>4</v>
      </c>
      <c r="B47" s="33" t="s">
        <v>898</v>
      </c>
      <c r="C47" s="210">
        <f>SUM(C48:C52)</f>
        <v>5418</v>
      </c>
      <c r="D47" s="210">
        <f>SUM(D48:D52)</f>
        <v>5416.709999999999</v>
      </c>
      <c r="E47" s="210">
        <f>SUM(E48:E52)</f>
        <v>5772</v>
      </c>
      <c r="F47" s="210"/>
      <c r="G47" s="32">
        <f>SUM(G48:G52)</f>
        <v>5770</v>
      </c>
      <c r="H47" s="537" t="s">
        <v>1537</v>
      </c>
    </row>
    <row r="48" spans="1:8" ht="15">
      <c r="A48" s="38">
        <v>4.1</v>
      </c>
      <c r="B48" s="38" t="s">
        <v>899</v>
      </c>
      <c r="C48" s="20">
        <v>1393</v>
      </c>
      <c r="D48" s="20">
        <v>1392.3</v>
      </c>
      <c r="E48" s="20">
        <v>1395</v>
      </c>
      <c r="F48" s="86">
        <v>7712</v>
      </c>
      <c r="G48" s="30">
        <v>1393</v>
      </c>
      <c r="H48" s="38"/>
    </row>
    <row r="49" spans="1:8" ht="15">
      <c r="A49" s="38">
        <v>4.2</v>
      </c>
      <c r="B49" s="38" t="s">
        <v>900</v>
      </c>
      <c r="C49" s="20">
        <v>1335</v>
      </c>
      <c r="D49" s="20">
        <v>1334.44</v>
      </c>
      <c r="E49" s="20">
        <v>1335</v>
      </c>
      <c r="F49" s="86">
        <v>7712</v>
      </c>
      <c r="G49" s="30">
        <v>1335</v>
      </c>
      <c r="H49" s="38"/>
    </row>
    <row r="50" spans="1:8" ht="15">
      <c r="A50" s="38">
        <v>4.3</v>
      </c>
      <c r="B50" s="38" t="s">
        <v>901</v>
      </c>
      <c r="C50" s="20">
        <v>2090</v>
      </c>
      <c r="D50" s="20">
        <v>2089.97</v>
      </c>
      <c r="E50" s="20">
        <v>2090</v>
      </c>
      <c r="F50" s="86">
        <v>7712</v>
      </c>
      <c r="G50" s="30">
        <v>2090</v>
      </c>
      <c r="H50" s="38"/>
    </row>
    <row r="51" spans="1:8" ht="15">
      <c r="A51" s="200">
        <v>4.4</v>
      </c>
      <c r="B51" s="38" t="s">
        <v>902</v>
      </c>
      <c r="C51" s="20">
        <v>600</v>
      </c>
      <c r="D51" s="20">
        <v>600</v>
      </c>
      <c r="E51" s="20">
        <v>600</v>
      </c>
      <c r="F51" s="86">
        <v>2279</v>
      </c>
      <c r="G51" s="30">
        <v>600</v>
      </c>
      <c r="H51" s="38"/>
    </row>
    <row r="52" spans="1:8" ht="15">
      <c r="A52" s="200">
        <v>4.5</v>
      </c>
      <c r="B52" s="38" t="s">
        <v>903</v>
      </c>
      <c r="C52" s="20">
        <v>0</v>
      </c>
      <c r="D52" s="20">
        <v>0</v>
      </c>
      <c r="E52" s="20">
        <v>352</v>
      </c>
      <c r="F52" s="86">
        <v>7712</v>
      </c>
      <c r="G52" s="30">
        <v>352</v>
      </c>
      <c r="H52" s="38"/>
    </row>
    <row r="53" spans="1:8" ht="24.75">
      <c r="A53" s="33">
        <v>5</v>
      </c>
      <c r="B53" s="33" t="s">
        <v>674</v>
      </c>
      <c r="C53" s="210">
        <f>SUM(C54:C71)</f>
        <v>28965</v>
      </c>
      <c r="D53" s="210">
        <f>SUM(D54:D71)</f>
        <v>29064.600000000002</v>
      </c>
      <c r="E53" s="210">
        <f>SUM(E54:E71)</f>
        <v>48954.73</v>
      </c>
      <c r="F53" s="210"/>
      <c r="G53" s="32">
        <f>SUM(G54:G71)</f>
        <v>37855</v>
      </c>
      <c r="H53" s="537" t="s">
        <v>1538</v>
      </c>
    </row>
    <row r="54" spans="1:8" ht="15">
      <c r="A54" s="977">
        <v>5.1</v>
      </c>
      <c r="B54" s="795" t="s">
        <v>904</v>
      </c>
      <c r="C54" s="20">
        <v>55</v>
      </c>
      <c r="D54" s="20">
        <v>55</v>
      </c>
      <c r="E54" s="20">
        <v>100</v>
      </c>
      <c r="F54" s="86">
        <v>2239</v>
      </c>
      <c r="G54" s="30">
        <v>60</v>
      </c>
      <c r="H54" s="38"/>
    </row>
    <row r="55" spans="1:8" ht="12.75" customHeight="1">
      <c r="A55" s="978"/>
      <c r="B55" s="797"/>
      <c r="C55" s="20">
        <v>221</v>
      </c>
      <c r="D55" s="20">
        <v>221</v>
      </c>
      <c r="E55" s="20">
        <v>0</v>
      </c>
      <c r="F55" s="86">
        <v>5239</v>
      </c>
      <c r="G55" s="30"/>
      <c r="H55" s="38"/>
    </row>
    <row r="56" spans="1:8" ht="15">
      <c r="A56" s="256">
        <v>5.2</v>
      </c>
      <c r="B56" s="38" t="s">
        <v>905</v>
      </c>
      <c r="C56" s="20">
        <v>0</v>
      </c>
      <c r="D56" s="20">
        <v>0</v>
      </c>
      <c r="E56" s="20">
        <v>2500</v>
      </c>
      <c r="F56" s="86">
        <v>2232</v>
      </c>
      <c r="G56" s="30">
        <v>0</v>
      </c>
      <c r="H56" s="38"/>
    </row>
    <row r="57" spans="1:8" ht="113.25" customHeight="1">
      <c r="A57" s="256">
        <v>5.3</v>
      </c>
      <c r="B57" s="38" t="s">
        <v>906</v>
      </c>
      <c r="C57" s="20">
        <v>2046</v>
      </c>
      <c r="D57" s="20">
        <v>2045.99</v>
      </c>
      <c r="E57" s="20">
        <v>18000.83</v>
      </c>
      <c r="F57" s="86">
        <v>2279</v>
      </c>
      <c r="G57" s="30">
        <v>9351</v>
      </c>
      <c r="H57" s="38" t="s">
        <v>907</v>
      </c>
    </row>
    <row r="58" spans="1:8" ht="15">
      <c r="A58" s="256">
        <v>5.4</v>
      </c>
      <c r="B58" s="38" t="s">
        <v>908</v>
      </c>
      <c r="C58" s="20">
        <v>787</v>
      </c>
      <c r="D58" s="20">
        <v>787</v>
      </c>
      <c r="E58" s="20">
        <v>800</v>
      </c>
      <c r="F58" s="86">
        <v>2232</v>
      </c>
      <c r="G58" s="30">
        <v>800</v>
      </c>
      <c r="H58" s="38"/>
    </row>
    <row r="59" spans="1:8" ht="23.25" customHeight="1">
      <c r="A59" s="256">
        <v>5.5</v>
      </c>
      <c r="B59" s="38" t="s">
        <v>909</v>
      </c>
      <c r="C59" s="20">
        <v>2998</v>
      </c>
      <c r="D59" s="20">
        <v>2998</v>
      </c>
      <c r="E59" s="20">
        <v>7000</v>
      </c>
      <c r="F59" s="86">
        <v>2231</v>
      </c>
      <c r="G59" s="30">
        <v>9000</v>
      </c>
      <c r="H59" s="38"/>
    </row>
    <row r="60" spans="1:8" ht="24.75">
      <c r="A60" s="256">
        <v>5.6</v>
      </c>
      <c r="B60" s="38" t="s">
        <v>910</v>
      </c>
      <c r="C60" s="20">
        <v>7040</v>
      </c>
      <c r="D60" s="20">
        <v>7140</v>
      </c>
      <c r="E60" s="20">
        <v>6000</v>
      </c>
      <c r="F60" s="86">
        <v>2231</v>
      </c>
      <c r="G60" s="30">
        <v>8000</v>
      </c>
      <c r="H60" s="38"/>
    </row>
    <row r="61" spans="1:8" ht="24.75">
      <c r="A61" s="256">
        <v>5.7</v>
      </c>
      <c r="B61" s="38" t="s">
        <v>911</v>
      </c>
      <c r="C61" s="20">
        <v>1412</v>
      </c>
      <c r="D61" s="30">
        <v>1411.86</v>
      </c>
      <c r="E61" s="20">
        <v>3200</v>
      </c>
      <c r="F61" s="86">
        <v>2312</v>
      </c>
      <c r="G61" s="30">
        <v>3200</v>
      </c>
      <c r="H61" s="38"/>
    </row>
    <row r="62" spans="1:8" ht="36.75">
      <c r="A62" s="256">
        <v>5.8</v>
      </c>
      <c r="B62" s="38" t="s">
        <v>912</v>
      </c>
      <c r="C62" s="20">
        <v>3037</v>
      </c>
      <c r="D62" s="20">
        <v>3037</v>
      </c>
      <c r="E62" s="20">
        <v>3653.9</v>
      </c>
      <c r="F62" s="86">
        <v>2231</v>
      </c>
      <c r="G62" s="30">
        <v>3654</v>
      </c>
      <c r="H62" s="38"/>
    </row>
    <row r="63" spans="1:8" ht="15">
      <c r="A63" s="256">
        <v>5.9</v>
      </c>
      <c r="B63" s="38" t="s">
        <v>913</v>
      </c>
      <c r="C63" s="20">
        <v>200</v>
      </c>
      <c r="D63" s="30">
        <v>199.99</v>
      </c>
      <c r="E63" s="20">
        <v>0</v>
      </c>
      <c r="F63" s="86">
        <v>2243</v>
      </c>
      <c r="G63" s="30"/>
      <c r="H63" s="38"/>
    </row>
    <row r="64" spans="1:8" ht="15">
      <c r="A64" s="247">
        <v>5.1</v>
      </c>
      <c r="B64" s="38" t="s">
        <v>661</v>
      </c>
      <c r="C64" s="20">
        <v>204</v>
      </c>
      <c r="D64" s="30">
        <v>203.86</v>
      </c>
      <c r="E64" s="20">
        <v>450</v>
      </c>
      <c r="F64" s="86">
        <v>2219</v>
      </c>
      <c r="G64" s="30">
        <v>204</v>
      </c>
      <c r="H64" s="38"/>
    </row>
    <row r="65" spans="1:8" ht="15">
      <c r="A65" s="247">
        <v>5.11</v>
      </c>
      <c r="B65" s="38" t="s">
        <v>914</v>
      </c>
      <c r="C65" s="20">
        <v>1214</v>
      </c>
      <c r="D65" s="30">
        <v>1213.9</v>
      </c>
      <c r="E65" s="20">
        <v>0</v>
      </c>
      <c r="F65" s="86">
        <v>2390</v>
      </c>
      <c r="G65" s="30"/>
      <c r="H65" s="38"/>
    </row>
    <row r="66" spans="1:8" ht="15">
      <c r="A66" s="247">
        <v>5.12</v>
      </c>
      <c r="B66" s="38" t="s">
        <v>914</v>
      </c>
      <c r="C66" s="20">
        <v>3477</v>
      </c>
      <c r="D66" s="30">
        <v>3477</v>
      </c>
      <c r="E66" s="20">
        <v>0</v>
      </c>
      <c r="F66" s="86">
        <v>5239</v>
      </c>
      <c r="G66" s="30"/>
      <c r="H66" s="38"/>
    </row>
    <row r="67" spans="1:8" ht="24.75">
      <c r="A67" s="247">
        <v>5.13</v>
      </c>
      <c r="B67" s="38" t="s">
        <v>915</v>
      </c>
      <c r="C67" s="20">
        <v>663</v>
      </c>
      <c r="D67" s="30">
        <v>663</v>
      </c>
      <c r="E67" s="20">
        <v>300</v>
      </c>
      <c r="F67" s="86">
        <v>2390</v>
      </c>
      <c r="G67" s="30">
        <v>116</v>
      </c>
      <c r="H67" s="38"/>
    </row>
    <row r="68" spans="1:8" ht="15">
      <c r="A68" s="979">
        <v>5.14</v>
      </c>
      <c r="B68" s="795" t="s">
        <v>916</v>
      </c>
      <c r="C68" s="20">
        <v>960</v>
      </c>
      <c r="D68" s="30">
        <v>960</v>
      </c>
      <c r="E68" s="20">
        <v>4250</v>
      </c>
      <c r="F68" s="31">
        <v>5239</v>
      </c>
      <c r="G68" s="30">
        <v>3470</v>
      </c>
      <c r="H68" s="38"/>
    </row>
    <row r="69" spans="1:8" ht="12.75" customHeight="1">
      <c r="A69" s="980"/>
      <c r="B69" s="796"/>
      <c r="C69" s="20">
        <v>2985</v>
      </c>
      <c r="D69" s="30">
        <v>2985</v>
      </c>
      <c r="E69" s="20">
        <v>0</v>
      </c>
      <c r="F69" s="31">
        <v>2390</v>
      </c>
      <c r="G69" s="30"/>
      <c r="H69" s="38"/>
    </row>
    <row r="70" spans="1:8" ht="12.75" customHeight="1">
      <c r="A70" s="981"/>
      <c r="B70" s="797"/>
      <c r="C70" s="20">
        <v>1666</v>
      </c>
      <c r="D70" s="30">
        <v>1666</v>
      </c>
      <c r="E70" s="20">
        <v>0</v>
      </c>
      <c r="F70" s="31">
        <v>7712</v>
      </c>
      <c r="G70" s="30"/>
      <c r="H70" s="38"/>
    </row>
    <row r="71" spans="1:8" ht="12.75" customHeight="1">
      <c r="A71" s="339">
        <v>5.15</v>
      </c>
      <c r="B71" s="338" t="s">
        <v>1379</v>
      </c>
      <c r="C71" s="20">
        <v>0</v>
      </c>
      <c r="D71" s="30">
        <v>0</v>
      </c>
      <c r="E71" s="20">
        <v>2700</v>
      </c>
      <c r="F71" s="31">
        <v>2279</v>
      </c>
      <c r="G71" s="30"/>
      <c r="H71" s="38"/>
    </row>
    <row r="72" spans="1:8" ht="18" customHeight="1">
      <c r="A72" s="33">
        <v>6</v>
      </c>
      <c r="B72" s="33" t="s">
        <v>917</v>
      </c>
      <c r="C72" s="210">
        <f>SUM(C73:C87)</f>
        <v>14152</v>
      </c>
      <c r="D72" s="210">
        <f>SUM(D73:D87)</f>
        <v>14150.66</v>
      </c>
      <c r="E72" s="210">
        <f>SUM(E73:E87)</f>
        <v>6800</v>
      </c>
      <c r="F72" s="210"/>
      <c r="G72" s="32">
        <f>SUM(G73:G87)</f>
        <v>4550</v>
      </c>
      <c r="H72" s="537" t="s">
        <v>1539</v>
      </c>
    </row>
    <row r="73" spans="1:8" ht="24.75">
      <c r="A73" s="200">
        <v>6.1</v>
      </c>
      <c r="B73" s="38" t="s">
        <v>918</v>
      </c>
      <c r="C73" s="20">
        <v>1898</v>
      </c>
      <c r="D73" s="20">
        <v>1898</v>
      </c>
      <c r="E73" s="20">
        <v>2300</v>
      </c>
      <c r="F73" s="86">
        <v>2239</v>
      </c>
      <c r="G73" s="30">
        <v>1600</v>
      </c>
      <c r="H73" s="38"/>
    </row>
    <row r="74" spans="1:8" ht="24.75">
      <c r="A74" s="200">
        <v>6.2</v>
      </c>
      <c r="B74" s="38" t="s">
        <v>910</v>
      </c>
      <c r="C74" s="20">
        <v>800</v>
      </c>
      <c r="D74" s="20">
        <v>800</v>
      </c>
      <c r="E74" s="20">
        <v>800</v>
      </c>
      <c r="F74" s="86">
        <v>2231</v>
      </c>
      <c r="G74" s="30">
        <v>750</v>
      </c>
      <c r="H74" s="38"/>
    </row>
    <row r="75" spans="1:8" ht="24.75">
      <c r="A75" s="200">
        <v>6.3</v>
      </c>
      <c r="B75" s="38" t="s">
        <v>919</v>
      </c>
      <c r="C75" s="20">
        <v>3603</v>
      </c>
      <c r="D75" s="20">
        <v>3602.66</v>
      </c>
      <c r="E75" s="20">
        <v>500</v>
      </c>
      <c r="F75" s="86">
        <v>5121</v>
      </c>
      <c r="G75" s="30"/>
      <c r="H75" s="38"/>
    </row>
    <row r="76" spans="1:8" ht="24.75">
      <c r="A76" s="200">
        <v>6.4</v>
      </c>
      <c r="B76" s="38" t="s">
        <v>920</v>
      </c>
      <c r="C76" s="20">
        <v>600</v>
      </c>
      <c r="D76" s="20">
        <v>600</v>
      </c>
      <c r="E76" s="20">
        <v>600</v>
      </c>
      <c r="F76" s="86">
        <v>2239</v>
      </c>
      <c r="G76" s="30">
        <v>600</v>
      </c>
      <c r="H76" s="38"/>
    </row>
    <row r="77" spans="1:8" ht="15">
      <c r="A77" s="950">
        <v>6.5</v>
      </c>
      <c r="B77" s="795" t="s">
        <v>921</v>
      </c>
      <c r="C77" s="20">
        <v>233</v>
      </c>
      <c r="D77" s="20">
        <v>233</v>
      </c>
      <c r="E77" s="20">
        <v>0</v>
      </c>
      <c r="F77" s="31">
        <v>7712</v>
      </c>
      <c r="G77" s="30"/>
      <c r="H77" s="38"/>
    </row>
    <row r="78" spans="1:8" ht="12.75" customHeight="1">
      <c r="A78" s="951"/>
      <c r="B78" s="796"/>
      <c r="C78" s="20">
        <v>587</v>
      </c>
      <c r="D78" s="20">
        <v>587</v>
      </c>
      <c r="E78" s="20">
        <v>0</v>
      </c>
      <c r="F78" s="31">
        <v>2279</v>
      </c>
      <c r="G78" s="30"/>
      <c r="H78" s="38"/>
    </row>
    <row r="79" spans="1:8" ht="12.75" customHeight="1">
      <c r="A79" s="951"/>
      <c r="B79" s="796"/>
      <c r="C79" s="20">
        <v>1088</v>
      </c>
      <c r="D79" s="20">
        <v>1088</v>
      </c>
      <c r="E79" s="20">
        <v>750</v>
      </c>
      <c r="F79" s="31">
        <v>2122</v>
      </c>
      <c r="G79" s="30">
        <v>750</v>
      </c>
      <c r="H79" s="38"/>
    </row>
    <row r="80" spans="1:8" ht="12.75" customHeight="1">
      <c r="A80" s="952"/>
      <c r="B80" s="797"/>
      <c r="C80" s="20">
        <v>136</v>
      </c>
      <c r="D80" s="20">
        <v>136</v>
      </c>
      <c r="E80" s="20">
        <v>250</v>
      </c>
      <c r="F80" s="31">
        <v>2121</v>
      </c>
      <c r="G80" s="30">
        <v>250</v>
      </c>
      <c r="H80" s="38"/>
    </row>
    <row r="81" spans="1:8" ht="15">
      <c r="A81" s="950">
        <v>6.6</v>
      </c>
      <c r="B81" s="795" t="s">
        <v>922</v>
      </c>
      <c r="C81" s="20">
        <v>2117</v>
      </c>
      <c r="D81" s="20">
        <v>1920</v>
      </c>
      <c r="E81" s="20">
        <v>0</v>
      </c>
      <c r="F81" s="31">
        <v>2122</v>
      </c>
      <c r="G81" s="30"/>
      <c r="H81" s="38"/>
    </row>
    <row r="82" spans="1:8" ht="12.75" customHeight="1">
      <c r="A82" s="952"/>
      <c r="B82" s="797"/>
      <c r="C82" s="20">
        <v>160</v>
      </c>
      <c r="D82" s="20">
        <v>160</v>
      </c>
      <c r="E82" s="20">
        <v>0</v>
      </c>
      <c r="F82" s="31">
        <v>2121</v>
      </c>
      <c r="G82" s="30"/>
      <c r="H82" s="38"/>
    </row>
    <row r="83" spans="1:8" ht="15">
      <c r="A83" s="950">
        <v>6.7</v>
      </c>
      <c r="B83" s="795" t="s">
        <v>923</v>
      </c>
      <c r="C83" s="20">
        <v>357</v>
      </c>
      <c r="D83" s="20">
        <v>553</v>
      </c>
      <c r="E83" s="257">
        <v>0</v>
      </c>
      <c r="F83" s="31">
        <v>2122</v>
      </c>
      <c r="G83" s="30"/>
      <c r="H83" s="38"/>
    </row>
    <row r="84" spans="1:8" ht="12.75" customHeight="1">
      <c r="A84" s="951"/>
      <c r="B84" s="796"/>
      <c r="C84" s="20">
        <v>833</v>
      </c>
      <c r="D84" s="20">
        <v>833</v>
      </c>
      <c r="E84" s="257">
        <v>0</v>
      </c>
      <c r="F84" s="31">
        <v>2279</v>
      </c>
      <c r="G84" s="30"/>
      <c r="H84" s="38"/>
    </row>
    <row r="85" spans="1:8" ht="12.75" customHeight="1">
      <c r="A85" s="952"/>
      <c r="B85" s="797"/>
      <c r="C85" s="20">
        <v>140</v>
      </c>
      <c r="D85" s="20">
        <v>140</v>
      </c>
      <c r="E85" s="257">
        <v>0</v>
      </c>
      <c r="F85" s="31">
        <v>2121</v>
      </c>
      <c r="G85" s="30"/>
      <c r="H85" s="38"/>
    </row>
    <row r="86" spans="1:8" ht="15">
      <c r="A86" s="200">
        <v>6.8</v>
      </c>
      <c r="B86" s="38" t="s">
        <v>924</v>
      </c>
      <c r="C86" s="20">
        <v>600</v>
      </c>
      <c r="D86" s="20">
        <v>600</v>
      </c>
      <c r="E86" s="20">
        <v>600</v>
      </c>
      <c r="F86" s="86">
        <v>2239</v>
      </c>
      <c r="G86" s="30">
        <v>600</v>
      </c>
      <c r="H86" s="38"/>
    </row>
    <row r="87" spans="1:8" ht="24.75">
      <c r="A87" s="200">
        <v>6.9</v>
      </c>
      <c r="B87" s="38" t="s">
        <v>925</v>
      </c>
      <c r="C87" s="20">
        <v>1000</v>
      </c>
      <c r="D87" s="20">
        <v>1000</v>
      </c>
      <c r="E87" s="20">
        <v>1000</v>
      </c>
      <c r="F87" s="86">
        <v>2390</v>
      </c>
      <c r="G87" s="30"/>
      <c r="H87" s="38"/>
    </row>
    <row r="88" spans="1:8" ht="15">
      <c r="A88" s="38"/>
      <c r="B88" s="38"/>
      <c r="C88" s="38"/>
      <c r="D88" s="38"/>
      <c r="E88" s="38"/>
      <c r="F88" s="38"/>
      <c r="G88" s="200"/>
      <c r="H88" s="38"/>
    </row>
    <row r="89" spans="1:8" ht="15">
      <c r="A89" s="65"/>
      <c r="B89" s="65"/>
      <c r="C89" s="65"/>
      <c r="D89" s="65"/>
      <c r="E89" s="65"/>
      <c r="F89" s="65"/>
      <c r="G89" s="65"/>
      <c r="H89" s="65"/>
    </row>
    <row r="90" spans="1:8" ht="15">
      <c r="A90" s="983" t="s">
        <v>22</v>
      </c>
      <c r="B90" s="983"/>
      <c r="C90" s="65"/>
      <c r="D90" s="65"/>
      <c r="E90" s="65"/>
      <c r="F90" s="65"/>
      <c r="G90" s="258"/>
      <c r="H90" s="65"/>
    </row>
    <row r="91" spans="1:8" ht="15">
      <c r="A91" s="96" t="s">
        <v>19</v>
      </c>
      <c r="C91" s="801" t="s">
        <v>875</v>
      </c>
      <c r="D91" s="801"/>
      <c r="E91" s="801"/>
      <c r="F91" s="801"/>
      <c r="G91" s="801"/>
      <c r="H91" s="801"/>
    </row>
    <row r="92" spans="1:8" ht="15">
      <c r="A92" s="96" t="s">
        <v>5</v>
      </c>
      <c r="C92" s="801" t="s">
        <v>478</v>
      </c>
      <c r="D92" s="801"/>
      <c r="E92" s="801"/>
      <c r="F92" s="801"/>
      <c r="G92" s="801"/>
      <c r="H92" s="801"/>
    </row>
    <row r="93" spans="1:8" ht="36.75">
      <c r="A93" s="938" t="s">
        <v>7</v>
      </c>
      <c r="B93" s="938" t="s">
        <v>8</v>
      </c>
      <c r="C93" s="938" t="s">
        <v>9</v>
      </c>
      <c r="D93" s="938" t="s">
        <v>936</v>
      </c>
      <c r="E93" s="938" t="s">
        <v>10</v>
      </c>
      <c r="F93" s="40" t="s">
        <v>11</v>
      </c>
      <c r="G93" s="40" t="s">
        <v>12</v>
      </c>
      <c r="H93" s="938" t="s">
        <v>13</v>
      </c>
    </row>
    <row r="94" spans="1:8" ht="36">
      <c r="A94" s="938"/>
      <c r="B94" s="938"/>
      <c r="C94" s="938"/>
      <c r="D94" s="938"/>
      <c r="E94" s="938"/>
      <c r="F94" s="239" t="s">
        <v>14</v>
      </c>
      <c r="G94" s="239" t="s">
        <v>15</v>
      </c>
      <c r="H94" s="938"/>
    </row>
    <row r="95" spans="1:8" ht="24.75">
      <c r="A95" s="939" t="s">
        <v>16</v>
      </c>
      <c r="B95" s="939"/>
      <c r="C95" s="210">
        <f>SUM(C96:C106)</f>
        <v>4085</v>
      </c>
      <c r="D95" s="210">
        <f>SUM(D96:D106)</f>
        <v>3306.7200000000003</v>
      </c>
      <c r="E95" s="210">
        <f>SUM(E96:E106)</f>
        <v>19978</v>
      </c>
      <c r="F95" s="210"/>
      <c r="G95" s="32">
        <f>SUM(G96:G106)</f>
        <v>19978</v>
      </c>
      <c r="H95" s="537" t="s">
        <v>1622</v>
      </c>
    </row>
    <row r="96" spans="1:27" s="42" customFormat="1" ht="24" customHeight="1">
      <c r="A96" s="942">
        <v>1</v>
      </c>
      <c r="B96" s="808" t="s">
        <v>926</v>
      </c>
      <c r="C96" s="173">
        <v>1443</v>
      </c>
      <c r="D96" s="173">
        <v>1443</v>
      </c>
      <c r="E96" s="173">
        <v>0</v>
      </c>
      <c r="F96" s="214">
        <v>7712</v>
      </c>
      <c r="G96" s="173"/>
      <c r="H96" s="74"/>
      <c r="Q96"/>
      <c r="R96"/>
      <c r="S96"/>
      <c r="T96"/>
      <c r="U96"/>
      <c r="V96"/>
      <c r="W96"/>
      <c r="X96"/>
      <c r="Y96"/>
      <c r="Z96"/>
      <c r="AA96"/>
    </row>
    <row r="97" spans="1:27" s="42" customFormat="1" ht="12.75" customHeight="1">
      <c r="A97" s="942"/>
      <c r="B97" s="808"/>
      <c r="C97" s="173">
        <v>562</v>
      </c>
      <c r="D97" s="173">
        <v>557</v>
      </c>
      <c r="E97" s="173">
        <v>0</v>
      </c>
      <c r="F97" s="214">
        <v>2279</v>
      </c>
      <c r="G97" s="173"/>
      <c r="H97" s="74"/>
      <c r="Q97"/>
      <c r="R97"/>
      <c r="S97"/>
      <c r="T97"/>
      <c r="U97"/>
      <c r="V97"/>
      <c r="W97"/>
      <c r="X97"/>
      <c r="Y97"/>
      <c r="Z97"/>
      <c r="AA97"/>
    </row>
    <row r="98" spans="1:27" s="42" customFormat="1" ht="15">
      <c r="A98" s="231">
        <v>2</v>
      </c>
      <c r="B98" s="231" t="s">
        <v>927</v>
      </c>
      <c r="C98" s="173">
        <v>400</v>
      </c>
      <c r="D98" s="173">
        <v>326.96</v>
      </c>
      <c r="E98" s="173">
        <v>0</v>
      </c>
      <c r="F98" s="214">
        <v>2390</v>
      </c>
      <c r="G98" s="173"/>
      <c r="H98" s="74"/>
      <c r="Q98"/>
      <c r="R98"/>
      <c r="S98"/>
      <c r="T98"/>
      <c r="U98"/>
      <c r="V98"/>
      <c r="W98"/>
      <c r="X98"/>
      <c r="Y98"/>
      <c r="Z98"/>
      <c r="AA98"/>
    </row>
    <row r="99" spans="1:27" s="42" customFormat="1" ht="15">
      <c r="A99" s="231">
        <v>3</v>
      </c>
      <c r="B99" s="37" t="s">
        <v>928</v>
      </c>
      <c r="C99" s="30">
        <v>395</v>
      </c>
      <c r="D99" s="30">
        <v>331.84</v>
      </c>
      <c r="E99" s="30">
        <v>0</v>
      </c>
      <c r="F99" s="31">
        <v>2390</v>
      </c>
      <c r="G99" s="30"/>
      <c r="H99" s="40"/>
      <c r="Q99"/>
      <c r="R99"/>
      <c r="S99"/>
      <c r="T99"/>
      <c r="U99"/>
      <c r="V99"/>
      <c r="W99"/>
      <c r="X99"/>
      <c r="Y99"/>
      <c r="Z99"/>
      <c r="AA99"/>
    </row>
    <row r="100" spans="1:27" s="42" customFormat="1" ht="15">
      <c r="A100" s="231">
        <v>4</v>
      </c>
      <c r="B100" s="37" t="s">
        <v>929</v>
      </c>
      <c r="C100" s="30">
        <v>150</v>
      </c>
      <c r="D100" s="30">
        <v>20</v>
      </c>
      <c r="E100" s="30">
        <v>1000</v>
      </c>
      <c r="F100" s="31">
        <v>2390</v>
      </c>
      <c r="G100" s="30">
        <v>1000</v>
      </c>
      <c r="H100" s="40"/>
      <c r="Q100"/>
      <c r="R100"/>
      <c r="S100"/>
      <c r="T100"/>
      <c r="U100"/>
      <c r="V100"/>
      <c r="W100"/>
      <c r="X100"/>
      <c r="Y100"/>
      <c r="Z100"/>
      <c r="AA100"/>
    </row>
    <row r="101" spans="1:27" s="42" customFormat="1" ht="15">
      <c r="A101" s="231">
        <v>5</v>
      </c>
      <c r="B101" s="37" t="s">
        <v>930</v>
      </c>
      <c r="C101" s="30">
        <v>500</v>
      </c>
      <c r="D101" s="30">
        <v>30</v>
      </c>
      <c r="E101" s="30">
        <v>600</v>
      </c>
      <c r="F101" s="31">
        <v>2512</v>
      </c>
      <c r="G101" s="30">
        <v>600</v>
      </c>
      <c r="H101" s="40"/>
      <c r="Q101"/>
      <c r="R101"/>
      <c r="S101"/>
      <c r="T101"/>
      <c r="U101"/>
      <c r="V101"/>
      <c r="W101"/>
      <c r="X101"/>
      <c r="Y101"/>
      <c r="Z101"/>
      <c r="AA101"/>
    </row>
    <row r="102" spans="1:27" s="42" customFormat="1" ht="15">
      <c r="A102" s="231">
        <v>6</v>
      </c>
      <c r="B102" s="37" t="s">
        <v>931</v>
      </c>
      <c r="C102" s="30">
        <v>175</v>
      </c>
      <c r="D102" s="30">
        <v>175</v>
      </c>
      <c r="E102" s="30">
        <v>0</v>
      </c>
      <c r="F102" s="31">
        <v>5239</v>
      </c>
      <c r="G102" s="30"/>
      <c r="H102" s="40"/>
      <c r="Q102"/>
      <c r="R102"/>
      <c r="S102"/>
      <c r="T102"/>
      <c r="U102"/>
      <c r="V102"/>
      <c r="W102"/>
      <c r="X102"/>
      <c r="Y102"/>
      <c r="Z102"/>
      <c r="AA102"/>
    </row>
    <row r="103" spans="1:27" s="42" customFormat="1" ht="15">
      <c r="A103" s="231">
        <v>7</v>
      </c>
      <c r="B103" s="37" t="s">
        <v>932</v>
      </c>
      <c r="C103" s="30">
        <v>0</v>
      </c>
      <c r="D103" s="30">
        <v>0</v>
      </c>
      <c r="E103" s="30">
        <v>12400</v>
      </c>
      <c r="F103" s="31">
        <v>2231</v>
      </c>
      <c r="G103" s="30">
        <v>12400</v>
      </c>
      <c r="H103" s="40"/>
      <c r="Q103"/>
      <c r="R103"/>
      <c r="S103"/>
      <c r="T103"/>
      <c r="U103"/>
      <c r="V103"/>
      <c r="W103"/>
      <c r="X103"/>
      <c r="Y103"/>
      <c r="Z103"/>
      <c r="AA103"/>
    </row>
    <row r="104" spans="1:27" s="42" customFormat="1" ht="15">
      <c r="A104" s="231">
        <v>8</v>
      </c>
      <c r="B104" s="37" t="s">
        <v>933</v>
      </c>
      <c r="C104" s="30">
        <v>0</v>
      </c>
      <c r="D104" s="30">
        <v>0</v>
      </c>
      <c r="E104" s="30">
        <v>4024</v>
      </c>
      <c r="F104" s="31">
        <v>2390</v>
      </c>
      <c r="G104" s="30">
        <v>4024</v>
      </c>
      <c r="H104" s="40"/>
      <c r="Q104"/>
      <c r="R104"/>
      <c r="S104"/>
      <c r="T104"/>
      <c r="U104"/>
      <c r="V104"/>
      <c r="W104"/>
      <c r="X104"/>
      <c r="Y104"/>
      <c r="Z104"/>
      <c r="AA104"/>
    </row>
    <row r="105" spans="1:27" s="42" customFormat="1" ht="15">
      <c r="A105" s="231">
        <v>9</v>
      </c>
      <c r="B105" s="37" t="s">
        <v>934</v>
      </c>
      <c r="C105" s="30">
        <v>0</v>
      </c>
      <c r="D105" s="30">
        <v>0</v>
      </c>
      <c r="E105" s="30">
        <v>1954</v>
      </c>
      <c r="F105" s="31">
        <v>2390</v>
      </c>
      <c r="G105" s="30">
        <v>1954</v>
      </c>
      <c r="H105" s="40"/>
      <c r="Q105"/>
      <c r="R105"/>
      <c r="S105"/>
      <c r="T105"/>
      <c r="U105"/>
      <c r="V105"/>
      <c r="W105"/>
      <c r="X105"/>
      <c r="Y105"/>
      <c r="Z105"/>
      <c r="AA105"/>
    </row>
    <row r="106" spans="1:27" s="42" customFormat="1" ht="24.75">
      <c r="A106" s="260">
        <v>10</v>
      </c>
      <c r="B106" s="261" t="s">
        <v>910</v>
      </c>
      <c r="C106" s="262">
        <v>460</v>
      </c>
      <c r="D106" s="262">
        <v>422.92</v>
      </c>
      <c r="E106" s="262">
        <v>0</v>
      </c>
      <c r="F106" s="263">
        <v>2231</v>
      </c>
      <c r="G106" s="560"/>
      <c r="H106" s="261"/>
      <c r="Q106"/>
      <c r="R106"/>
      <c r="S106"/>
      <c r="T106"/>
      <c r="U106"/>
      <c r="V106"/>
      <c r="W106"/>
      <c r="X106"/>
      <c r="Y106"/>
      <c r="Z106"/>
      <c r="AA106"/>
    </row>
    <row r="107" spans="1:8" ht="24.75">
      <c r="A107" s="982" t="s">
        <v>17</v>
      </c>
      <c r="B107" s="982"/>
      <c r="C107" s="252">
        <f>C95+C11</f>
        <v>86902</v>
      </c>
      <c r="D107" s="252">
        <f>D95+D11</f>
        <v>86117.07</v>
      </c>
      <c r="E107" s="252">
        <f>E95+E11</f>
        <v>137390.73</v>
      </c>
      <c r="F107" s="252"/>
      <c r="G107" s="561">
        <f>G95+G11</f>
        <v>120787</v>
      </c>
      <c r="H107" s="540" t="s">
        <v>1623</v>
      </c>
    </row>
    <row r="108" ht="15"/>
    <row r="109" ht="15"/>
    <row r="110" ht="15"/>
    <row r="111" ht="15"/>
    <row r="112" ht="15"/>
    <row r="113" ht="15"/>
    <row r="114" ht="15"/>
    <row r="115" ht="15"/>
  </sheetData>
  <sheetProtection/>
  <mergeCells count="53">
    <mergeCell ref="A95:B95"/>
    <mergeCell ref="A96:A97"/>
    <mergeCell ref="B96:B97"/>
    <mergeCell ref="A107:B107"/>
    <mergeCell ref="A90:B90"/>
    <mergeCell ref="C91:H91"/>
    <mergeCell ref="C92:H92"/>
    <mergeCell ref="A93:A94"/>
    <mergeCell ref="B93:B94"/>
    <mergeCell ref="C93:C94"/>
    <mergeCell ref="D93:D94"/>
    <mergeCell ref="E93:E94"/>
    <mergeCell ref="H93:H94"/>
    <mergeCell ref="A77:A80"/>
    <mergeCell ref="B77:B80"/>
    <mergeCell ref="A81:A82"/>
    <mergeCell ref="B81:B82"/>
    <mergeCell ref="A83:A85"/>
    <mergeCell ref="B83:B85"/>
    <mergeCell ref="A36:A37"/>
    <mergeCell ref="B36:B37"/>
    <mergeCell ref="A54:A55"/>
    <mergeCell ref="B54:B55"/>
    <mergeCell ref="A68:A70"/>
    <mergeCell ref="B68:B70"/>
    <mergeCell ref="A28:A29"/>
    <mergeCell ref="B28:B29"/>
    <mergeCell ref="A30:A31"/>
    <mergeCell ref="B30:B31"/>
    <mergeCell ref="A32:A34"/>
    <mergeCell ref="B32:B34"/>
    <mergeCell ref="A21:A23"/>
    <mergeCell ref="B21:B23"/>
    <mergeCell ref="A24:A25"/>
    <mergeCell ref="B24:B25"/>
    <mergeCell ref="A26:A27"/>
    <mergeCell ref="B26:B27"/>
    <mergeCell ref="A11:B11"/>
    <mergeCell ref="A14:A15"/>
    <mergeCell ref="B14:B15"/>
    <mergeCell ref="A16:A18"/>
    <mergeCell ref="B16:B18"/>
    <mergeCell ref="A9:A10"/>
    <mergeCell ref="B9:B10"/>
    <mergeCell ref="C4:H4"/>
    <mergeCell ref="A5:H5"/>
    <mergeCell ref="C6:H6"/>
    <mergeCell ref="C7:H7"/>
    <mergeCell ref="C8:H8"/>
    <mergeCell ref="H9:H10"/>
    <mergeCell ref="C9:C10"/>
    <mergeCell ref="D9:D10"/>
    <mergeCell ref="E9:E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S48"/>
  <sheetViews>
    <sheetView zoomScale="89" zoomScaleNormal="89" zoomScalePageLayoutView="0" workbookViewId="0" topLeftCell="A1">
      <selection activeCell="I21" sqref="I21"/>
    </sheetView>
  </sheetViews>
  <sheetFormatPr defaultColWidth="9.140625" defaultRowHeight="15"/>
  <cols>
    <col min="1" max="1" width="9.140625" style="266" customWidth="1"/>
    <col min="2" max="2" width="35.8515625" style="266" customWidth="1"/>
    <col min="3" max="3" width="13.8515625" style="266" customWidth="1"/>
    <col min="4" max="4" width="9.140625" style="266" customWidth="1"/>
    <col min="5" max="5" width="13.7109375" style="266" customWidth="1"/>
    <col min="6" max="6" width="14.28125" style="266" customWidth="1"/>
    <col min="7" max="7" width="17.00390625" style="266" customWidth="1"/>
    <col min="8" max="8" width="46.8515625" style="266" customWidth="1"/>
    <col min="20" max="16384" width="9.140625" style="266" customWidth="1"/>
  </cols>
  <sheetData>
    <row r="1" spans="8:19" s="724" customFormat="1" ht="15.75">
      <c r="H1" s="723" t="s">
        <v>1647</v>
      </c>
      <c r="I1"/>
      <c r="J1"/>
      <c r="K1"/>
      <c r="L1"/>
      <c r="M1"/>
      <c r="N1"/>
      <c r="O1"/>
      <c r="P1"/>
      <c r="Q1"/>
      <c r="R1"/>
      <c r="S1"/>
    </row>
    <row r="2" spans="8:19" s="724" customFormat="1" ht="15.75">
      <c r="H2" s="723" t="s">
        <v>1627</v>
      </c>
      <c r="I2"/>
      <c r="J2"/>
      <c r="K2"/>
      <c r="L2"/>
      <c r="M2"/>
      <c r="N2"/>
      <c r="O2"/>
      <c r="P2"/>
      <c r="Q2"/>
      <c r="R2"/>
      <c r="S2"/>
    </row>
    <row r="3" spans="8:19" s="724" customFormat="1" ht="15.75">
      <c r="H3" s="723" t="s">
        <v>1628</v>
      </c>
      <c r="I3"/>
      <c r="J3"/>
      <c r="K3"/>
      <c r="L3"/>
      <c r="M3"/>
      <c r="N3"/>
      <c r="O3"/>
      <c r="P3"/>
      <c r="Q3"/>
      <c r="R3"/>
      <c r="S3"/>
    </row>
    <row r="4" spans="1:8" ht="15">
      <c r="A4" s="298" t="s">
        <v>476</v>
      </c>
      <c r="B4" s="299"/>
      <c r="C4" s="992" t="s">
        <v>1004</v>
      </c>
      <c r="D4" s="992"/>
      <c r="E4" s="992"/>
      <c r="F4" s="992"/>
      <c r="G4" s="992"/>
      <c r="H4" s="992"/>
    </row>
    <row r="5" spans="1:8" ht="15.75">
      <c r="A5" s="993" t="s">
        <v>2</v>
      </c>
      <c r="B5" s="993"/>
      <c r="C5" s="993"/>
      <c r="D5" s="993"/>
      <c r="E5" s="993"/>
      <c r="F5" s="993"/>
      <c r="G5" s="993"/>
      <c r="H5" s="993"/>
    </row>
    <row r="6" spans="1:8" ht="15">
      <c r="A6" s="298"/>
      <c r="B6" s="298"/>
      <c r="C6" s="992"/>
      <c r="D6" s="992"/>
      <c r="E6" s="992"/>
      <c r="F6" s="992"/>
      <c r="G6" s="992"/>
      <c r="H6" s="992"/>
    </row>
    <row r="7" spans="1:8" ht="15">
      <c r="A7" s="298" t="s">
        <v>4</v>
      </c>
      <c r="B7" s="298"/>
      <c r="C7" s="986" t="s">
        <v>1005</v>
      </c>
      <c r="D7" s="986"/>
      <c r="E7" s="986"/>
      <c r="F7" s="986"/>
      <c r="G7" s="986"/>
      <c r="H7" s="986"/>
    </row>
    <row r="8" spans="1:8" ht="15">
      <c r="A8" s="298" t="s">
        <v>20</v>
      </c>
      <c r="B8" s="298"/>
      <c r="C8" s="986" t="s">
        <v>1006</v>
      </c>
      <c r="D8" s="986"/>
      <c r="E8" s="986"/>
      <c r="F8" s="986"/>
      <c r="G8" s="986"/>
      <c r="H8" s="986"/>
    </row>
    <row r="9" spans="1:8" ht="39" customHeight="1">
      <c r="A9" s="300" t="s">
        <v>7</v>
      </c>
      <c r="B9" s="300" t="s">
        <v>8</v>
      </c>
      <c r="C9" s="300" t="s">
        <v>9</v>
      </c>
      <c r="D9" s="300" t="s">
        <v>936</v>
      </c>
      <c r="E9" s="300" t="s">
        <v>10</v>
      </c>
      <c r="F9" s="300" t="s">
        <v>14</v>
      </c>
      <c r="G9" s="300" t="s">
        <v>15</v>
      </c>
      <c r="H9" s="300" t="s">
        <v>13</v>
      </c>
    </row>
    <row r="10" spans="1:8" ht="15">
      <c r="A10" s="990" t="s">
        <v>16</v>
      </c>
      <c r="B10" s="991"/>
      <c r="C10" s="301">
        <f>SUM(C11:C12)</f>
        <v>20750</v>
      </c>
      <c r="D10" s="301">
        <f>SUM(D11:D12)</f>
        <v>15750</v>
      </c>
      <c r="E10" s="301">
        <f>SUM(E11:E12)</f>
        <v>30440</v>
      </c>
      <c r="F10" s="301"/>
      <c r="G10" s="301">
        <f>SUM(G11:G12)</f>
        <v>30500</v>
      </c>
      <c r="H10" s="537" t="s">
        <v>1624</v>
      </c>
    </row>
    <row r="11" spans="1:8" ht="37.5" customHeight="1">
      <c r="A11" s="302">
        <v>1</v>
      </c>
      <c r="B11" s="24" t="s">
        <v>1007</v>
      </c>
      <c r="C11" s="318">
        <v>20750</v>
      </c>
      <c r="D11" s="318">
        <v>15750</v>
      </c>
      <c r="E11" s="318">
        <v>29940</v>
      </c>
      <c r="F11" s="318">
        <v>3262</v>
      </c>
      <c r="G11" s="562">
        <v>30000</v>
      </c>
      <c r="H11" s="7" t="s">
        <v>1008</v>
      </c>
    </row>
    <row r="12" spans="1:8" ht="24.75">
      <c r="A12" s="303">
        <v>2</v>
      </c>
      <c r="B12" s="304" t="s">
        <v>1009</v>
      </c>
      <c r="C12" s="305"/>
      <c r="D12" s="305"/>
      <c r="E12" s="306">
        <v>500</v>
      </c>
      <c r="F12" s="306">
        <v>2239</v>
      </c>
      <c r="G12" s="306">
        <v>500</v>
      </c>
      <c r="H12" s="304" t="s">
        <v>1010</v>
      </c>
    </row>
    <row r="13" spans="1:8" ht="15">
      <c r="A13" s="307"/>
      <c r="B13" s="307"/>
      <c r="C13" s="308"/>
      <c r="D13" s="308"/>
      <c r="E13" s="309"/>
      <c r="F13" s="309"/>
      <c r="G13" s="309"/>
      <c r="H13" s="307"/>
    </row>
    <row r="14" spans="1:8" ht="15">
      <c r="A14" s="21"/>
      <c r="B14" s="21"/>
      <c r="C14" s="21"/>
      <c r="D14" s="21"/>
      <c r="E14" s="21"/>
      <c r="F14" s="21"/>
      <c r="G14" s="21"/>
      <c r="H14" s="21"/>
    </row>
    <row r="15" spans="1:8" ht="15">
      <c r="A15" s="298" t="s">
        <v>4</v>
      </c>
      <c r="B15" s="298"/>
      <c r="C15" s="986" t="s">
        <v>1011</v>
      </c>
      <c r="D15" s="986"/>
      <c r="E15" s="986"/>
      <c r="F15" s="986"/>
      <c r="G15" s="986"/>
      <c r="H15" s="986"/>
    </row>
    <row r="16" spans="1:8" ht="15">
      <c r="A16" s="298" t="s">
        <v>20</v>
      </c>
      <c r="B16" s="298"/>
      <c r="C16" s="987" t="s">
        <v>1012</v>
      </c>
      <c r="D16" s="987"/>
      <c r="E16" s="320"/>
      <c r="F16" s="320"/>
      <c r="G16" s="320"/>
      <c r="H16" s="320"/>
    </row>
    <row r="17" spans="1:8" ht="39.75" customHeight="1">
      <c r="A17" s="300" t="s">
        <v>7</v>
      </c>
      <c r="B17" s="300" t="s">
        <v>8</v>
      </c>
      <c r="C17" s="300" t="s">
        <v>9</v>
      </c>
      <c r="D17" s="300" t="s">
        <v>936</v>
      </c>
      <c r="E17" s="300" t="s">
        <v>10</v>
      </c>
      <c r="F17" s="300" t="s">
        <v>14</v>
      </c>
      <c r="G17" s="300" t="s">
        <v>15</v>
      </c>
      <c r="H17" s="300" t="s">
        <v>13</v>
      </c>
    </row>
    <row r="18" spans="1:8" ht="15">
      <c r="A18" s="988" t="s">
        <v>16</v>
      </c>
      <c r="B18" s="989"/>
      <c r="C18" s="301">
        <f>C19+C26+C27+C28+C29+C30</f>
        <v>13546</v>
      </c>
      <c r="D18" s="301">
        <f>D19+D26+D27+D28+D29+D30</f>
        <v>13521</v>
      </c>
      <c r="E18" s="301">
        <f>E19+E26+E27+E28+E29+E30</f>
        <v>13567</v>
      </c>
      <c r="F18" s="301"/>
      <c r="G18" s="301">
        <f>G19+G26+G27+G28+G29+G30</f>
        <v>13548</v>
      </c>
      <c r="H18" s="537" t="s">
        <v>1540</v>
      </c>
    </row>
    <row r="19" spans="1:8" ht="28.5" customHeight="1">
      <c r="A19" s="302">
        <v>1</v>
      </c>
      <c r="B19" s="104" t="s">
        <v>1095</v>
      </c>
      <c r="C19" s="323">
        <f>SUM(C20:C25)</f>
        <v>3389</v>
      </c>
      <c r="D19" s="323">
        <f>SUM(D20:D25)</f>
        <v>3364</v>
      </c>
      <c r="E19" s="323">
        <f>SUM(E20:E25)</f>
        <v>3394</v>
      </c>
      <c r="F19" s="323"/>
      <c r="G19" s="563">
        <f>SUM(G20:G25)</f>
        <v>3385</v>
      </c>
      <c r="H19" s="7"/>
    </row>
    <row r="20" spans="1:8" ht="16.5" customHeight="1">
      <c r="A20" s="302"/>
      <c r="B20" s="318" t="s">
        <v>1013</v>
      </c>
      <c r="C20" s="22">
        <v>1698</v>
      </c>
      <c r="D20" s="22">
        <v>1698</v>
      </c>
      <c r="E20" s="22">
        <v>1698</v>
      </c>
      <c r="F20" s="319">
        <v>1150</v>
      </c>
      <c r="G20" s="171">
        <v>1698</v>
      </c>
      <c r="H20" s="7" t="s">
        <v>1014</v>
      </c>
    </row>
    <row r="21" spans="1:8" ht="20.25" customHeight="1">
      <c r="A21" s="302"/>
      <c r="B21" s="318" t="s">
        <v>1015</v>
      </c>
      <c r="C21" s="22">
        <v>410</v>
      </c>
      <c r="D21" s="22">
        <v>410</v>
      </c>
      <c r="E21" s="22">
        <v>410</v>
      </c>
      <c r="F21" s="319">
        <v>1210</v>
      </c>
      <c r="G21" s="171">
        <v>410</v>
      </c>
      <c r="H21" s="7"/>
    </row>
    <row r="22" spans="1:8" ht="25.5" customHeight="1">
      <c r="A22" s="302"/>
      <c r="B22" s="318" t="s">
        <v>1016</v>
      </c>
      <c r="C22" s="22">
        <v>804</v>
      </c>
      <c r="D22" s="22">
        <v>804</v>
      </c>
      <c r="E22" s="22">
        <v>804</v>
      </c>
      <c r="F22" s="319">
        <v>2242</v>
      </c>
      <c r="G22" s="171">
        <v>804</v>
      </c>
      <c r="H22" s="7" t="s">
        <v>1017</v>
      </c>
    </row>
    <row r="23" spans="1:8" ht="21" customHeight="1">
      <c r="A23" s="302"/>
      <c r="B23" s="318" t="s">
        <v>1018</v>
      </c>
      <c r="C23" s="22">
        <v>50</v>
      </c>
      <c r="D23" s="22">
        <v>35</v>
      </c>
      <c r="E23" s="22">
        <v>59</v>
      </c>
      <c r="F23" s="319">
        <v>2247</v>
      </c>
      <c r="G23" s="171">
        <v>50</v>
      </c>
      <c r="H23" s="7" t="s">
        <v>1019</v>
      </c>
    </row>
    <row r="24" spans="1:8" ht="15">
      <c r="A24" s="302"/>
      <c r="B24" s="318" t="s">
        <v>403</v>
      </c>
      <c r="C24" s="22">
        <v>303</v>
      </c>
      <c r="D24" s="22">
        <v>303</v>
      </c>
      <c r="E24" s="22">
        <v>303</v>
      </c>
      <c r="F24" s="106">
        <v>2322</v>
      </c>
      <c r="G24" s="171">
        <v>303</v>
      </c>
      <c r="H24" s="7"/>
    </row>
    <row r="25" spans="1:8" ht="19.5" customHeight="1">
      <c r="A25" s="302"/>
      <c r="B25" s="318" t="s">
        <v>1020</v>
      </c>
      <c r="C25" s="22">
        <v>124</v>
      </c>
      <c r="D25" s="22">
        <v>114</v>
      </c>
      <c r="E25" s="22">
        <v>120</v>
      </c>
      <c r="F25" s="106">
        <v>2519</v>
      </c>
      <c r="G25" s="171">
        <v>120</v>
      </c>
      <c r="H25" s="7" t="s">
        <v>1021</v>
      </c>
    </row>
    <row r="26" spans="1:8" ht="48.75" customHeight="1">
      <c r="A26" s="302">
        <v>2</v>
      </c>
      <c r="B26" s="104" t="s">
        <v>1022</v>
      </c>
      <c r="C26" s="318">
        <v>8808</v>
      </c>
      <c r="D26" s="318">
        <v>8808</v>
      </c>
      <c r="E26" s="106">
        <v>8808</v>
      </c>
      <c r="F26" s="319">
        <v>3263</v>
      </c>
      <c r="G26" s="562">
        <v>8808</v>
      </c>
      <c r="H26" s="103" t="s">
        <v>1023</v>
      </c>
    </row>
    <row r="27" spans="1:8" ht="24.75" customHeight="1">
      <c r="A27" s="302">
        <v>3</v>
      </c>
      <c r="B27" s="318" t="s">
        <v>1024</v>
      </c>
      <c r="C27" s="22">
        <v>145</v>
      </c>
      <c r="D27" s="22">
        <v>145</v>
      </c>
      <c r="E27" s="22">
        <v>145</v>
      </c>
      <c r="F27" s="22">
        <v>2261</v>
      </c>
      <c r="G27" s="171">
        <v>145</v>
      </c>
      <c r="H27" s="7" t="s">
        <v>1025</v>
      </c>
    </row>
    <row r="28" spans="1:8" ht="19.5" customHeight="1">
      <c r="A28" s="302">
        <v>4</v>
      </c>
      <c r="B28" s="106" t="s">
        <v>284</v>
      </c>
      <c r="C28" s="22">
        <v>202</v>
      </c>
      <c r="D28" s="22">
        <v>202</v>
      </c>
      <c r="E28" s="22">
        <v>210</v>
      </c>
      <c r="F28" s="22">
        <v>2311</v>
      </c>
      <c r="G28" s="171">
        <v>200</v>
      </c>
      <c r="H28" s="7" t="s">
        <v>1026</v>
      </c>
    </row>
    <row r="29" spans="1:8" ht="14.25" customHeight="1">
      <c r="A29" s="302">
        <v>5</v>
      </c>
      <c r="B29" s="91" t="s">
        <v>1027</v>
      </c>
      <c r="C29" s="22">
        <v>202</v>
      </c>
      <c r="D29" s="22">
        <v>202</v>
      </c>
      <c r="E29" s="22">
        <v>210</v>
      </c>
      <c r="F29" s="22">
        <v>3262</v>
      </c>
      <c r="G29" s="171">
        <v>210</v>
      </c>
      <c r="H29" s="7"/>
    </row>
    <row r="30" spans="1:8" ht="23.25" customHeight="1">
      <c r="A30" s="302">
        <v>6</v>
      </c>
      <c r="B30" s="91" t="s">
        <v>1028</v>
      </c>
      <c r="C30" s="22">
        <v>800</v>
      </c>
      <c r="D30" s="22">
        <v>800</v>
      </c>
      <c r="E30" s="200">
        <v>800</v>
      </c>
      <c r="F30" s="22">
        <v>3263</v>
      </c>
      <c r="G30" s="171">
        <v>800</v>
      </c>
      <c r="H30" s="7" t="s">
        <v>1029</v>
      </c>
    </row>
    <row r="31" spans="1:8" ht="15">
      <c r="A31" s="310"/>
      <c r="B31" s="311"/>
      <c r="C31" s="312"/>
      <c r="D31" s="312"/>
      <c r="E31" s="312"/>
      <c r="F31" s="312"/>
      <c r="G31" s="312"/>
      <c r="H31" s="313"/>
    </row>
    <row r="32" spans="1:8" ht="15">
      <c r="A32" s="298" t="s">
        <v>4</v>
      </c>
      <c r="B32" s="298"/>
      <c r="C32" s="986" t="s">
        <v>1030</v>
      </c>
      <c r="D32" s="986"/>
      <c r="E32" s="986"/>
      <c r="F32" s="986"/>
      <c r="G32" s="986"/>
      <c r="H32" s="986"/>
    </row>
    <row r="33" spans="1:8" ht="15">
      <c r="A33" s="298" t="s">
        <v>20</v>
      </c>
      <c r="B33" s="298"/>
      <c r="C33" s="987" t="s">
        <v>1031</v>
      </c>
      <c r="D33" s="987"/>
      <c r="E33" s="320"/>
      <c r="F33" s="320"/>
      <c r="G33" s="320"/>
      <c r="H33" s="320"/>
    </row>
    <row r="34" spans="1:8" ht="40.5" customHeight="1">
      <c r="A34" s="300" t="s">
        <v>7</v>
      </c>
      <c r="B34" s="300" t="s">
        <v>8</v>
      </c>
      <c r="C34" s="300" t="s">
        <v>9</v>
      </c>
      <c r="D34" s="300" t="s">
        <v>936</v>
      </c>
      <c r="E34" s="300" t="s">
        <v>10</v>
      </c>
      <c r="F34" s="300" t="s">
        <v>14</v>
      </c>
      <c r="G34" s="300" t="s">
        <v>15</v>
      </c>
      <c r="H34" s="300" t="s">
        <v>13</v>
      </c>
    </row>
    <row r="35" spans="1:8" ht="15">
      <c r="A35" s="988" t="s">
        <v>16</v>
      </c>
      <c r="B35" s="989"/>
      <c r="C35" s="301">
        <f>SUM(C36:C45)</f>
        <v>20582</v>
      </c>
      <c r="D35" s="301">
        <f>SUM(D36:D45)</f>
        <v>19782</v>
      </c>
      <c r="E35" s="301">
        <f>SUM(E36:E45)</f>
        <v>40990</v>
      </c>
      <c r="F35" s="301"/>
      <c r="G35" s="301">
        <f>SUM(G36:G45)</f>
        <v>37690</v>
      </c>
      <c r="H35" s="537" t="s">
        <v>1625</v>
      </c>
    </row>
    <row r="36" spans="1:8" ht="23.25" customHeight="1">
      <c r="A36" s="302">
        <v>1</v>
      </c>
      <c r="B36" s="314" t="s">
        <v>1032</v>
      </c>
      <c r="C36" s="22">
        <v>1500</v>
      </c>
      <c r="D36" s="22">
        <v>1500</v>
      </c>
      <c r="E36" s="22">
        <v>1500</v>
      </c>
      <c r="F36" s="22">
        <v>3262</v>
      </c>
      <c r="G36" s="171">
        <v>1500</v>
      </c>
      <c r="H36" s="7" t="s">
        <v>1033</v>
      </c>
    </row>
    <row r="37" spans="1:8" ht="27.75" customHeight="1">
      <c r="A37" s="302">
        <v>2</v>
      </c>
      <c r="B37" s="24" t="s">
        <v>1034</v>
      </c>
      <c r="C37" s="22">
        <v>1100</v>
      </c>
      <c r="D37" s="22">
        <v>1100</v>
      </c>
      <c r="E37" s="22">
        <v>1400</v>
      </c>
      <c r="F37" s="22">
        <v>3261</v>
      </c>
      <c r="G37" s="171">
        <v>1100</v>
      </c>
      <c r="H37" s="7" t="s">
        <v>1035</v>
      </c>
    </row>
    <row r="38" spans="1:8" ht="21.75" customHeight="1">
      <c r="A38" s="302">
        <v>3</v>
      </c>
      <c r="B38" s="104" t="s">
        <v>1036</v>
      </c>
      <c r="C38" s="22">
        <v>1700</v>
      </c>
      <c r="D38" s="22">
        <v>1700</v>
      </c>
      <c r="E38" s="200">
        <v>1700</v>
      </c>
      <c r="F38" s="22">
        <v>7712</v>
      </c>
      <c r="G38" s="171">
        <v>1700</v>
      </c>
      <c r="H38" s="315" t="s">
        <v>1037</v>
      </c>
    </row>
    <row r="39" spans="1:8" ht="23.25" customHeight="1">
      <c r="A39" s="302">
        <v>4</v>
      </c>
      <c r="B39" s="104" t="s">
        <v>1038</v>
      </c>
      <c r="C39" s="22">
        <v>2200</v>
      </c>
      <c r="D39" s="22">
        <v>2200</v>
      </c>
      <c r="E39" s="22">
        <v>2200</v>
      </c>
      <c r="F39" s="22">
        <v>3262</v>
      </c>
      <c r="G39" s="171">
        <v>2200</v>
      </c>
      <c r="H39" s="7" t="s">
        <v>1039</v>
      </c>
    </row>
    <row r="40" spans="1:8" ht="27" customHeight="1">
      <c r="A40" s="302">
        <v>5</v>
      </c>
      <c r="B40" s="104" t="s">
        <v>1040</v>
      </c>
      <c r="C40" s="22">
        <v>8190</v>
      </c>
      <c r="D40" s="22">
        <v>8190</v>
      </c>
      <c r="E40" s="22">
        <v>8190</v>
      </c>
      <c r="F40" s="22">
        <v>3262</v>
      </c>
      <c r="G40" s="171">
        <v>8190</v>
      </c>
      <c r="H40" s="7" t="s">
        <v>1041</v>
      </c>
    </row>
    <row r="41" spans="1:8" ht="39.75" customHeight="1">
      <c r="A41" s="302">
        <v>6</v>
      </c>
      <c r="B41" s="314" t="s">
        <v>1042</v>
      </c>
      <c r="C41" s="22">
        <v>500</v>
      </c>
      <c r="D41" s="22">
        <v>500</v>
      </c>
      <c r="E41" s="200"/>
      <c r="F41" s="22">
        <v>3262</v>
      </c>
      <c r="G41" s="171"/>
      <c r="H41" s="7" t="s">
        <v>1043</v>
      </c>
    </row>
    <row r="42" spans="1:8" ht="30" customHeight="1">
      <c r="A42" s="302">
        <v>7</v>
      </c>
      <c r="B42" s="314" t="s">
        <v>1042</v>
      </c>
      <c r="C42" s="22">
        <v>1734</v>
      </c>
      <c r="D42" s="22">
        <v>934</v>
      </c>
      <c r="E42" s="200"/>
      <c r="F42" s="22">
        <v>3261</v>
      </c>
      <c r="G42" s="171"/>
      <c r="H42" s="7" t="s">
        <v>1044</v>
      </c>
    </row>
    <row r="43" spans="1:8" ht="49.5" customHeight="1">
      <c r="A43" s="302">
        <v>8</v>
      </c>
      <c r="B43" s="314" t="s">
        <v>1045</v>
      </c>
      <c r="C43" s="22"/>
      <c r="D43" s="22"/>
      <c r="E43" s="200">
        <v>5000</v>
      </c>
      <c r="F43" s="22">
        <v>3262</v>
      </c>
      <c r="G43" s="171">
        <v>5000</v>
      </c>
      <c r="H43" s="104" t="s">
        <v>1094</v>
      </c>
    </row>
    <row r="44" spans="1:8" ht="35.25" customHeight="1">
      <c r="A44" s="302">
        <v>9</v>
      </c>
      <c r="B44" s="314" t="s">
        <v>1046</v>
      </c>
      <c r="C44" s="22"/>
      <c r="D44" s="22"/>
      <c r="E44" s="200">
        <v>6000</v>
      </c>
      <c r="F44" s="22">
        <v>2275</v>
      </c>
      <c r="G44" s="171">
        <v>3000</v>
      </c>
      <c r="H44" s="104" t="s">
        <v>1047</v>
      </c>
    </row>
    <row r="45" spans="1:8" ht="79.5" customHeight="1">
      <c r="A45" s="302">
        <v>10</v>
      </c>
      <c r="B45" s="314" t="s">
        <v>1048</v>
      </c>
      <c r="C45" s="318">
        <v>3658</v>
      </c>
      <c r="D45" s="318">
        <v>3658</v>
      </c>
      <c r="E45" s="318">
        <v>15000</v>
      </c>
      <c r="F45" s="318">
        <v>2275</v>
      </c>
      <c r="G45" s="81">
        <v>15000</v>
      </c>
      <c r="H45" s="7" t="s">
        <v>1049</v>
      </c>
    </row>
    <row r="46" spans="1:8" ht="15">
      <c r="A46" s="298"/>
      <c r="B46" s="298"/>
      <c r="C46" s="316"/>
      <c r="D46" s="316"/>
      <c r="E46" s="316"/>
      <c r="F46" s="298"/>
      <c r="G46" s="316"/>
      <c r="H46" s="298"/>
    </row>
    <row r="47" spans="1:8" ht="15">
      <c r="A47" s="984" t="s">
        <v>17</v>
      </c>
      <c r="B47" s="985"/>
      <c r="C47" s="317">
        <f>SUM(C10,C18,C35)</f>
        <v>54878</v>
      </c>
      <c r="D47" s="317">
        <f>SUM(D10,D18,D35)</f>
        <v>49053</v>
      </c>
      <c r="E47" s="317">
        <f>SUM(E10,E18,E35)</f>
        <v>84997</v>
      </c>
      <c r="F47" s="317"/>
      <c r="G47" s="317">
        <f>SUM(G10,G18,G35)</f>
        <v>81738</v>
      </c>
      <c r="H47" s="540" t="s">
        <v>1626</v>
      </c>
    </row>
    <row r="48" spans="1:8" ht="15">
      <c r="A48" s="21"/>
      <c r="B48" s="21"/>
      <c r="C48" s="21"/>
      <c r="D48" s="21"/>
      <c r="E48" s="21"/>
      <c r="F48" s="21"/>
      <c r="G48" s="21"/>
      <c r="H48" s="21"/>
    </row>
  </sheetData>
  <sheetProtection/>
  <mergeCells count="13">
    <mergeCell ref="A10:B10"/>
    <mergeCell ref="C4:H4"/>
    <mergeCell ref="A5:H5"/>
    <mergeCell ref="C6:H6"/>
    <mergeCell ref="C7:H7"/>
    <mergeCell ref="C8:H8"/>
    <mergeCell ref="A47:B47"/>
    <mergeCell ref="C15:H15"/>
    <mergeCell ref="C16:D16"/>
    <mergeCell ref="A18:B18"/>
    <mergeCell ref="C32:H32"/>
    <mergeCell ref="C33:D33"/>
    <mergeCell ref="A35:B35"/>
  </mergeCells>
  <printOptions/>
  <pageMargins left="0.3937007874015748" right="0.3937007874015748" top="0.7874015748031497" bottom="0.7874015748031497" header="0.5118110236220472" footer="0.5118110236220472"/>
  <pageSetup fitToHeight="0" fitToWidth="1" horizontalDpi="600" verticalDpi="600" orientation="portrait" paperSize="9" scale="59" r:id="rId1"/>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M97"/>
  <sheetViews>
    <sheetView zoomScalePageLayoutView="0" workbookViewId="0" topLeftCell="A100">
      <selection activeCell="I21" sqref="I21"/>
    </sheetView>
  </sheetViews>
  <sheetFormatPr defaultColWidth="9.140625" defaultRowHeight="15"/>
  <cols>
    <col min="1" max="1" width="4.8515625" style="266" customWidth="1"/>
    <col min="2" max="2" width="48.28125" style="266" customWidth="1"/>
    <col min="3" max="3" width="12.8515625" style="266" customWidth="1"/>
    <col min="4" max="4" width="11.7109375" style="266" customWidth="1"/>
    <col min="5" max="5" width="11.140625" style="266" customWidth="1"/>
    <col min="6" max="6" width="11.421875" style="266" customWidth="1"/>
    <col min="7" max="7" width="11.7109375" style="266" customWidth="1"/>
    <col min="8" max="8" width="45.421875" style="266" customWidth="1"/>
    <col min="14" max="16384" width="9.140625" style="266" customWidth="1"/>
  </cols>
  <sheetData>
    <row r="1" spans="8:13" s="724" customFormat="1" ht="15.75">
      <c r="H1" s="723" t="s">
        <v>1648</v>
      </c>
      <c r="I1"/>
      <c r="J1"/>
      <c r="K1"/>
      <c r="L1"/>
      <c r="M1"/>
    </row>
    <row r="2" spans="8:13" s="724" customFormat="1" ht="15.75">
      <c r="H2" s="723" t="s">
        <v>1627</v>
      </c>
      <c r="I2"/>
      <c r="J2"/>
      <c r="K2"/>
      <c r="L2"/>
      <c r="M2"/>
    </row>
    <row r="3" spans="8:13" s="724" customFormat="1" ht="15.75">
      <c r="H3" s="723" t="s">
        <v>1628</v>
      </c>
      <c r="I3"/>
      <c r="J3"/>
      <c r="K3"/>
      <c r="L3"/>
      <c r="M3"/>
    </row>
    <row r="4" spans="1:8" ht="15">
      <c r="A4" s="264" t="s">
        <v>476</v>
      </c>
      <c r="B4" s="265"/>
      <c r="C4" s="1012"/>
      <c r="D4" s="1012"/>
      <c r="E4" s="1012"/>
      <c r="F4" s="1012"/>
      <c r="G4" s="1012"/>
      <c r="H4" s="1012"/>
    </row>
    <row r="5" spans="1:8" ht="15.75">
      <c r="A5" s="1013" t="s">
        <v>2</v>
      </c>
      <c r="B5" s="1013"/>
      <c r="C5" s="1013"/>
      <c r="D5" s="1013"/>
      <c r="E5" s="1013"/>
      <c r="F5" s="1013"/>
      <c r="G5" s="1013"/>
      <c r="H5" s="1013"/>
    </row>
    <row r="6" spans="1:8" ht="15">
      <c r="A6" s="264" t="s">
        <v>3</v>
      </c>
      <c r="B6" s="264"/>
      <c r="C6" s="1012"/>
      <c r="D6" s="1012"/>
      <c r="E6" s="1012"/>
      <c r="F6" s="1012"/>
      <c r="G6" s="1012"/>
      <c r="H6" s="1012"/>
    </row>
    <row r="7" spans="1:8" ht="15">
      <c r="A7" s="264" t="s">
        <v>4</v>
      </c>
      <c r="B7" s="264"/>
      <c r="C7" s="1014"/>
      <c r="D7" s="1014"/>
      <c r="E7" s="1014"/>
      <c r="F7" s="1014"/>
      <c r="G7" s="1014"/>
      <c r="H7" s="1014"/>
    </row>
    <row r="8" spans="1:8" ht="15">
      <c r="A8" s="264" t="s">
        <v>20</v>
      </c>
      <c r="B8" s="264"/>
      <c r="C8" s="1014"/>
      <c r="D8" s="1014"/>
      <c r="E8" s="1014"/>
      <c r="F8" s="1014"/>
      <c r="G8" s="1014"/>
      <c r="H8" s="1014"/>
    </row>
    <row r="9" spans="1:8" ht="15">
      <c r="A9" s="267" t="s">
        <v>4</v>
      </c>
      <c r="B9" s="267"/>
      <c r="C9" s="1000" t="s">
        <v>1126</v>
      </c>
      <c r="D9" s="1000"/>
      <c r="E9" s="1000"/>
      <c r="F9" s="1000"/>
      <c r="G9" s="1000"/>
      <c r="H9" s="1000"/>
    </row>
    <row r="10" spans="1:8" ht="15">
      <c r="A10" s="267" t="s">
        <v>20</v>
      </c>
      <c r="B10" s="267"/>
      <c r="C10" s="1000" t="s">
        <v>935</v>
      </c>
      <c r="D10" s="1000"/>
      <c r="E10" s="1000"/>
      <c r="F10" s="1000"/>
      <c r="G10" s="1000"/>
      <c r="H10" s="1000"/>
    </row>
    <row r="11" spans="1:8" ht="45.75" customHeight="1">
      <c r="A11" s="268" t="s">
        <v>7</v>
      </c>
      <c r="B11" s="268" t="s">
        <v>8</v>
      </c>
      <c r="C11" s="268" t="s">
        <v>9</v>
      </c>
      <c r="D11" s="268" t="s">
        <v>936</v>
      </c>
      <c r="E11" s="268" t="s">
        <v>10</v>
      </c>
      <c r="F11" s="268" t="s">
        <v>14</v>
      </c>
      <c r="G11" s="268" t="s">
        <v>15</v>
      </c>
      <c r="H11" s="268" t="s">
        <v>13</v>
      </c>
    </row>
    <row r="12" spans="1:8" ht="15">
      <c r="A12" s="1001" t="s">
        <v>16</v>
      </c>
      <c r="B12" s="1002"/>
      <c r="C12" s="269">
        <f>SUM(C13)</f>
        <v>200</v>
      </c>
      <c r="D12" s="269">
        <f>SUM(D13)</f>
        <v>0</v>
      </c>
      <c r="E12" s="269">
        <f>SUM(E13)</f>
        <v>200</v>
      </c>
      <c r="F12" s="269"/>
      <c r="G12" s="269">
        <f>SUM(G13)</f>
        <v>100</v>
      </c>
      <c r="H12" s="537"/>
    </row>
    <row r="13" spans="1:8" ht="25.5" customHeight="1">
      <c r="A13" s="270">
        <v>1</v>
      </c>
      <c r="B13" s="271" t="s">
        <v>937</v>
      </c>
      <c r="C13" s="565">
        <v>200</v>
      </c>
      <c r="D13" s="565">
        <v>0</v>
      </c>
      <c r="E13" s="565">
        <v>200</v>
      </c>
      <c r="F13" s="272">
        <v>2279</v>
      </c>
      <c r="G13" s="564">
        <v>100</v>
      </c>
      <c r="H13" s="199" t="s">
        <v>938</v>
      </c>
    </row>
    <row r="14" spans="1:8" ht="15">
      <c r="A14" s="273"/>
      <c r="B14" s="274"/>
      <c r="C14" s="275"/>
      <c r="D14" s="275"/>
      <c r="E14" s="276"/>
      <c r="F14" s="276"/>
      <c r="G14" s="276"/>
      <c r="H14" s="274"/>
    </row>
    <row r="15" spans="1:8" ht="15">
      <c r="A15" s="273"/>
      <c r="B15" s="273"/>
      <c r="C15" s="277"/>
      <c r="D15" s="277"/>
      <c r="E15" s="278"/>
      <c r="F15" s="278"/>
      <c r="G15" s="278"/>
      <c r="H15" s="273"/>
    </row>
    <row r="16" spans="1:8" ht="15">
      <c r="A16" s="279"/>
      <c r="B16" s="279"/>
      <c r="C16" s="279"/>
      <c r="D16" s="279"/>
      <c r="E16" s="279"/>
      <c r="F16" s="279"/>
      <c r="G16" s="279"/>
      <c r="H16" s="279"/>
    </row>
    <row r="17" spans="1:8" ht="15">
      <c r="A17" s="267" t="s">
        <v>4</v>
      </c>
      <c r="B17" s="267"/>
      <c r="C17" s="1000" t="s">
        <v>939</v>
      </c>
      <c r="D17" s="1000"/>
      <c r="E17" s="1000"/>
      <c r="F17" s="1000"/>
      <c r="G17" s="1000"/>
      <c r="H17" s="1000"/>
    </row>
    <row r="18" spans="1:8" ht="15">
      <c r="A18" s="267" t="s">
        <v>20</v>
      </c>
      <c r="B18" s="267"/>
      <c r="C18" s="996" t="s">
        <v>479</v>
      </c>
      <c r="D18" s="996"/>
      <c r="E18" s="280"/>
      <c r="F18" s="280"/>
      <c r="G18" s="280"/>
      <c r="H18" s="280"/>
    </row>
    <row r="19" spans="1:8" ht="42.75" customHeight="1">
      <c r="A19" s="268" t="s">
        <v>7</v>
      </c>
      <c r="B19" s="268" t="s">
        <v>8</v>
      </c>
      <c r="C19" s="268" t="s">
        <v>9</v>
      </c>
      <c r="D19" s="268" t="s">
        <v>936</v>
      </c>
      <c r="E19" s="268" t="s">
        <v>10</v>
      </c>
      <c r="F19" s="268" t="s">
        <v>14</v>
      </c>
      <c r="G19" s="268" t="s">
        <v>15</v>
      </c>
      <c r="H19" s="268" t="s">
        <v>13</v>
      </c>
    </row>
    <row r="20" spans="1:8" ht="15">
      <c r="A20" s="997" t="s">
        <v>16</v>
      </c>
      <c r="B20" s="998"/>
      <c r="C20" s="269">
        <f>SUM(C21)</f>
        <v>7261</v>
      </c>
      <c r="D20" s="269">
        <f>SUM(D21)</f>
        <v>7261</v>
      </c>
      <c r="E20" s="269">
        <f>SUM(E21)</f>
        <v>30000</v>
      </c>
      <c r="F20" s="269"/>
      <c r="G20" s="269">
        <f>SUM(G21)</f>
        <v>30000</v>
      </c>
      <c r="H20" s="537" t="s">
        <v>1541</v>
      </c>
    </row>
    <row r="21" spans="1:8" ht="42" customHeight="1">
      <c r="A21" s="270">
        <v>1</v>
      </c>
      <c r="B21" s="281" t="s">
        <v>940</v>
      </c>
      <c r="C21" s="565">
        <v>7261</v>
      </c>
      <c r="D21" s="565">
        <v>7261</v>
      </c>
      <c r="E21" s="565">
        <v>30000</v>
      </c>
      <c r="F21" s="272">
        <v>3263</v>
      </c>
      <c r="G21" s="566">
        <v>30000</v>
      </c>
      <c r="H21" s="282"/>
    </row>
    <row r="22" spans="1:8" ht="15">
      <c r="A22" s="283"/>
      <c r="B22" s="284"/>
      <c r="C22" s="285"/>
      <c r="D22" s="285"/>
      <c r="E22" s="285"/>
      <c r="F22" s="285"/>
      <c r="G22" s="285"/>
      <c r="H22" s="274"/>
    </row>
    <row r="23" spans="1:8" ht="15">
      <c r="A23" s="286"/>
      <c r="B23" s="286"/>
      <c r="C23" s="287"/>
      <c r="D23" s="287"/>
      <c r="E23" s="287"/>
      <c r="F23" s="287"/>
      <c r="G23" s="287"/>
      <c r="H23" s="279"/>
    </row>
    <row r="24" spans="1:8" ht="15">
      <c r="A24" s="267" t="s">
        <v>4</v>
      </c>
      <c r="B24" s="267"/>
      <c r="C24" s="1000" t="s">
        <v>941</v>
      </c>
      <c r="D24" s="1000"/>
      <c r="E24" s="1000"/>
      <c r="F24" s="1000"/>
      <c r="G24" s="1000"/>
      <c r="H24" s="1000"/>
    </row>
    <row r="25" spans="1:8" ht="15">
      <c r="A25" s="267" t="s">
        <v>20</v>
      </c>
      <c r="B25" s="267"/>
      <c r="C25" s="996" t="s">
        <v>942</v>
      </c>
      <c r="D25" s="996"/>
      <c r="E25" s="280"/>
      <c r="F25" s="280"/>
      <c r="G25" s="280"/>
      <c r="H25" s="280"/>
    </row>
    <row r="26" spans="1:8" ht="43.5" customHeight="1">
      <c r="A26" s="268" t="s">
        <v>7</v>
      </c>
      <c r="B26" s="268" t="s">
        <v>8</v>
      </c>
      <c r="C26" s="268" t="s">
        <v>9</v>
      </c>
      <c r="D26" s="268" t="s">
        <v>943</v>
      </c>
      <c r="E26" s="268" t="s">
        <v>10</v>
      </c>
      <c r="F26" s="268" t="s">
        <v>14</v>
      </c>
      <c r="G26" s="268" t="s">
        <v>15</v>
      </c>
      <c r="H26" s="268" t="s">
        <v>13</v>
      </c>
    </row>
    <row r="27" spans="1:8" ht="15">
      <c r="A27" s="997" t="s">
        <v>16</v>
      </c>
      <c r="B27" s="998"/>
      <c r="C27" s="269">
        <f>SUM(C28:C33)</f>
        <v>75142</v>
      </c>
      <c r="D27" s="269">
        <f>SUM(D28:D33)</f>
        <v>74475</v>
      </c>
      <c r="E27" s="269">
        <f>SUM(E28:E33)</f>
        <v>83211</v>
      </c>
      <c r="F27" s="269"/>
      <c r="G27" s="269">
        <f>SUM(G28:G33)</f>
        <v>83011</v>
      </c>
      <c r="H27" s="537" t="s">
        <v>1542</v>
      </c>
    </row>
    <row r="28" spans="1:8" ht="64.5" customHeight="1">
      <c r="A28" s="270">
        <v>1</v>
      </c>
      <c r="B28" s="288" t="s">
        <v>944</v>
      </c>
      <c r="C28" s="566">
        <v>2718</v>
      </c>
      <c r="D28" s="566">
        <v>2651</v>
      </c>
      <c r="E28" s="566"/>
      <c r="F28" s="272"/>
      <c r="G28" s="564">
        <v>0</v>
      </c>
      <c r="H28" s="199" t="s">
        <v>945</v>
      </c>
    </row>
    <row r="29" spans="1:8" ht="24.75" customHeight="1">
      <c r="A29" s="270">
        <v>2</v>
      </c>
      <c r="B29" s="289" t="s">
        <v>946</v>
      </c>
      <c r="C29" s="567">
        <v>70574</v>
      </c>
      <c r="D29" s="567">
        <v>70574</v>
      </c>
      <c r="E29" s="567">
        <v>71411</v>
      </c>
      <c r="F29" s="290">
        <v>6419</v>
      </c>
      <c r="G29" s="568">
        <v>71411</v>
      </c>
      <c r="H29" s="291" t="s">
        <v>947</v>
      </c>
    </row>
    <row r="30" spans="1:8" ht="25.5" customHeight="1">
      <c r="A30" s="270">
        <v>3</v>
      </c>
      <c r="B30" s="203" t="s">
        <v>948</v>
      </c>
      <c r="C30" s="565">
        <v>650</v>
      </c>
      <c r="D30" s="565">
        <v>450</v>
      </c>
      <c r="E30" s="565">
        <v>450</v>
      </c>
      <c r="F30" s="272">
        <v>6259</v>
      </c>
      <c r="G30" s="564">
        <v>500</v>
      </c>
      <c r="H30" s="199" t="s">
        <v>949</v>
      </c>
    </row>
    <row r="31" spans="1:8" ht="39" customHeight="1">
      <c r="A31" s="270">
        <v>4</v>
      </c>
      <c r="B31" s="203" t="s">
        <v>950</v>
      </c>
      <c r="C31" s="565"/>
      <c r="D31" s="565"/>
      <c r="E31" s="565">
        <v>10000</v>
      </c>
      <c r="F31" s="324">
        <v>6423</v>
      </c>
      <c r="G31" s="564">
        <v>10000</v>
      </c>
      <c r="H31" s="199" t="s">
        <v>951</v>
      </c>
    </row>
    <row r="32" spans="1:8" ht="36" customHeight="1">
      <c r="A32" s="270">
        <v>5</v>
      </c>
      <c r="B32" s="203" t="s">
        <v>952</v>
      </c>
      <c r="C32" s="565"/>
      <c r="D32" s="565"/>
      <c r="E32" s="565">
        <v>300</v>
      </c>
      <c r="F32" s="272">
        <v>2239</v>
      </c>
      <c r="G32" s="564">
        <v>300</v>
      </c>
      <c r="H32" s="199" t="s">
        <v>953</v>
      </c>
    </row>
    <row r="33" spans="1:8" ht="24.75" customHeight="1">
      <c r="A33" s="270">
        <v>6</v>
      </c>
      <c r="B33" s="271" t="s">
        <v>955</v>
      </c>
      <c r="C33" s="565">
        <v>1200</v>
      </c>
      <c r="D33" s="565">
        <v>800</v>
      </c>
      <c r="E33" s="565">
        <v>1050</v>
      </c>
      <c r="F33" s="324">
        <v>6423</v>
      </c>
      <c r="G33" s="564">
        <v>800</v>
      </c>
      <c r="H33" s="199" t="s">
        <v>956</v>
      </c>
    </row>
    <row r="34" spans="1:8" ht="15">
      <c r="A34" s="279"/>
      <c r="B34" s="279"/>
      <c r="C34" s="279"/>
      <c r="D34" s="279"/>
      <c r="E34" s="279"/>
      <c r="F34" s="279"/>
      <c r="G34" s="279"/>
      <c r="H34" s="279"/>
    </row>
    <row r="35" spans="1:8" ht="15">
      <c r="A35" s="267" t="s">
        <v>4</v>
      </c>
      <c r="B35" s="267"/>
      <c r="C35" s="1000" t="s">
        <v>957</v>
      </c>
      <c r="D35" s="1000"/>
      <c r="E35" s="1000"/>
      <c r="F35" s="1000"/>
      <c r="G35" s="1000"/>
      <c r="H35" s="1000"/>
    </row>
    <row r="36" spans="1:8" ht="15">
      <c r="A36" s="267" t="s">
        <v>20</v>
      </c>
      <c r="B36" s="267"/>
      <c r="C36" s="996" t="s">
        <v>149</v>
      </c>
      <c r="D36" s="996"/>
      <c r="E36" s="280"/>
      <c r="F36" s="280"/>
      <c r="G36" s="280"/>
      <c r="H36" s="280"/>
    </row>
    <row r="37" spans="1:8" ht="55.5" customHeight="1">
      <c r="A37" s="268" t="s">
        <v>7</v>
      </c>
      <c r="B37" s="268" t="s">
        <v>8</v>
      </c>
      <c r="C37" s="268" t="s">
        <v>9</v>
      </c>
      <c r="D37" s="268" t="s">
        <v>936</v>
      </c>
      <c r="E37" s="268" t="s">
        <v>10</v>
      </c>
      <c r="F37" s="268" t="s">
        <v>14</v>
      </c>
      <c r="G37" s="268" t="s">
        <v>15</v>
      </c>
      <c r="H37" s="268" t="s">
        <v>13</v>
      </c>
    </row>
    <row r="38" spans="1:8" ht="15">
      <c r="A38" s="997" t="s">
        <v>16</v>
      </c>
      <c r="B38" s="998"/>
      <c r="C38" s="269">
        <f>SUM(C39:C41)</f>
        <v>83155</v>
      </c>
      <c r="D38" s="269">
        <f>SUM(D39:D41)</f>
        <v>83155</v>
      </c>
      <c r="E38" s="269">
        <f>SUM(E39:E41)</f>
        <v>171948</v>
      </c>
      <c r="F38" s="269"/>
      <c r="G38" s="269">
        <f>SUM(G39:G41)</f>
        <v>83349</v>
      </c>
      <c r="H38" s="543">
        <f>G38/D38</f>
        <v>1.0023329926041729</v>
      </c>
    </row>
    <row r="39" spans="1:8" ht="37.5" customHeight="1">
      <c r="A39" s="270">
        <v>1</v>
      </c>
      <c r="B39" s="288" t="s">
        <v>1420</v>
      </c>
      <c r="C39" s="566">
        <v>61655</v>
      </c>
      <c r="D39" s="566">
        <v>61655</v>
      </c>
      <c r="E39" s="569">
        <v>150448</v>
      </c>
      <c r="F39" s="324">
        <v>3261</v>
      </c>
      <c r="G39" s="564">
        <v>61849</v>
      </c>
      <c r="H39" s="199" t="s">
        <v>1479</v>
      </c>
    </row>
    <row r="40" spans="1:8" ht="36" customHeight="1">
      <c r="A40" s="270">
        <v>2</v>
      </c>
      <c r="B40" s="288" t="s">
        <v>958</v>
      </c>
      <c r="C40" s="566">
        <v>12000</v>
      </c>
      <c r="D40" s="566">
        <v>12000</v>
      </c>
      <c r="E40" s="566">
        <v>12000</v>
      </c>
      <c r="F40" s="272">
        <v>6412</v>
      </c>
      <c r="G40" s="564">
        <v>12000</v>
      </c>
      <c r="H40" s="203" t="s">
        <v>1100</v>
      </c>
    </row>
    <row r="41" spans="1:8" ht="28.5" customHeight="1">
      <c r="A41" s="270">
        <v>3</v>
      </c>
      <c r="B41" s="288" t="s">
        <v>959</v>
      </c>
      <c r="C41" s="565">
        <v>9500</v>
      </c>
      <c r="D41" s="565">
        <v>9500</v>
      </c>
      <c r="E41" s="565">
        <v>9500</v>
      </c>
      <c r="F41" s="272">
        <v>6252</v>
      </c>
      <c r="G41" s="564">
        <v>9500</v>
      </c>
      <c r="H41" s="199" t="s">
        <v>960</v>
      </c>
    </row>
    <row r="42" spans="1:8" ht="15">
      <c r="A42" s="279"/>
      <c r="B42" s="279"/>
      <c r="C42" s="279"/>
      <c r="D42" s="279"/>
      <c r="E42" s="279"/>
      <c r="F42" s="279"/>
      <c r="G42" s="279"/>
      <c r="H42" s="279"/>
    </row>
    <row r="43" spans="1:8" ht="15">
      <c r="A43" s="267" t="s">
        <v>4</v>
      </c>
      <c r="B43" s="267"/>
      <c r="C43" s="1000" t="s">
        <v>961</v>
      </c>
      <c r="D43" s="1000"/>
      <c r="E43" s="1000"/>
      <c r="F43" s="1000"/>
      <c r="G43" s="1000"/>
      <c r="H43" s="1000"/>
    </row>
    <row r="44" spans="1:8" ht="15">
      <c r="A44" s="267" t="s">
        <v>20</v>
      </c>
      <c r="B44" s="267"/>
      <c r="C44" s="996" t="s">
        <v>962</v>
      </c>
      <c r="D44" s="996"/>
      <c r="E44" s="280"/>
      <c r="F44" s="280"/>
      <c r="G44" s="280"/>
      <c r="H44" s="280"/>
    </row>
    <row r="45" spans="1:8" ht="52.5" customHeight="1">
      <c r="A45" s="268" t="s">
        <v>7</v>
      </c>
      <c r="B45" s="268" t="s">
        <v>8</v>
      </c>
      <c r="C45" s="268" t="s">
        <v>9</v>
      </c>
      <c r="D45" s="268" t="s">
        <v>936</v>
      </c>
      <c r="E45" s="268" t="s">
        <v>10</v>
      </c>
      <c r="F45" s="268" t="s">
        <v>14</v>
      </c>
      <c r="G45" s="268" t="s">
        <v>15</v>
      </c>
      <c r="H45" s="268" t="s">
        <v>13</v>
      </c>
    </row>
    <row r="46" spans="1:8" ht="15">
      <c r="A46" s="997" t="s">
        <v>16</v>
      </c>
      <c r="B46" s="998"/>
      <c r="C46" s="269">
        <f>SUM(C47:C57)</f>
        <v>475647</v>
      </c>
      <c r="D46" s="269">
        <f>SUM(D47:D57)</f>
        <v>475640</v>
      </c>
      <c r="E46" s="269">
        <f>SUM(E47:E56)</f>
        <v>470770</v>
      </c>
      <c r="F46" s="269"/>
      <c r="G46" s="269">
        <f>SUM(G47:G57)</f>
        <v>536010</v>
      </c>
      <c r="H46" s="543">
        <f>G46/D46</f>
        <v>1.1269237238247414</v>
      </c>
    </row>
    <row r="47" spans="1:8" ht="17.25" customHeight="1">
      <c r="A47" s="270">
        <v>1</v>
      </c>
      <c r="B47" s="288" t="s">
        <v>963</v>
      </c>
      <c r="C47" s="566">
        <v>4938</v>
      </c>
      <c r="D47" s="566">
        <v>4938</v>
      </c>
      <c r="E47" s="566"/>
      <c r="F47" s="292">
        <v>2279</v>
      </c>
      <c r="G47" s="564">
        <v>0</v>
      </c>
      <c r="H47" s="199"/>
    </row>
    <row r="48" spans="1:8" ht="87" customHeight="1">
      <c r="A48" s="270">
        <v>2</v>
      </c>
      <c r="B48" s="289" t="s">
        <v>964</v>
      </c>
      <c r="C48" s="567">
        <v>28320</v>
      </c>
      <c r="D48" s="570">
        <v>28320</v>
      </c>
      <c r="E48" s="567">
        <v>21600</v>
      </c>
      <c r="F48" s="293">
        <v>6255</v>
      </c>
      <c r="G48" s="568">
        <v>21600</v>
      </c>
      <c r="H48" s="291" t="s">
        <v>1096</v>
      </c>
    </row>
    <row r="49" spans="1:8" ht="40.5" customHeight="1">
      <c r="A49" s="270">
        <v>3</v>
      </c>
      <c r="B49" s="271" t="s">
        <v>965</v>
      </c>
      <c r="C49" s="566">
        <v>308300</v>
      </c>
      <c r="D49" s="566">
        <v>308300</v>
      </c>
      <c r="E49" s="566">
        <v>308300</v>
      </c>
      <c r="F49" s="292">
        <v>6260</v>
      </c>
      <c r="G49" s="564">
        <v>308300</v>
      </c>
      <c r="H49" s="199" t="s">
        <v>966</v>
      </c>
    </row>
    <row r="50" spans="1:8" ht="25.5" customHeight="1">
      <c r="A50" s="270">
        <v>4</v>
      </c>
      <c r="B50" s="288" t="s">
        <v>959</v>
      </c>
      <c r="C50" s="566">
        <v>54330</v>
      </c>
      <c r="D50" s="566">
        <v>54330</v>
      </c>
      <c r="E50" s="566">
        <v>54330</v>
      </c>
      <c r="F50" s="292">
        <v>6252</v>
      </c>
      <c r="G50" s="564">
        <v>54330</v>
      </c>
      <c r="H50" s="294" t="s">
        <v>967</v>
      </c>
    </row>
    <row r="51" spans="1:8" ht="31.5" customHeight="1">
      <c r="A51" s="270">
        <v>5</v>
      </c>
      <c r="B51" s="288" t="s">
        <v>968</v>
      </c>
      <c r="C51" s="566">
        <v>46600</v>
      </c>
      <c r="D51" s="566">
        <v>46600</v>
      </c>
      <c r="E51" s="566">
        <v>50000</v>
      </c>
      <c r="F51" s="325">
        <v>6423</v>
      </c>
      <c r="G51" s="564">
        <f>47100+47100</f>
        <v>94200</v>
      </c>
      <c r="H51" s="294" t="s">
        <v>969</v>
      </c>
    </row>
    <row r="52" spans="1:8" ht="27" customHeight="1">
      <c r="A52" s="270">
        <v>6</v>
      </c>
      <c r="B52" s="203" t="s">
        <v>970</v>
      </c>
      <c r="C52" s="566">
        <v>26000</v>
      </c>
      <c r="D52" s="566">
        <v>26000</v>
      </c>
      <c r="E52" s="566">
        <v>28000</v>
      </c>
      <c r="F52" s="292">
        <v>6259</v>
      </c>
      <c r="G52" s="564">
        <v>50000</v>
      </c>
      <c r="H52" s="294" t="s">
        <v>1548</v>
      </c>
    </row>
    <row r="53" spans="1:8" ht="39" customHeight="1">
      <c r="A53" s="270">
        <v>7</v>
      </c>
      <c r="B53" s="288" t="s">
        <v>971</v>
      </c>
      <c r="C53" s="566">
        <v>5472</v>
      </c>
      <c r="D53" s="566">
        <v>5472</v>
      </c>
      <c r="E53" s="566">
        <v>6840</v>
      </c>
      <c r="F53" s="325">
        <v>6423</v>
      </c>
      <c r="G53" s="564">
        <v>5900</v>
      </c>
      <c r="H53" s="294" t="s">
        <v>972</v>
      </c>
    </row>
    <row r="54" spans="1:8" ht="13.5" customHeight="1">
      <c r="A54" s="1006">
        <v>8</v>
      </c>
      <c r="B54" s="1003" t="s">
        <v>973</v>
      </c>
      <c r="C54" s="565">
        <v>300</v>
      </c>
      <c r="D54" s="565">
        <v>300</v>
      </c>
      <c r="E54" s="1009">
        <v>1700</v>
      </c>
      <c r="F54" s="272">
        <v>2231</v>
      </c>
      <c r="G54" s="564">
        <v>300</v>
      </c>
      <c r="H54" s="1003" t="s">
        <v>974</v>
      </c>
    </row>
    <row r="55" spans="1:8" ht="13.5" customHeight="1">
      <c r="A55" s="1007"/>
      <c r="B55" s="1004"/>
      <c r="C55" s="565">
        <v>160</v>
      </c>
      <c r="D55" s="565">
        <v>160</v>
      </c>
      <c r="E55" s="1010"/>
      <c r="F55" s="272">
        <v>2279</v>
      </c>
      <c r="G55" s="564">
        <v>160</v>
      </c>
      <c r="H55" s="1004"/>
    </row>
    <row r="56" spans="1:8" ht="13.5" customHeight="1">
      <c r="A56" s="1007"/>
      <c r="B56" s="1004"/>
      <c r="C56" s="565">
        <v>7</v>
      </c>
      <c r="D56" s="565">
        <v>0</v>
      </c>
      <c r="E56" s="1010"/>
      <c r="F56" s="272">
        <v>2311</v>
      </c>
      <c r="G56" s="564"/>
      <c r="H56" s="1004"/>
    </row>
    <row r="57" spans="1:8" ht="13.5" customHeight="1">
      <c r="A57" s="1008"/>
      <c r="B57" s="1005"/>
      <c r="C57" s="566">
        <v>1220</v>
      </c>
      <c r="D57" s="566">
        <v>1220</v>
      </c>
      <c r="E57" s="1011"/>
      <c r="F57" s="292">
        <v>2390</v>
      </c>
      <c r="G57" s="564">
        <v>1220</v>
      </c>
      <c r="H57" s="1005"/>
    </row>
    <row r="58" spans="1:8" ht="15">
      <c r="A58" s="279"/>
      <c r="B58" s="279"/>
      <c r="C58" s="279"/>
      <c r="D58" s="279"/>
      <c r="E58" s="279"/>
      <c r="F58" s="279"/>
      <c r="G58" s="279"/>
      <c r="H58" s="279"/>
    </row>
    <row r="59" spans="1:8" ht="15">
      <c r="A59" s="267" t="s">
        <v>4</v>
      </c>
      <c r="B59" s="267"/>
      <c r="C59" s="1000" t="s">
        <v>975</v>
      </c>
      <c r="D59" s="1000"/>
      <c r="E59" s="1000"/>
      <c r="F59" s="1000"/>
      <c r="G59" s="1000"/>
      <c r="H59" s="1000"/>
    </row>
    <row r="60" spans="1:8" ht="15">
      <c r="A60" s="267" t="s">
        <v>20</v>
      </c>
      <c r="B60" s="267"/>
      <c r="C60" s="996" t="s">
        <v>151</v>
      </c>
      <c r="D60" s="996"/>
      <c r="E60" s="280"/>
      <c r="F60" s="280"/>
      <c r="G60" s="280"/>
      <c r="H60" s="280"/>
    </row>
    <row r="61" spans="1:8" ht="54" customHeight="1">
      <c r="A61" s="268" t="s">
        <v>7</v>
      </c>
      <c r="B61" s="268" t="s">
        <v>8</v>
      </c>
      <c r="C61" s="268" t="s">
        <v>9</v>
      </c>
      <c r="D61" s="268" t="s">
        <v>936</v>
      </c>
      <c r="E61" s="268" t="s">
        <v>10</v>
      </c>
      <c r="F61" s="268" t="s">
        <v>14</v>
      </c>
      <c r="G61" s="268" t="s">
        <v>15</v>
      </c>
      <c r="H61" s="268" t="s">
        <v>13</v>
      </c>
    </row>
    <row r="62" spans="1:8" ht="15">
      <c r="A62" s="997" t="s">
        <v>16</v>
      </c>
      <c r="B62" s="998"/>
      <c r="C62" s="269">
        <f>SUM(C63:C68)</f>
        <v>362883</v>
      </c>
      <c r="D62" s="269">
        <f>SUM(D63:D68)</f>
        <v>360683</v>
      </c>
      <c r="E62" s="269">
        <f>SUM(E63:E68)</f>
        <v>879520</v>
      </c>
      <c r="F62" s="269"/>
      <c r="G62" s="269">
        <f>SUM(G63:G68)</f>
        <v>856700</v>
      </c>
      <c r="H62" s="543">
        <f>G62/D62</f>
        <v>2.3752159098155445</v>
      </c>
    </row>
    <row r="63" spans="1:8" ht="38.25" customHeight="1">
      <c r="A63" s="270">
        <v>1</v>
      </c>
      <c r="B63" s="271" t="s">
        <v>976</v>
      </c>
      <c r="C63" s="566">
        <v>319813</v>
      </c>
      <c r="D63" s="566">
        <v>319113</v>
      </c>
      <c r="E63" s="566">
        <v>315000</v>
      </c>
      <c r="F63" s="292">
        <v>6360</v>
      </c>
      <c r="G63" s="564">
        <v>300000</v>
      </c>
      <c r="H63" s="294" t="s">
        <v>1097</v>
      </c>
    </row>
    <row r="64" spans="1:8" ht="38.25" customHeight="1">
      <c r="A64" s="270">
        <v>2</v>
      </c>
      <c r="B64" s="271" t="s">
        <v>976</v>
      </c>
      <c r="C64" s="566"/>
      <c r="D64" s="566"/>
      <c r="E64" s="566">
        <v>15000</v>
      </c>
      <c r="F64" s="292">
        <v>6270</v>
      </c>
      <c r="G64" s="564">
        <v>15000</v>
      </c>
      <c r="H64" s="294" t="s">
        <v>1098</v>
      </c>
    </row>
    <row r="65" spans="1:8" ht="54.75" customHeight="1">
      <c r="A65" s="270">
        <v>3</v>
      </c>
      <c r="B65" s="271" t="s">
        <v>954</v>
      </c>
      <c r="C65" s="566"/>
      <c r="D65" s="566"/>
      <c r="E65" s="566">
        <v>500000</v>
      </c>
      <c r="F65" s="292">
        <v>6254</v>
      </c>
      <c r="G65" s="564">
        <v>500000</v>
      </c>
      <c r="H65" s="294" t="s">
        <v>1099</v>
      </c>
    </row>
    <row r="66" spans="1:8" ht="65.25" customHeight="1">
      <c r="A66" s="270">
        <v>4</v>
      </c>
      <c r="B66" s="282" t="s">
        <v>977</v>
      </c>
      <c r="C66" s="566">
        <v>27570</v>
      </c>
      <c r="D66" s="566">
        <v>27570</v>
      </c>
      <c r="E66" s="566">
        <v>34020</v>
      </c>
      <c r="F66" s="292">
        <v>6255</v>
      </c>
      <c r="G66" s="564">
        <v>27600</v>
      </c>
      <c r="H66" s="294" t="s">
        <v>978</v>
      </c>
    </row>
    <row r="67" spans="1:8" ht="62.25" customHeight="1">
      <c r="A67" s="270">
        <v>5</v>
      </c>
      <c r="B67" s="288" t="s">
        <v>979</v>
      </c>
      <c r="C67" s="566">
        <v>14000</v>
      </c>
      <c r="D67" s="566">
        <v>14000</v>
      </c>
      <c r="E67" s="566">
        <v>14000</v>
      </c>
      <c r="F67" s="292">
        <v>6330</v>
      </c>
      <c r="G67" s="564">
        <v>13100</v>
      </c>
      <c r="H67" s="199" t="s">
        <v>980</v>
      </c>
    </row>
    <row r="68" spans="1:8" ht="28.5" customHeight="1">
      <c r="A68" s="270">
        <v>6</v>
      </c>
      <c r="B68" s="288" t="s">
        <v>981</v>
      </c>
      <c r="C68" s="566">
        <v>1500</v>
      </c>
      <c r="D68" s="566">
        <v>0</v>
      </c>
      <c r="E68" s="566">
        <v>1500</v>
      </c>
      <c r="F68" s="292">
        <v>6259</v>
      </c>
      <c r="G68" s="564">
        <v>1000</v>
      </c>
      <c r="H68" s="199" t="s">
        <v>982</v>
      </c>
    </row>
    <row r="69" spans="1:8" ht="15">
      <c r="A69" s="279"/>
      <c r="B69" s="279"/>
      <c r="C69" s="279"/>
      <c r="D69" s="279"/>
      <c r="E69" s="279"/>
      <c r="F69" s="279"/>
      <c r="G69" s="279"/>
      <c r="H69" s="279"/>
    </row>
    <row r="70" spans="1:8" ht="15">
      <c r="A70" s="267" t="s">
        <v>4</v>
      </c>
      <c r="B70" s="267"/>
      <c r="C70" s="1000" t="s">
        <v>983</v>
      </c>
      <c r="D70" s="1000"/>
      <c r="E70" s="1000"/>
      <c r="F70" s="1000"/>
      <c r="G70" s="1000"/>
      <c r="H70" s="1000"/>
    </row>
    <row r="71" spans="1:8" ht="15">
      <c r="A71" s="267" t="s">
        <v>20</v>
      </c>
      <c r="B71" s="267"/>
      <c r="C71" s="996" t="s">
        <v>154</v>
      </c>
      <c r="D71" s="996"/>
      <c r="E71" s="280"/>
      <c r="F71" s="280"/>
      <c r="G71" s="280"/>
      <c r="H71" s="280"/>
    </row>
    <row r="72" spans="1:8" ht="48.75" customHeight="1">
      <c r="A72" s="268" t="s">
        <v>7</v>
      </c>
      <c r="B72" s="268" t="s">
        <v>8</v>
      </c>
      <c r="C72" s="268" t="s">
        <v>9</v>
      </c>
      <c r="D72" s="268" t="s">
        <v>936</v>
      </c>
      <c r="E72" s="268" t="s">
        <v>10</v>
      </c>
      <c r="F72" s="268" t="s">
        <v>14</v>
      </c>
      <c r="G72" s="268" t="s">
        <v>15</v>
      </c>
      <c r="H72" s="268" t="s">
        <v>13</v>
      </c>
    </row>
    <row r="73" spans="1:8" ht="15">
      <c r="A73" s="997" t="s">
        <v>16</v>
      </c>
      <c r="B73" s="998"/>
      <c r="C73" s="269">
        <f>SUM(C74:C86)</f>
        <v>395939</v>
      </c>
      <c r="D73" s="269">
        <f>SUM(D74:D86)</f>
        <v>383998</v>
      </c>
      <c r="E73" s="269">
        <f>SUM(E74:E86)</f>
        <v>492015</v>
      </c>
      <c r="F73" s="269"/>
      <c r="G73" s="269">
        <f>SUM(G74:G86)</f>
        <v>423922</v>
      </c>
      <c r="H73" s="543">
        <f>G73/D73</f>
        <v>1.1039692915067265</v>
      </c>
    </row>
    <row r="74" spans="1:8" ht="37.5" customHeight="1">
      <c r="A74" s="270">
        <v>1</v>
      </c>
      <c r="B74" s="271" t="s">
        <v>1421</v>
      </c>
      <c r="C74" s="565">
        <v>51535</v>
      </c>
      <c r="D74" s="565">
        <v>51535</v>
      </c>
      <c r="E74" s="571">
        <v>103565</v>
      </c>
      <c r="F74" s="324">
        <v>3261</v>
      </c>
      <c r="G74" s="564">
        <v>69794</v>
      </c>
      <c r="H74" s="199" t="s">
        <v>1480</v>
      </c>
    </row>
    <row r="75" spans="1:8" ht="39" customHeight="1">
      <c r="A75" s="270">
        <v>2</v>
      </c>
      <c r="B75" s="271" t="s">
        <v>1422</v>
      </c>
      <c r="C75" s="566">
        <v>60148</v>
      </c>
      <c r="D75" s="566">
        <v>60148</v>
      </c>
      <c r="E75" s="569">
        <v>90575</v>
      </c>
      <c r="F75" s="325">
        <v>3261</v>
      </c>
      <c r="G75" s="569">
        <v>66563</v>
      </c>
      <c r="H75" s="199" t="s">
        <v>1481</v>
      </c>
    </row>
    <row r="76" spans="1:8" ht="38.25" customHeight="1">
      <c r="A76" s="270">
        <v>3</v>
      </c>
      <c r="B76" s="271" t="s">
        <v>1423</v>
      </c>
      <c r="C76" s="566">
        <v>11941</v>
      </c>
      <c r="D76" s="566">
        <v>0</v>
      </c>
      <c r="E76" s="569">
        <v>18365</v>
      </c>
      <c r="F76" s="325">
        <v>3261</v>
      </c>
      <c r="G76" s="564">
        <v>18365</v>
      </c>
      <c r="H76" s="199" t="s">
        <v>1424</v>
      </c>
    </row>
    <row r="77" spans="1:8" ht="27.75" customHeight="1">
      <c r="A77" s="270">
        <v>4</v>
      </c>
      <c r="B77" s="288" t="s">
        <v>984</v>
      </c>
      <c r="C77" s="566">
        <v>8100</v>
      </c>
      <c r="D77" s="566">
        <v>8100</v>
      </c>
      <c r="E77" s="566">
        <v>8100</v>
      </c>
      <c r="F77" s="292">
        <v>3262</v>
      </c>
      <c r="G77" s="564">
        <v>6000</v>
      </c>
      <c r="H77" s="199" t="s">
        <v>985</v>
      </c>
    </row>
    <row r="78" spans="1:8" ht="40.5" customHeight="1">
      <c r="A78" s="270">
        <v>5</v>
      </c>
      <c r="B78" s="271" t="s">
        <v>965</v>
      </c>
      <c r="C78" s="566">
        <v>166700</v>
      </c>
      <c r="D78" s="566">
        <v>166700</v>
      </c>
      <c r="E78" s="566">
        <v>166700</v>
      </c>
      <c r="F78" s="292">
        <v>6260</v>
      </c>
      <c r="G78" s="564">
        <v>166700</v>
      </c>
      <c r="H78" s="199" t="s">
        <v>986</v>
      </c>
    </row>
    <row r="79" spans="1:8" ht="29.25" customHeight="1">
      <c r="A79" s="270">
        <v>6</v>
      </c>
      <c r="B79" s="288" t="s">
        <v>959</v>
      </c>
      <c r="C79" s="566">
        <v>34300</v>
      </c>
      <c r="D79" s="566">
        <v>34300</v>
      </c>
      <c r="E79" s="566">
        <v>34300</v>
      </c>
      <c r="F79" s="292">
        <v>6252</v>
      </c>
      <c r="G79" s="564">
        <v>34300</v>
      </c>
      <c r="H79" s="199" t="s">
        <v>967</v>
      </c>
    </row>
    <row r="80" spans="1:8" ht="24.75" customHeight="1">
      <c r="A80" s="270">
        <v>7</v>
      </c>
      <c r="B80" s="288" t="s">
        <v>987</v>
      </c>
      <c r="C80" s="566">
        <v>6600</v>
      </c>
      <c r="D80" s="566">
        <v>6600</v>
      </c>
      <c r="E80" s="566">
        <v>6600</v>
      </c>
      <c r="F80" s="325">
        <v>6423</v>
      </c>
      <c r="G80" s="572">
        <v>6300</v>
      </c>
      <c r="H80" s="199" t="s">
        <v>988</v>
      </c>
    </row>
    <row r="81" spans="1:8" ht="37.5" customHeight="1">
      <c r="A81" s="270">
        <v>8</v>
      </c>
      <c r="B81" s="288" t="s">
        <v>989</v>
      </c>
      <c r="C81" s="566">
        <v>2250</v>
      </c>
      <c r="D81" s="566">
        <v>2250</v>
      </c>
      <c r="E81" s="566">
        <v>2400</v>
      </c>
      <c r="F81" s="325">
        <v>6423</v>
      </c>
      <c r="G81" s="572">
        <v>2000</v>
      </c>
      <c r="H81" s="199" t="s">
        <v>990</v>
      </c>
    </row>
    <row r="82" spans="1:8" ht="30.75" customHeight="1">
      <c r="A82" s="270">
        <v>9</v>
      </c>
      <c r="B82" s="288" t="s">
        <v>991</v>
      </c>
      <c r="C82" s="566">
        <v>3000</v>
      </c>
      <c r="D82" s="566">
        <v>3000</v>
      </c>
      <c r="E82" s="566">
        <v>3000</v>
      </c>
      <c r="F82" s="292">
        <v>6259</v>
      </c>
      <c r="G82" s="572">
        <v>3000</v>
      </c>
      <c r="H82" s="199" t="s">
        <v>992</v>
      </c>
    </row>
    <row r="83" spans="1:8" ht="27" customHeight="1">
      <c r="A83" s="270">
        <v>10</v>
      </c>
      <c r="B83" s="288" t="s">
        <v>993</v>
      </c>
      <c r="C83" s="566">
        <v>7000</v>
      </c>
      <c r="D83" s="566">
        <v>7000</v>
      </c>
      <c r="E83" s="566">
        <v>8000</v>
      </c>
      <c r="F83" s="325">
        <v>6423</v>
      </c>
      <c r="G83" s="572">
        <v>7500</v>
      </c>
      <c r="H83" s="199" t="s">
        <v>994</v>
      </c>
    </row>
    <row r="84" spans="1:8" ht="37.5" customHeight="1">
      <c r="A84" s="270">
        <v>11</v>
      </c>
      <c r="B84" s="288" t="s">
        <v>995</v>
      </c>
      <c r="C84" s="565">
        <v>12000</v>
      </c>
      <c r="D84" s="565">
        <v>12000</v>
      </c>
      <c r="E84" s="565">
        <v>12000</v>
      </c>
      <c r="F84" s="272">
        <v>6254</v>
      </c>
      <c r="G84" s="572">
        <v>11000</v>
      </c>
      <c r="H84" s="199" t="s">
        <v>996</v>
      </c>
    </row>
    <row r="85" spans="1:8" ht="64.5" customHeight="1">
      <c r="A85" s="270">
        <v>12</v>
      </c>
      <c r="B85" s="282" t="s">
        <v>997</v>
      </c>
      <c r="C85" s="566">
        <v>26900</v>
      </c>
      <c r="D85" s="566">
        <v>26900</v>
      </c>
      <c r="E85" s="566">
        <v>33480</v>
      </c>
      <c r="F85" s="292">
        <v>6255</v>
      </c>
      <c r="G85" s="572">
        <v>27470</v>
      </c>
      <c r="H85" s="288" t="s">
        <v>998</v>
      </c>
    </row>
    <row r="86" spans="1:8" ht="69.75" customHeight="1">
      <c r="A86" s="270">
        <v>13</v>
      </c>
      <c r="B86" s="271" t="s">
        <v>999</v>
      </c>
      <c r="C86" s="566">
        <v>5465</v>
      </c>
      <c r="D86" s="566">
        <v>5465</v>
      </c>
      <c r="E86" s="566">
        <v>4930</v>
      </c>
      <c r="F86" s="292">
        <v>6255</v>
      </c>
      <c r="G86" s="572">
        <v>4930</v>
      </c>
      <c r="H86" s="288" t="s">
        <v>1000</v>
      </c>
    </row>
    <row r="87" spans="1:8" ht="15">
      <c r="A87" s="267"/>
      <c r="B87" s="267"/>
      <c r="C87" s="999"/>
      <c r="D87" s="999"/>
      <c r="E87" s="999"/>
      <c r="F87" s="999"/>
      <c r="G87" s="999"/>
      <c r="H87" s="999"/>
    </row>
    <row r="88" spans="1:8" ht="15">
      <c r="A88" s="267" t="s">
        <v>4</v>
      </c>
      <c r="B88" s="267"/>
      <c r="C88" s="1000" t="s">
        <v>1001</v>
      </c>
      <c r="D88" s="1000"/>
      <c r="E88" s="1000"/>
      <c r="F88" s="1000"/>
      <c r="G88" s="1000"/>
      <c r="H88" s="1000"/>
    </row>
    <row r="89" spans="1:8" ht="15">
      <c r="A89" s="267" t="s">
        <v>20</v>
      </c>
      <c r="B89" s="267"/>
      <c r="C89" s="1000" t="s">
        <v>1002</v>
      </c>
      <c r="D89" s="1000"/>
      <c r="E89" s="1000"/>
      <c r="F89" s="1000"/>
      <c r="G89" s="1000"/>
      <c r="H89" s="1000"/>
    </row>
    <row r="90" spans="1:8" ht="44.25" customHeight="1">
      <c r="A90" s="268" t="s">
        <v>7</v>
      </c>
      <c r="B90" s="268" t="s">
        <v>8</v>
      </c>
      <c r="C90" s="268" t="s">
        <v>9</v>
      </c>
      <c r="D90" s="268" t="s">
        <v>936</v>
      </c>
      <c r="E90" s="268" t="s">
        <v>10</v>
      </c>
      <c r="F90" s="268" t="s">
        <v>14</v>
      </c>
      <c r="G90" s="268" t="s">
        <v>15</v>
      </c>
      <c r="H90" s="268" t="s">
        <v>13</v>
      </c>
    </row>
    <row r="91" spans="1:8" ht="15">
      <c r="A91" s="1001" t="s">
        <v>16</v>
      </c>
      <c r="B91" s="1002"/>
      <c r="C91" s="269">
        <f>SUM(C92:C92)</f>
        <v>26700</v>
      </c>
      <c r="D91" s="269">
        <f>SUM(D92:D92)</f>
        <v>26700</v>
      </c>
      <c r="E91" s="269">
        <f>SUM(E92:E92)</f>
        <v>26220</v>
      </c>
      <c r="F91" s="269"/>
      <c r="G91" s="269">
        <f>SUM(G92:G92)</f>
        <v>44000</v>
      </c>
      <c r="H91" s="295"/>
    </row>
    <row r="92" spans="1:8" ht="36" customHeight="1">
      <c r="A92" s="270">
        <v>1</v>
      </c>
      <c r="B92" s="271" t="s">
        <v>1003</v>
      </c>
      <c r="C92" s="566">
        <v>26700</v>
      </c>
      <c r="D92" s="566">
        <v>26700</v>
      </c>
      <c r="E92" s="566">
        <v>26220</v>
      </c>
      <c r="F92" s="325">
        <v>6423</v>
      </c>
      <c r="G92" s="572">
        <v>44000</v>
      </c>
      <c r="H92" s="288" t="s">
        <v>1549</v>
      </c>
    </row>
    <row r="93" spans="1:8" ht="15">
      <c r="A93" s="273"/>
      <c r="B93" s="274"/>
      <c r="C93" s="275"/>
      <c r="D93" s="275"/>
      <c r="E93" s="276"/>
      <c r="F93" s="276"/>
      <c r="G93" s="276"/>
      <c r="H93" s="274"/>
    </row>
    <row r="94" spans="1:8" ht="15">
      <c r="A94" s="267"/>
      <c r="B94" s="267"/>
      <c r="C94" s="296"/>
      <c r="D94" s="296"/>
      <c r="E94" s="296"/>
      <c r="F94" s="267"/>
      <c r="G94" s="296"/>
      <c r="H94" s="267"/>
    </row>
    <row r="95" spans="1:8" ht="15">
      <c r="A95" s="994" t="s">
        <v>17</v>
      </c>
      <c r="B95" s="995"/>
      <c r="C95" s="297">
        <f>SUM(C12,C20,C27,C38,C46,C62,C73,C91)</f>
        <v>1426927</v>
      </c>
      <c r="D95" s="297">
        <f>SUM(D12,D20,D27,D38,D46,D62,D73,D91)</f>
        <v>1411912</v>
      </c>
      <c r="E95" s="297">
        <f>SUM(E12,E20,E27,E38,E46,E62,E73,E91)</f>
        <v>2153884</v>
      </c>
      <c r="F95" s="297"/>
      <c r="G95" s="297">
        <f>SUM(G12,G20,G27,G38,G46,G62,G73,G91)</f>
        <v>2057092</v>
      </c>
      <c r="H95" s="544">
        <f>G95/D95</f>
        <v>1.4569548243799897</v>
      </c>
    </row>
    <row r="96" spans="1:8" ht="15">
      <c r="A96" s="267"/>
      <c r="B96" s="267"/>
      <c r="C96" s="267"/>
      <c r="D96" s="267"/>
      <c r="E96" s="267"/>
      <c r="F96" s="267"/>
      <c r="G96" s="267"/>
      <c r="H96" s="267"/>
    </row>
    <row r="97" spans="2:7" ht="15" customHeight="1">
      <c r="B97" s="322"/>
      <c r="C97" s="322"/>
      <c r="D97" s="322"/>
      <c r="E97" s="322"/>
      <c r="F97" s="322"/>
      <c r="G97" s="322"/>
    </row>
  </sheetData>
  <sheetProtection/>
  <mergeCells count="35">
    <mergeCell ref="C18:D18"/>
    <mergeCell ref="A20:B20"/>
    <mergeCell ref="C24:H24"/>
    <mergeCell ref="C4:H4"/>
    <mergeCell ref="A5:H5"/>
    <mergeCell ref="C6:H6"/>
    <mergeCell ref="C7:H7"/>
    <mergeCell ref="C8:H8"/>
    <mergeCell ref="C9:H9"/>
    <mergeCell ref="C10:H10"/>
    <mergeCell ref="A12:B12"/>
    <mergeCell ref="C17:H17"/>
    <mergeCell ref="C60:D60"/>
    <mergeCell ref="A62:B62"/>
    <mergeCell ref="B54:B57"/>
    <mergeCell ref="A54:A57"/>
    <mergeCell ref="E54:E57"/>
    <mergeCell ref="H54:H57"/>
    <mergeCell ref="C70:H70"/>
    <mergeCell ref="C25:D25"/>
    <mergeCell ref="A27:B27"/>
    <mergeCell ref="C35:H35"/>
    <mergeCell ref="C36:D36"/>
    <mergeCell ref="A38:B38"/>
    <mergeCell ref="C43:H43"/>
    <mergeCell ref="C44:D44"/>
    <mergeCell ref="A46:B46"/>
    <mergeCell ref="C59:H59"/>
    <mergeCell ref="A95:B95"/>
    <mergeCell ref="C71:D71"/>
    <mergeCell ref="A73:B73"/>
    <mergeCell ref="C87:H87"/>
    <mergeCell ref="C88:H88"/>
    <mergeCell ref="C89:H89"/>
    <mergeCell ref="A91:B91"/>
  </mergeCells>
  <printOptions/>
  <pageMargins left="0.3937007874015748" right="0.3937007874015748" top="0.7874015748031497" bottom="0.7874015748031497" header="0.5118110236220472" footer="0.5118110236220472"/>
  <pageSetup fitToHeight="0" fitToWidth="1" horizontalDpi="600" verticalDpi="600" orientation="portrait" paperSize="9" scale="60" r:id="rId1"/>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AD353"/>
  <sheetViews>
    <sheetView zoomScalePageLayoutView="0" workbookViewId="0" topLeftCell="A268">
      <selection activeCell="I21" sqref="I21"/>
    </sheetView>
  </sheetViews>
  <sheetFormatPr defaultColWidth="9.140625" defaultRowHeight="15"/>
  <cols>
    <col min="1" max="1" width="4.8515625" style="264" customWidth="1"/>
    <col min="2" max="2" width="25.421875" style="264" customWidth="1"/>
    <col min="3" max="3" width="10.7109375" style="264" bestFit="1" customWidth="1"/>
    <col min="4" max="4" width="9.57421875" style="264" bestFit="1" customWidth="1"/>
    <col min="5" max="5" width="10.7109375" style="264" bestFit="1" customWidth="1"/>
    <col min="6" max="6" width="9.57421875" style="264" bestFit="1" customWidth="1"/>
    <col min="7" max="7" width="10.7109375" style="264" bestFit="1" customWidth="1"/>
    <col min="8" max="8" width="9.57421875" style="264" bestFit="1" customWidth="1"/>
    <col min="9" max="9" width="11.140625" style="264" customWidth="1"/>
    <col min="10" max="10" width="10.7109375" style="264" bestFit="1" customWidth="1"/>
    <col min="11" max="11" width="9.57421875" style="264" bestFit="1" customWidth="1"/>
    <col min="12" max="12" width="10.140625" style="0" customWidth="1"/>
    <col min="13" max="20" width="9.140625" style="0" customWidth="1"/>
    <col min="21" max="28" width="9.140625" style="264" customWidth="1"/>
    <col min="29" max="16384" width="9.140625" style="264" customWidth="1"/>
  </cols>
  <sheetData>
    <row r="1" spans="11:20" s="386" customFormat="1" ht="15.75">
      <c r="K1" s="723" t="s">
        <v>1649</v>
      </c>
      <c r="L1"/>
      <c r="M1"/>
      <c r="N1"/>
      <c r="O1"/>
      <c r="P1"/>
      <c r="Q1"/>
      <c r="R1"/>
      <c r="S1"/>
      <c r="T1"/>
    </row>
    <row r="2" spans="11:20" s="386" customFormat="1" ht="15.75">
      <c r="K2" s="723" t="s">
        <v>1627</v>
      </c>
      <c r="L2"/>
      <c r="M2"/>
      <c r="N2"/>
      <c r="O2"/>
      <c r="P2"/>
      <c r="Q2"/>
      <c r="R2"/>
      <c r="S2"/>
      <c r="T2"/>
    </row>
    <row r="3" spans="11:20" s="386" customFormat="1" ht="15.75">
      <c r="K3" s="723" t="s">
        <v>1628</v>
      </c>
      <c r="L3"/>
      <c r="M3"/>
      <c r="N3"/>
      <c r="O3"/>
      <c r="P3"/>
      <c r="Q3"/>
      <c r="R3"/>
      <c r="S3"/>
      <c r="T3"/>
    </row>
    <row r="4" spans="1:11" ht="15">
      <c r="A4" s="264" t="s">
        <v>476</v>
      </c>
      <c r="B4" s="265"/>
      <c r="C4" s="1039" t="s">
        <v>1129</v>
      </c>
      <c r="D4" s="1040"/>
      <c r="E4" s="1040"/>
      <c r="F4" s="1040"/>
      <c r="G4" s="1040"/>
      <c r="H4" s="1040"/>
      <c r="I4" s="1040"/>
      <c r="J4" s="1040"/>
      <c r="K4" s="1041"/>
    </row>
    <row r="5" spans="1:11" ht="15.75">
      <c r="A5" s="1013" t="s">
        <v>1130</v>
      </c>
      <c r="B5" s="1013"/>
      <c r="C5" s="1013"/>
      <c r="D5" s="1013"/>
      <c r="E5" s="1013"/>
      <c r="F5" s="1013"/>
      <c r="G5" s="1013"/>
      <c r="H5" s="1013"/>
      <c r="I5" s="1013"/>
      <c r="J5" s="1013"/>
      <c r="K5" s="1013"/>
    </row>
    <row r="6" spans="1:11" ht="15">
      <c r="A6" s="264" t="s">
        <v>4</v>
      </c>
      <c r="C6" s="1042" t="s">
        <v>1131</v>
      </c>
      <c r="D6" s="1043"/>
      <c r="E6" s="1043"/>
      <c r="F6" s="1043"/>
      <c r="G6" s="1043"/>
      <c r="H6" s="1043"/>
      <c r="I6" s="1043"/>
      <c r="J6" s="1043"/>
      <c r="K6" s="1044"/>
    </row>
    <row r="7" spans="1:11" ht="15">
      <c r="A7" s="264" t="s">
        <v>20</v>
      </c>
      <c r="C7" s="1045" t="s">
        <v>1132</v>
      </c>
      <c r="D7" s="1046"/>
      <c r="E7" s="1046"/>
      <c r="F7" s="1046"/>
      <c r="G7" s="1046"/>
      <c r="H7" s="1046"/>
      <c r="I7" s="1046"/>
      <c r="J7" s="1046"/>
      <c r="K7" s="1047"/>
    </row>
    <row r="8" spans="1:11" ht="36" customHeight="1">
      <c r="A8" s="1048" t="s">
        <v>7</v>
      </c>
      <c r="B8" s="1048" t="s">
        <v>8</v>
      </c>
      <c r="C8" s="1048" t="s">
        <v>9</v>
      </c>
      <c r="D8" s="1048"/>
      <c r="E8" s="1048" t="s">
        <v>1133</v>
      </c>
      <c r="F8" s="1048"/>
      <c r="G8" s="1048" t="s">
        <v>10</v>
      </c>
      <c r="H8" s="1048"/>
      <c r="I8" s="1048" t="s">
        <v>14</v>
      </c>
      <c r="J8" s="1037" t="s">
        <v>15</v>
      </c>
      <c r="K8" s="1037"/>
    </row>
    <row r="9" spans="1:11" ht="24.75">
      <c r="A9" s="1048"/>
      <c r="B9" s="1048"/>
      <c r="C9" s="345" t="s">
        <v>1134</v>
      </c>
      <c r="D9" s="345" t="s">
        <v>1135</v>
      </c>
      <c r="E9" s="345" t="s">
        <v>1134</v>
      </c>
      <c r="F9" s="345" t="s">
        <v>1135</v>
      </c>
      <c r="G9" s="345" t="s">
        <v>1134</v>
      </c>
      <c r="H9" s="345" t="s">
        <v>1135</v>
      </c>
      <c r="I9" s="1048"/>
      <c r="J9" s="345" t="s">
        <v>1134</v>
      </c>
      <c r="K9" s="345" t="s">
        <v>1135</v>
      </c>
    </row>
    <row r="10" spans="1:11" ht="15">
      <c r="A10" s="1038" t="s">
        <v>1136</v>
      </c>
      <c r="B10" s="1038"/>
      <c r="C10" s="347">
        <f aca="true" t="shared" si="0" ref="C10:K10">SUM(C11,C37,C77,C103,C176,C191,C226,C250)</f>
        <v>206349</v>
      </c>
      <c r="D10" s="347">
        <f t="shared" si="0"/>
        <v>5121</v>
      </c>
      <c r="E10" s="347">
        <f t="shared" si="0"/>
        <v>205726.64</v>
      </c>
      <c r="F10" s="347">
        <f t="shared" si="0"/>
        <v>3700</v>
      </c>
      <c r="G10" s="347">
        <f t="shared" si="0"/>
        <v>218228</v>
      </c>
      <c r="H10" s="347">
        <f t="shared" si="0"/>
        <v>5271</v>
      </c>
      <c r="I10" s="347">
        <f t="shared" si="0"/>
        <v>0</v>
      </c>
      <c r="J10" s="347">
        <f t="shared" si="0"/>
        <v>222017</v>
      </c>
      <c r="K10" s="347">
        <f t="shared" si="0"/>
        <v>2421</v>
      </c>
    </row>
    <row r="11" spans="1:11" ht="24.75">
      <c r="A11" s="426"/>
      <c r="B11" s="427" t="s">
        <v>1137</v>
      </c>
      <c r="C11" s="428">
        <f>SUM(C12,C15,,C18,C22,C25,C32)</f>
        <v>8558</v>
      </c>
      <c r="D11" s="428">
        <f aca="true" t="shared" si="1" ref="D11:K11">SUM(D12,D15,,D18,D22,D25,D32)</f>
        <v>0</v>
      </c>
      <c r="E11" s="428">
        <f t="shared" si="1"/>
        <v>8557.630000000001</v>
      </c>
      <c r="F11" s="428">
        <f t="shared" si="1"/>
        <v>0</v>
      </c>
      <c r="G11" s="428">
        <f t="shared" si="1"/>
        <v>8895</v>
      </c>
      <c r="H11" s="428">
        <f t="shared" si="1"/>
        <v>0</v>
      </c>
      <c r="I11" s="428"/>
      <c r="J11" s="428">
        <f t="shared" si="1"/>
        <v>8895</v>
      </c>
      <c r="K11" s="428">
        <f t="shared" si="1"/>
        <v>0</v>
      </c>
    </row>
    <row r="12" spans="1:20" s="349" customFormat="1" ht="12" customHeight="1">
      <c r="A12" s="1015">
        <v>1</v>
      </c>
      <c r="B12" s="1025" t="s">
        <v>1138</v>
      </c>
      <c r="C12" s="348">
        <f aca="true" t="shared" si="2" ref="C12:K12">SUM(C13:C14)</f>
        <v>60</v>
      </c>
      <c r="D12" s="348">
        <f t="shared" si="2"/>
        <v>0</v>
      </c>
      <c r="E12" s="348">
        <f t="shared" si="2"/>
        <v>60</v>
      </c>
      <c r="F12" s="348">
        <f t="shared" si="2"/>
        <v>0</v>
      </c>
      <c r="G12" s="348">
        <f t="shared" si="2"/>
        <v>160</v>
      </c>
      <c r="H12" s="348">
        <f t="shared" si="2"/>
        <v>0</v>
      </c>
      <c r="I12" s="421"/>
      <c r="J12" s="348">
        <f t="shared" si="2"/>
        <v>160</v>
      </c>
      <c r="K12" s="348">
        <f t="shared" si="2"/>
        <v>0</v>
      </c>
      <c r="L12"/>
      <c r="M12"/>
      <c r="N12"/>
      <c r="O12"/>
      <c r="P12"/>
      <c r="Q12"/>
      <c r="R12"/>
      <c r="S12"/>
      <c r="T12"/>
    </row>
    <row r="13" spans="1:11" ht="15">
      <c r="A13" s="1015"/>
      <c r="B13" s="1025"/>
      <c r="C13" s="350"/>
      <c r="D13" s="350"/>
      <c r="E13" s="350"/>
      <c r="F13" s="350"/>
      <c r="G13" s="351">
        <v>100</v>
      </c>
      <c r="H13" s="350"/>
      <c r="I13" s="420">
        <v>1150</v>
      </c>
      <c r="J13" s="350">
        <v>100</v>
      </c>
      <c r="K13" s="352"/>
    </row>
    <row r="14" spans="1:24" ht="15">
      <c r="A14" s="1015"/>
      <c r="B14" s="1025"/>
      <c r="C14" s="350">
        <v>60</v>
      </c>
      <c r="D14" s="350"/>
      <c r="E14" s="350">
        <v>60</v>
      </c>
      <c r="F14" s="350"/>
      <c r="G14" s="351">
        <v>60</v>
      </c>
      <c r="H14" s="350"/>
      <c r="I14" s="420">
        <v>2390</v>
      </c>
      <c r="J14" s="350">
        <v>60</v>
      </c>
      <c r="K14" s="352"/>
      <c r="U14" s="353"/>
      <c r="V14" s="353"/>
      <c r="W14" s="353"/>
      <c r="X14" s="353"/>
    </row>
    <row r="15" spans="1:11" ht="12" customHeight="1">
      <c r="A15" s="1015">
        <v>2</v>
      </c>
      <c r="B15" s="1025" t="s">
        <v>1139</v>
      </c>
      <c r="C15" s="348">
        <f aca="true" t="shared" si="3" ref="C15:K15">SUM(C16:C17)</f>
        <v>326</v>
      </c>
      <c r="D15" s="348">
        <f t="shared" si="3"/>
        <v>0</v>
      </c>
      <c r="E15" s="348">
        <f t="shared" si="3"/>
        <v>325.39</v>
      </c>
      <c r="F15" s="348">
        <f t="shared" si="3"/>
        <v>0</v>
      </c>
      <c r="G15" s="348">
        <f t="shared" si="3"/>
        <v>320</v>
      </c>
      <c r="H15" s="348">
        <f t="shared" si="3"/>
        <v>0</v>
      </c>
      <c r="I15" s="421"/>
      <c r="J15" s="348">
        <f t="shared" si="3"/>
        <v>320</v>
      </c>
      <c r="K15" s="348">
        <f t="shared" si="3"/>
        <v>0</v>
      </c>
    </row>
    <row r="16" spans="1:11" ht="15">
      <c r="A16" s="1015"/>
      <c r="B16" s="1025"/>
      <c r="C16" s="350">
        <v>126</v>
      </c>
      <c r="D16" s="350"/>
      <c r="E16" s="350">
        <v>125.5</v>
      </c>
      <c r="F16" s="350"/>
      <c r="G16" s="351">
        <v>120</v>
      </c>
      <c r="H16" s="350"/>
      <c r="I16" s="420">
        <v>2262</v>
      </c>
      <c r="J16" s="350">
        <v>120</v>
      </c>
      <c r="K16" s="352"/>
    </row>
    <row r="17" spans="1:11" ht="15">
      <c r="A17" s="1015"/>
      <c r="B17" s="1025"/>
      <c r="C17" s="350">
        <v>200</v>
      </c>
      <c r="D17" s="350"/>
      <c r="E17" s="350">
        <v>199.89</v>
      </c>
      <c r="F17" s="350"/>
      <c r="G17" s="351">
        <v>200</v>
      </c>
      <c r="H17" s="350"/>
      <c r="I17" s="420">
        <v>2390</v>
      </c>
      <c r="J17" s="350">
        <v>200</v>
      </c>
      <c r="K17" s="352"/>
    </row>
    <row r="18" spans="1:11" ht="13.5" customHeight="1">
      <c r="A18" s="1015">
        <v>3</v>
      </c>
      <c r="B18" s="1025" t="s">
        <v>1140</v>
      </c>
      <c r="C18" s="348">
        <f aca="true" t="shared" si="4" ref="C18:K18">SUM(C19:C21)</f>
        <v>215</v>
      </c>
      <c r="D18" s="348">
        <f t="shared" si="4"/>
        <v>0</v>
      </c>
      <c r="E18" s="348">
        <f t="shared" si="4"/>
        <v>215</v>
      </c>
      <c r="F18" s="348">
        <f t="shared" si="4"/>
        <v>0</v>
      </c>
      <c r="G18" s="348">
        <f t="shared" si="4"/>
        <v>215</v>
      </c>
      <c r="H18" s="348">
        <f t="shared" si="4"/>
        <v>0</v>
      </c>
      <c r="I18" s="421"/>
      <c r="J18" s="348">
        <f t="shared" si="4"/>
        <v>215</v>
      </c>
      <c r="K18" s="348">
        <f t="shared" si="4"/>
        <v>0</v>
      </c>
    </row>
    <row r="19" spans="1:11" ht="12" customHeight="1">
      <c r="A19" s="1015"/>
      <c r="B19" s="1025"/>
      <c r="C19" s="350">
        <v>60</v>
      </c>
      <c r="D19" s="350"/>
      <c r="E19" s="350">
        <v>60</v>
      </c>
      <c r="F19" s="350"/>
      <c r="G19" s="350">
        <v>60</v>
      </c>
      <c r="H19" s="350"/>
      <c r="I19" s="420">
        <v>1150</v>
      </c>
      <c r="J19" s="352">
        <v>60</v>
      </c>
      <c r="K19" s="352"/>
    </row>
    <row r="20" spans="1:11" ht="12" customHeight="1">
      <c r="A20" s="1015"/>
      <c r="B20" s="1025"/>
      <c r="C20" s="350">
        <v>25</v>
      </c>
      <c r="D20" s="350"/>
      <c r="E20" s="350">
        <v>25</v>
      </c>
      <c r="F20" s="350"/>
      <c r="G20" s="350">
        <v>15</v>
      </c>
      <c r="H20" s="352"/>
      <c r="I20" s="420">
        <v>2269</v>
      </c>
      <c r="J20" s="352">
        <v>15</v>
      </c>
      <c r="K20" s="352"/>
    </row>
    <row r="21" spans="1:22" ht="15">
      <c r="A21" s="1015"/>
      <c r="B21" s="1025"/>
      <c r="C21" s="350">
        <v>130</v>
      </c>
      <c r="D21" s="350"/>
      <c r="E21" s="350">
        <v>130</v>
      </c>
      <c r="F21" s="350"/>
      <c r="G21" s="351">
        <v>140</v>
      </c>
      <c r="H21" s="350"/>
      <c r="I21" s="420"/>
      <c r="J21" s="350">
        <v>140</v>
      </c>
      <c r="K21" s="352"/>
      <c r="V21" s="353"/>
    </row>
    <row r="22" spans="1:11" ht="12.75" customHeight="1">
      <c r="A22" s="1015">
        <v>4</v>
      </c>
      <c r="B22" s="1025" t="s">
        <v>1141</v>
      </c>
      <c r="C22" s="348">
        <f aca="true" t="shared" si="5" ref="C22:K22">SUM(C23:C24)</f>
        <v>400</v>
      </c>
      <c r="D22" s="348">
        <f t="shared" si="5"/>
        <v>0</v>
      </c>
      <c r="E22" s="348">
        <f t="shared" si="5"/>
        <v>400</v>
      </c>
      <c r="F22" s="348">
        <f t="shared" si="5"/>
        <v>0</v>
      </c>
      <c r="G22" s="348">
        <f t="shared" si="5"/>
        <v>500</v>
      </c>
      <c r="H22" s="348">
        <f t="shared" si="5"/>
        <v>0</v>
      </c>
      <c r="I22" s="421"/>
      <c r="J22" s="348">
        <f t="shared" si="5"/>
        <v>500</v>
      </c>
      <c r="K22" s="348">
        <f t="shared" si="5"/>
        <v>0</v>
      </c>
    </row>
    <row r="23" spans="1:11" ht="15">
      <c r="A23" s="1015"/>
      <c r="B23" s="1025"/>
      <c r="C23" s="350">
        <v>150</v>
      </c>
      <c r="D23" s="350"/>
      <c r="E23" s="350">
        <v>150</v>
      </c>
      <c r="F23" s="350"/>
      <c r="G23" s="351">
        <v>250</v>
      </c>
      <c r="H23" s="350"/>
      <c r="I23" s="420">
        <v>1150</v>
      </c>
      <c r="J23" s="350">
        <v>250</v>
      </c>
      <c r="K23" s="352"/>
    </row>
    <row r="24" spans="1:11" ht="15">
      <c r="A24" s="1015"/>
      <c r="B24" s="1025"/>
      <c r="C24" s="350">
        <v>250</v>
      </c>
      <c r="D24" s="350"/>
      <c r="E24" s="350">
        <v>250</v>
      </c>
      <c r="F24" s="350"/>
      <c r="G24" s="351">
        <v>250</v>
      </c>
      <c r="H24" s="350"/>
      <c r="I24" s="420">
        <v>2390</v>
      </c>
      <c r="J24" s="350">
        <v>250</v>
      </c>
      <c r="K24" s="352"/>
    </row>
    <row r="25" spans="1:11" ht="12.75" customHeight="1">
      <c r="A25" s="1015">
        <v>5</v>
      </c>
      <c r="B25" s="1025" t="s">
        <v>1142</v>
      </c>
      <c r="C25" s="348">
        <f aca="true" t="shared" si="6" ref="C25:K25">SUM(C26:C31)</f>
        <v>6607</v>
      </c>
      <c r="D25" s="348">
        <f t="shared" si="6"/>
        <v>0</v>
      </c>
      <c r="E25" s="348">
        <f t="shared" si="6"/>
        <v>6607.24</v>
      </c>
      <c r="F25" s="348">
        <f t="shared" si="6"/>
        <v>0</v>
      </c>
      <c r="G25" s="348">
        <f t="shared" si="6"/>
        <v>6750</v>
      </c>
      <c r="H25" s="348">
        <f t="shared" si="6"/>
        <v>0</v>
      </c>
      <c r="I25" s="421"/>
      <c r="J25" s="348">
        <f t="shared" si="6"/>
        <v>6750</v>
      </c>
      <c r="K25" s="348">
        <f t="shared" si="6"/>
        <v>0</v>
      </c>
    </row>
    <row r="26" spans="1:11" ht="15">
      <c r="A26" s="1015"/>
      <c r="B26" s="1025"/>
      <c r="C26" s="350">
        <v>900</v>
      </c>
      <c r="D26" s="350"/>
      <c r="E26" s="350">
        <v>900</v>
      </c>
      <c r="F26" s="350"/>
      <c r="G26" s="351">
        <v>1000</v>
      </c>
      <c r="H26" s="350"/>
      <c r="I26" s="420">
        <v>1150</v>
      </c>
      <c r="J26" s="350">
        <v>1000</v>
      </c>
      <c r="K26" s="352"/>
    </row>
    <row r="27" spans="1:11" ht="15">
      <c r="A27" s="1015"/>
      <c r="B27" s="1025"/>
      <c r="C27" s="350">
        <v>55</v>
      </c>
      <c r="D27" s="350"/>
      <c r="E27" s="350">
        <v>55.24</v>
      </c>
      <c r="F27" s="350"/>
      <c r="G27" s="351"/>
      <c r="H27" s="350"/>
      <c r="I27" s="420">
        <v>2224</v>
      </c>
      <c r="J27" s="350"/>
      <c r="K27" s="352"/>
    </row>
    <row r="28" spans="1:11" ht="15">
      <c r="A28" s="1015"/>
      <c r="B28" s="1025"/>
      <c r="C28" s="350">
        <v>0</v>
      </c>
      <c r="D28" s="350"/>
      <c r="E28" s="350"/>
      <c r="F28" s="350"/>
      <c r="G28" s="351">
        <v>100</v>
      </c>
      <c r="H28" s="350"/>
      <c r="I28" s="420">
        <v>2262</v>
      </c>
      <c r="J28" s="350">
        <v>100</v>
      </c>
      <c r="K28" s="352"/>
    </row>
    <row r="29" spans="1:11" ht="15">
      <c r="A29" s="1015"/>
      <c r="B29" s="1025"/>
      <c r="C29" s="350">
        <v>2507</v>
      </c>
      <c r="D29" s="350"/>
      <c r="E29" s="350">
        <v>2507</v>
      </c>
      <c r="F29" s="350"/>
      <c r="G29" s="351">
        <v>2500</v>
      </c>
      <c r="H29" s="350"/>
      <c r="I29" s="420">
        <v>2264</v>
      </c>
      <c r="J29" s="350">
        <v>2500</v>
      </c>
      <c r="K29" s="352"/>
    </row>
    <row r="30" spans="1:11" ht="15">
      <c r="A30" s="1015"/>
      <c r="B30" s="1025"/>
      <c r="C30" s="350">
        <v>245</v>
      </c>
      <c r="D30" s="350"/>
      <c r="E30" s="350">
        <v>245</v>
      </c>
      <c r="F30" s="350"/>
      <c r="G30" s="351">
        <v>250</v>
      </c>
      <c r="H30" s="350"/>
      <c r="I30" s="420">
        <v>2279</v>
      </c>
      <c r="J30" s="350">
        <v>250</v>
      </c>
      <c r="K30" s="352"/>
    </row>
    <row r="31" spans="1:11" ht="15">
      <c r="A31" s="1015"/>
      <c r="B31" s="1025"/>
      <c r="C31" s="350">
        <v>2900</v>
      </c>
      <c r="D31" s="350"/>
      <c r="E31" s="350">
        <v>2900</v>
      </c>
      <c r="F31" s="350"/>
      <c r="G31" s="351">
        <v>2900</v>
      </c>
      <c r="H31" s="350"/>
      <c r="I31" s="420">
        <v>2390</v>
      </c>
      <c r="J31" s="350">
        <v>2900</v>
      </c>
      <c r="K31" s="352"/>
    </row>
    <row r="32" spans="1:21" ht="15">
      <c r="A32" s="1015">
        <v>6</v>
      </c>
      <c r="B32" s="1025" t="s">
        <v>1143</v>
      </c>
      <c r="C32" s="348">
        <f>SUM(C33:C36)</f>
        <v>950</v>
      </c>
      <c r="D32" s="348">
        <f aca="true" t="shared" si="7" ref="D32:K32">SUM(D33:D36)</f>
        <v>0</v>
      </c>
      <c r="E32" s="348">
        <f t="shared" si="7"/>
        <v>950</v>
      </c>
      <c r="F32" s="348">
        <f t="shared" si="7"/>
        <v>0</v>
      </c>
      <c r="G32" s="348">
        <f t="shared" si="7"/>
        <v>950</v>
      </c>
      <c r="H32" s="348">
        <f t="shared" si="7"/>
        <v>0</v>
      </c>
      <c r="I32" s="421"/>
      <c r="J32" s="348">
        <f t="shared" si="7"/>
        <v>950</v>
      </c>
      <c r="K32" s="348">
        <f t="shared" si="7"/>
        <v>0</v>
      </c>
      <c r="U32" s="353"/>
    </row>
    <row r="33" spans="1:11" ht="15">
      <c r="A33" s="1015"/>
      <c r="B33" s="1025"/>
      <c r="C33" s="351">
        <v>200</v>
      </c>
      <c r="D33" s="351"/>
      <c r="E33" s="351">
        <v>200</v>
      </c>
      <c r="F33" s="351"/>
      <c r="G33" s="351">
        <v>220</v>
      </c>
      <c r="H33" s="351"/>
      <c r="I33" s="422">
        <v>1150</v>
      </c>
      <c r="J33" s="351">
        <v>220</v>
      </c>
      <c r="K33" s="351"/>
    </row>
    <row r="34" spans="1:11" ht="15">
      <c r="A34" s="1015"/>
      <c r="B34" s="1025"/>
      <c r="C34" s="351">
        <v>750</v>
      </c>
      <c r="D34" s="351"/>
      <c r="E34" s="351">
        <v>750</v>
      </c>
      <c r="F34" s="351"/>
      <c r="G34" s="351">
        <v>180</v>
      </c>
      <c r="H34" s="351"/>
      <c r="I34" s="422">
        <v>2264</v>
      </c>
      <c r="J34" s="351">
        <v>180</v>
      </c>
      <c r="K34" s="351"/>
    </row>
    <row r="35" spans="1:11" ht="15">
      <c r="A35" s="1015"/>
      <c r="B35" s="1025"/>
      <c r="C35" s="351">
        <v>0</v>
      </c>
      <c r="D35" s="351"/>
      <c r="E35" s="351">
        <v>0</v>
      </c>
      <c r="F35" s="351"/>
      <c r="G35" s="351">
        <v>250</v>
      </c>
      <c r="H35" s="351"/>
      <c r="I35" s="422">
        <v>2279</v>
      </c>
      <c r="J35" s="351">
        <v>250</v>
      </c>
      <c r="K35" s="351"/>
    </row>
    <row r="36" spans="1:11" ht="15">
      <c r="A36" s="1015"/>
      <c r="B36" s="1025"/>
      <c r="C36" s="351">
        <v>0</v>
      </c>
      <c r="D36" s="351"/>
      <c r="E36" s="351">
        <v>0</v>
      </c>
      <c r="F36" s="351"/>
      <c r="G36" s="351">
        <v>300</v>
      </c>
      <c r="H36" s="351"/>
      <c r="I36" s="422">
        <v>2390</v>
      </c>
      <c r="J36" s="351">
        <v>300</v>
      </c>
      <c r="K36" s="351"/>
    </row>
    <row r="37" spans="1:11" ht="15">
      <c r="A37" s="429"/>
      <c r="B37" s="430" t="s">
        <v>1144</v>
      </c>
      <c r="C37" s="428">
        <f aca="true" t="shared" si="8" ref="C37:K37">SUM(C38,C45,C51,C55,C60,C65,C71)</f>
        <v>13255</v>
      </c>
      <c r="D37" s="428">
        <f t="shared" si="8"/>
        <v>0</v>
      </c>
      <c r="E37" s="428">
        <f t="shared" si="8"/>
        <v>14836.56</v>
      </c>
      <c r="F37" s="428">
        <f t="shared" si="8"/>
        <v>0</v>
      </c>
      <c r="G37" s="428">
        <f t="shared" si="8"/>
        <v>15931</v>
      </c>
      <c r="H37" s="428">
        <f t="shared" si="8"/>
        <v>0</v>
      </c>
      <c r="I37" s="431"/>
      <c r="J37" s="428">
        <f t="shared" si="8"/>
        <v>15931</v>
      </c>
      <c r="K37" s="428">
        <f t="shared" si="8"/>
        <v>0</v>
      </c>
    </row>
    <row r="38" spans="1:11" ht="12.75" customHeight="1">
      <c r="A38" s="1015">
        <v>7</v>
      </c>
      <c r="B38" s="1025" t="s">
        <v>1145</v>
      </c>
      <c r="C38" s="348">
        <f aca="true" t="shared" si="9" ref="C38:K38">SUM(C39:C44)</f>
        <v>2060</v>
      </c>
      <c r="D38" s="348">
        <f t="shared" si="9"/>
        <v>0</v>
      </c>
      <c r="E38" s="348">
        <f t="shared" si="9"/>
        <v>2060.41</v>
      </c>
      <c r="F38" s="348">
        <f t="shared" si="9"/>
        <v>0</v>
      </c>
      <c r="G38" s="348">
        <f t="shared" si="9"/>
        <v>2085</v>
      </c>
      <c r="H38" s="348">
        <f t="shared" si="9"/>
        <v>0</v>
      </c>
      <c r="I38" s="421"/>
      <c r="J38" s="348">
        <f t="shared" si="9"/>
        <v>2085</v>
      </c>
      <c r="K38" s="348">
        <f t="shared" si="9"/>
        <v>0</v>
      </c>
    </row>
    <row r="39" spans="1:11" ht="15">
      <c r="A39" s="1015"/>
      <c r="B39" s="1025"/>
      <c r="C39" s="350">
        <v>701</v>
      </c>
      <c r="D39" s="350"/>
      <c r="E39" s="350">
        <v>701</v>
      </c>
      <c r="F39" s="350"/>
      <c r="G39" s="351">
        <v>800</v>
      </c>
      <c r="H39" s="350"/>
      <c r="I39" s="420">
        <v>1150</v>
      </c>
      <c r="J39" s="350">
        <v>800</v>
      </c>
      <c r="K39" s="352"/>
    </row>
    <row r="40" spans="1:11" ht="15">
      <c r="A40" s="1015"/>
      <c r="B40" s="1025"/>
      <c r="C40" s="350">
        <v>26</v>
      </c>
      <c r="D40" s="350"/>
      <c r="E40" s="350">
        <v>25.62</v>
      </c>
      <c r="F40" s="350"/>
      <c r="G40" s="351">
        <v>55</v>
      </c>
      <c r="H40" s="350"/>
      <c r="I40" s="420">
        <v>2262</v>
      </c>
      <c r="J40" s="350">
        <v>55</v>
      </c>
      <c r="K40" s="352"/>
    </row>
    <row r="41" spans="1:11" ht="15">
      <c r="A41" s="1015"/>
      <c r="B41" s="1025"/>
      <c r="C41" s="350">
        <v>140</v>
      </c>
      <c r="D41" s="350"/>
      <c r="E41" s="350">
        <v>139.48</v>
      </c>
      <c r="F41" s="350"/>
      <c r="G41" s="351">
        <v>200</v>
      </c>
      <c r="H41" s="350"/>
      <c r="I41" s="420">
        <v>2264</v>
      </c>
      <c r="J41" s="350">
        <v>200</v>
      </c>
      <c r="K41" s="352"/>
    </row>
    <row r="42" spans="1:11" ht="15">
      <c r="A42" s="1015"/>
      <c r="B42" s="1025"/>
      <c r="C42" s="350">
        <v>183</v>
      </c>
      <c r="D42" s="350"/>
      <c r="E42" s="350">
        <v>183</v>
      </c>
      <c r="F42" s="350"/>
      <c r="G42" s="351">
        <v>30</v>
      </c>
      <c r="H42" s="350"/>
      <c r="I42" s="420">
        <v>2269</v>
      </c>
      <c r="J42" s="350">
        <v>30</v>
      </c>
      <c r="K42" s="352"/>
    </row>
    <row r="43" spans="1:11" ht="15">
      <c r="A43" s="1015"/>
      <c r="B43" s="1025"/>
      <c r="C43" s="350">
        <v>410</v>
      </c>
      <c r="D43" s="350"/>
      <c r="E43" s="350">
        <v>410</v>
      </c>
      <c r="F43" s="350"/>
      <c r="G43" s="351">
        <v>400</v>
      </c>
      <c r="H43" s="350"/>
      <c r="I43" s="420">
        <v>2279</v>
      </c>
      <c r="J43" s="350">
        <v>400</v>
      </c>
      <c r="K43" s="352"/>
    </row>
    <row r="44" spans="1:11" ht="15">
      <c r="A44" s="1015"/>
      <c r="B44" s="1025"/>
      <c r="C44" s="350">
        <v>600</v>
      </c>
      <c r="D44" s="350"/>
      <c r="E44" s="350">
        <v>601.31</v>
      </c>
      <c r="F44" s="350"/>
      <c r="G44" s="351">
        <v>600</v>
      </c>
      <c r="H44" s="350"/>
      <c r="I44" s="420">
        <v>2390</v>
      </c>
      <c r="J44" s="350">
        <v>600</v>
      </c>
      <c r="K44" s="352"/>
    </row>
    <row r="45" spans="1:11" ht="12" customHeight="1">
      <c r="A45" s="1015">
        <v>8</v>
      </c>
      <c r="B45" s="1025" t="s">
        <v>1146</v>
      </c>
      <c r="C45" s="348">
        <f>SUM(C46:C50)</f>
        <v>4900</v>
      </c>
      <c r="D45" s="348">
        <f aca="true" t="shared" si="10" ref="D45:K45">SUM(D46:D50)</f>
        <v>0</v>
      </c>
      <c r="E45" s="348">
        <f t="shared" si="10"/>
        <v>4900</v>
      </c>
      <c r="F45" s="348">
        <f t="shared" si="10"/>
        <v>0</v>
      </c>
      <c r="G45" s="348">
        <f t="shared" si="10"/>
        <v>5270</v>
      </c>
      <c r="H45" s="348">
        <f t="shared" si="10"/>
        <v>0</v>
      </c>
      <c r="I45" s="421"/>
      <c r="J45" s="348">
        <f t="shared" si="10"/>
        <v>5270</v>
      </c>
      <c r="K45" s="348">
        <f t="shared" si="10"/>
        <v>0</v>
      </c>
    </row>
    <row r="46" spans="1:11" ht="15">
      <c r="A46" s="1015"/>
      <c r="B46" s="1025"/>
      <c r="C46" s="350">
        <v>1200</v>
      </c>
      <c r="D46" s="350"/>
      <c r="E46" s="350">
        <v>1200</v>
      </c>
      <c r="F46" s="350"/>
      <c r="G46" s="351">
        <v>1500</v>
      </c>
      <c r="H46" s="350"/>
      <c r="I46" s="420">
        <v>1150</v>
      </c>
      <c r="J46" s="350">
        <v>1500</v>
      </c>
      <c r="K46" s="352"/>
    </row>
    <row r="47" spans="1:11" ht="15">
      <c r="A47" s="1015"/>
      <c r="B47" s="1025"/>
      <c r="C47" s="350">
        <v>248</v>
      </c>
      <c r="D47" s="350"/>
      <c r="E47" s="350">
        <v>247.4</v>
      </c>
      <c r="F47" s="350"/>
      <c r="G47" s="351">
        <v>270</v>
      </c>
      <c r="H47" s="350"/>
      <c r="I47" s="420">
        <v>2231</v>
      </c>
      <c r="J47" s="350">
        <v>270</v>
      </c>
      <c r="K47" s="352"/>
    </row>
    <row r="48" spans="1:11" ht="15">
      <c r="A48" s="1015"/>
      <c r="B48" s="1025"/>
      <c r="C48" s="350">
        <v>1083</v>
      </c>
      <c r="D48" s="350"/>
      <c r="E48" s="350">
        <v>1080.1</v>
      </c>
      <c r="F48" s="350"/>
      <c r="G48" s="351">
        <v>1100</v>
      </c>
      <c r="H48" s="350"/>
      <c r="I48" s="420">
        <v>2264</v>
      </c>
      <c r="J48" s="350">
        <v>1100</v>
      </c>
      <c r="K48" s="352"/>
    </row>
    <row r="49" spans="1:24" ht="15">
      <c r="A49" s="1015"/>
      <c r="B49" s="1025"/>
      <c r="C49" s="350">
        <v>1569</v>
      </c>
      <c r="D49" s="350"/>
      <c r="E49" s="350">
        <v>1568.96</v>
      </c>
      <c r="F49" s="350"/>
      <c r="G49" s="351">
        <v>1600</v>
      </c>
      <c r="H49" s="350"/>
      <c r="I49" s="420">
        <v>2279</v>
      </c>
      <c r="J49" s="350">
        <v>1600</v>
      </c>
      <c r="K49" s="352"/>
      <c r="X49" s="353"/>
    </row>
    <row r="50" spans="1:23" ht="15">
      <c r="A50" s="1015"/>
      <c r="B50" s="1025"/>
      <c r="C50" s="350">
        <v>800</v>
      </c>
      <c r="D50" s="350"/>
      <c r="E50" s="350">
        <v>803.54</v>
      </c>
      <c r="F50" s="350"/>
      <c r="G50" s="351">
        <v>800</v>
      </c>
      <c r="H50" s="350"/>
      <c r="I50" s="420">
        <v>2390</v>
      </c>
      <c r="J50" s="350">
        <v>800</v>
      </c>
      <c r="K50" s="352"/>
      <c r="W50" s="353"/>
    </row>
    <row r="51" spans="1:11" ht="12.75" customHeight="1">
      <c r="A51" s="1015">
        <v>9</v>
      </c>
      <c r="B51" s="1025" t="s">
        <v>1147</v>
      </c>
      <c r="C51" s="348">
        <f aca="true" t="shared" si="11" ref="C51:K51">SUM(C52:C54)</f>
        <v>1545</v>
      </c>
      <c r="D51" s="348">
        <f t="shared" si="11"/>
        <v>0</v>
      </c>
      <c r="E51" s="348">
        <f t="shared" si="11"/>
        <v>1545.9099999999999</v>
      </c>
      <c r="F51" s="348">
        <f t="shared" si="11"/>
        <v>0</v>
      </c>
      <c r="G51" s="348">
        <f t="shared" si="11"/>
        <v>0</v>
      </c>
      <c r="H51" s="348">
        <f t="shared" si="11"/>
        <v>0</v>
      </c>
      <c r="I51" s="421"/>
      <c r="J51" s="348">
        <f t="shared" si="11"/>
        <v>0</v>
      </c>
      <c r="K51" s="348">
        <f t="shared" si="11"/>
        <v>0</v>
      </c>
    </row>
    <row r="52" spans="1:11" ht="15">
      <c r="A52" s="1015"/>
      <c r="B52" s="1025"/>
      <c r="C52" s="350">
        <v>426</v>
      </c>
      <c r="D52" s="350"/>
      <c r="E52" s="350">
        <v>426.11</v>
      </c>
      <c r="F52" s="350"/>
      <c r="G52" s="350"/>
      <c r="H52" s="350"/>
      <c r="I52" s="420">
        <v>2264</v>
      </c>
      <c r="J52" s="350"/>
      <c r="K52" s="350"/>
    </row>
    <row r="53" spans="1:11" ht="15">
      <c r="A53" s="1015"/>
      <c r="B53" s="1025"/>
      <c r="C53" s="350">
        <v>780</v>
      </c>
      <c r="D53" s="350"/>
      <c r="E53" s="350">
        <v>780.8</v>
      </c>
      <c r="F53" s="350"/>
      <c r="G53" s="350"/>
      <c r="H53" s="350"/>
      <c r="I53" s="420">
        <v>2279</v>
      </c>
      <c r="J53" s="350"/>
      <c r="K53" s="350"/>
    </row>
    <row r="54" spans="1:11" ht="15">
      <c r="A54" s="1015"/>
      <c r="B54" s="1025"/>
      <c r="C54" s="350">
        <v>339</v>
      </c>
      <c r="D54" s="350"/>
      <c r="E54" s="350">
        <v>339</v>
      </c>
      <c r="F54" s="350"/>
      <c r="G54" s="351"/>
      <c r="H54" s="350"/>
      <c r="I54" s="420">
        <v>2390</v>
      </c>
      <c r="J54" s="350"/>
      <c r="K54" s="352"/>
    </row>
    <row r="55" spans="1:11" ht="15">
      <c r="A55" s="355"/>
      <c r="B55" s="1025" t="s">
        <v>1148</v>
      </c>
      <c r="C55" s="348">
        <f>SUM(C56:C59)</f>
        <v>0</v>
      </c>
      <c r="D55" s="348">
        <f aca="true" t="shared" si="12" ref="D55:K55">SUM(D56:D59)</f>
        <v>0</v>
      </c>
      <c r="E55" s="348">
        <f t="shared" si="12"/>
        <v>0</v>
      </c>
      <c r="F55" s="348">
        <f t="shared" si="12"/>
        <v>0</v>
      </c>
      <c r="G55" s="348">
        <f t="shared" si="12"/>
        <v>943</v>
      </c>
      <c r="H55" s="348">
        <f t="shared" si="12"/>
        <v>0</v>
      </c>
      <c r="I55" s="421"/>
      <c r="J55" s="348">
        <f t="shared" si="12"/>
        <v>943</v>
      </c>
      <c r="K55" s="348">
        <f t="shared" si="12"/>
        <v>0</v>
      </c>
    </row>
    <row r="56" spans="1:11" ht="12" customHeight="1">
      <c r="A56" s="355"/>
      <c r="B56" s="1025"/>
      <c r="C56" s="350"/>
      <c r="D56" s="350"/>
      <c r="E56" s="350"/>
      <c r="F56" s="350"/>
      <c r="G56" s="350">
        <v>500</v>
      </c>
      <c r="H56" s="356"/>
      <c r="I56" s="420">
        <v>1150</v>
      </c>
      <c r="J56" s="350">
        <v>500</v>
      </c>
      <c r="K56" s="352"/>
    </row>
    <row r="57" spans="1:11" ht="12" customHeight="1">
      <c r="A57" s="355"/>
      <c r="B57" s="1025"/>
      <c r="C57" s="350"/>
      <c r="D57" s="350"/>
      <c r="E57" s="350"/>
      <c r="F57" s="350"/>
      <c r="G57" s="350">
        <v>60</v>
      </c>
      <c r="H57" s="356"/>
      <c r="I57" s="420">
        <v>2262</v>
      </c>
      <c r="J57" s="350">
        <v>60</v>
      </c>
      <c r="K57" s="352"/>
    </row>
    <row r="58" spans="1:11" ht="12" customHeight="1">
      <c r="A58" s="355"/>
      <c r="B58" s="1025"/>
      <c r="C58" s="350"/>
      <c r="D58" s="350"/>
      <c r="E58" s="350"/>
      <c r="F58" s="350"/>
      <c r="G58" s="350">
        <v>183</v>
      </c>
      <c r="H58" s="356"/>
      <c r="I58" s="420">
        <v>2264</v>
      </c>
      <c r="J58" s="350">
        <v>183</v>
      </c>
      <c r="K58" s="352"/>
    </row>
    <row r="59" spans="1:11" ht="12" customHeight="1">
      <c r="A59" s="355">
        <v>10</v>
      </c>
      <c r="B59" s="1025"/>
      <c r="C59" s="350"/>
      <c r="D59" s="350"/>
      <c r="E59" s="350"/>
      <c r="F59" s="350"/>
      <c r="G59" s="350">
        <v>200</v>
      </c>
      <c r="H59" s="356"/>
      <c r="I59" s="420">
        <v>2390</v>
      </c>
      <c r="J59" s="350">
        <v>200</v>
      </c>
      <c r="K59" s="352"/>
    </row>
    <row r="60" spans="1:11" ht="12" customHeight="1">
      <c r="A60" s="355"/>
      <c r="B60" s="1025" t="s">
        <v>1149</v>
      </c>
      <c r="C60" s="348">
        <f>SUM(C61:C64)</f>
        <v>0</v>
      </c>
      <c r="D60" s="348">
        <f aca="true" t="shared" si="13" ref="D60:K60">SUM(D61:D64)</f>
        <v>0</v>
      </c>
      <c r="E60" s="348">
        <f t="shared" si="13"/>
        <v>0</v>
      </c>
      <c r="F60" s="348">
        <f t="shared" si="13"/>
        <v>0</v>
      </c>
      <c r="G60" s="348">
        <f t="shared" si="13"/>
        <v>1933</v>
      </c>
      <c r="H60" s="348">
        <f t="shared" si="13"/>
        <v>0</v>
      </c>
      <c r="I60" s="421"/>
      <c r="J60" s="348">
        <f t="shared" si="13"/>
        <v>1933</v>
      </c>
      <c r="K60" s="348">
        <f t="shared" si="13"/>
        <v>0</v>
      </c>
    </row>
    <row r="61" spans="1:11" ht="12" customHeight="1">
      <c r="A61" s="355"/>
      <c r="B61" s="1025"/>
      <c r="C61" s="350"/>
      <c r="D61" s="350"/>
      <c r="E61" s="350"/>
      <c r="F61" s="350"/>
      <c r="G61" s="350">
        <v>800</v>
      </c>
      <c r="H61" s="356"/>
      <c r="I61" s="420">
        <v>1150</v>
      </c>
      <c r="J61" s="350">
        <v>800</v>
      </c>
      <c r="K61" s="352"/>
    </row>
    <row r="62" spans="1:11" ht="12" customHeight="1">
      <c r="A62" s="355"/>
      <c r="B62" s="1025"/>
      <c r="C62" s="350"/>
      <c r="D62" s="350"/>
      <c r="E62" s="350"/>
      <c r="F62" s="350"/>
      <c r="G62" s="350">
        <v>183</v>
      </c>
      <c r="H62" s="356"/>
      <c r="I62" s="420">
        <v>2264</v>
      </c>
      <c r="J62" s="350">
        <v>183</v>
      </c>
      <c r="K62" s="352"/>
    </row>
    <row r="63" spans="1:11" ht="12" customHeight="1">
      <c r="A63" s="355"/>
      <c r="B63" s="1025"/>
      <c r="C63" s="350"/>
      <c r="D63" s="350"/>
      <c r="E63" s="350"/>
      <c r="F63" s="350"/>
      <c r="G63" s="350">
        <v>800</v>
      </c>
      <c r="H63" s="356"/>
      <c r="I63" s="420">
        <v>2279</v>
      </c>
      <c r="J63" s="350">
        <v>800</v>
      </c>
      <c r="K63" s="352"/>
    </row>
    <row r="64" spans="1:11" ht="12" customHeight="1">
      <c r="A64" s="355">
        <v>11</v>
      </c>
      <c r="B64" s="1025"/>
      <c r="C64" s="350"/>
      <c r="D64" s="350"/>
      <c r="E64" s="350"/>
      <c r="F64" s="350"/>
      <c r="G64" s="350">
        <v>150</v>
      </c>
      <c r="H64" s="356"/>
      <c r="I64" s="420">
        <v>2390</v>
      </c>
      <c r="J64" s="350">
        <v>150</v>
      </c>
      <c r="K64" s="352"/>
    </row>
    <row r="65" spans="1:11" ht="12" customHeight="1">
      <c r="A65" s="1015">
        <v>12</v>
      </c>
      <c r="B65" s="1025" t="s">
        <v>1150</v>
      </c>
      <c r="C65" s="348">
        <f aca="true" t="shared" si="14" ref="C65:K65">SUM(C66:C70)</f>
        <v>2350</v>
      </c>
      <c r="D65" s="348">
        <f t="shared" si="14"/>
        <v>0</v>
      </c>
      <c r="E65" s="348">
        <f t="shared" si="14"/>
        <v>3850.24</v>
      </c>
      <c r="F65" s="348">
        <f t="shared" si="14"/>
        <v>0</v>
      </c>
      <c r="G65" s="348">
        <f t="shared" si="14"/>
        <v>3300</v>
      </c>
      <c r="H65" s="348">
        <f t="shared" si="14"/>
        <v>0</v>
      </c>
      <c r="I65" s="421"/>
      <c r="J65" s="348">
        <f t="shared" si="14"/>
        <v>3300</v>
      </c>
      <c r="K65" s="348">
        <f t="shared" si="14"/>
        <v>0</v>
      </c>
    </row>
    <row r="66" spans="1:11" ht="12.75" customHeight="1">
      <c r="A66" s="1015"/>
      <c r="B66" s="1025"/>
      <c r="C66" s="352">
        <v>1000</v>
      </c>
      <c r="D66" s="352"/>
      <c r="E66" s="352">
        <v>1000</v>
      </c>
      <c r="F66" s="352"/>
      <c r="G66" s="352">
        <v>1300</v>
      </c>
      <c r="H66" s="350"/>
      <c r="I66" s="423">
        <v>1150</v>
      </c>
      <c r="J66" s="350">
        <v>1300</v>
      </c>
      <c r="K66" s="352"/>
    </row>
    <row r="67" spans="1:11" ht="12.75" customHeight="1">
      <c r="A67" s="1015"/>
      <c r="B67" s="1025"/>
      <c r="C67" s="352">
        <v>55</v>
      </c>
      <c r="D67" s="352"/>
      <c r="E67" s="352">
        <v>55.24</v>
      </c>
      <c r="F67" s="352"/>
      <c r="G67" s="352"/>
      <c r="H67" s="350"/>
      <c r="I67" s="423">
        <v>2224</v>
      </c>
      <c r="J67" s="350"/>
      <c r="K67" s="352"/>
    </row>
    <row r="68" spans="1:11" ht="15">
      <c r="A68" s="1015"/>
      <c r="B68" s="1025"/>
      <c r="C68" s="350">
        <v>300</v>
      </c>
      <c r="D68" s="350"/>
      <c r="E68" s="350">
        <v>300</v>
      </c>
      <c r="F68" s="350"/>
      <c r="G68" s="351">
        <v>800</v>
      </c>
      <c r="H68" s="350"/>
      <c r="I68" s="420">
        <v>2264</v>
      </c>
      <c r="J68" s="350">
        <v>800</v>
      </c>
      <c r="K68" s="352"/>
    </row>
    <row r="69" spans="1:11" ht="15">
      <c r="A69" s="1015"/>
      <c r="B69" s="1025"/>
      <c r="C69" s="350">
        <v>295</v>
      </c>
      <c r="D69" s="350"/>
      <c r="E69" s="350">
        <v>1795</v>
      </c>
      <c r="F69" s="350"/>
      <c r="G69" s="351">
        <v>500</v>
      </c>
      <c r="H69" s="350"/>
      <c r="I69" s="420">
        <v>2279</v>
      </c>
      <c r="J69" s="350">
        <v>500</v>
      </c>
      <c r="K69" s="352"/>
    </row>
    <row r="70" spans="1:11" ht="15">
      <c r="A70" s="1015"/>
      <c r="B70" s="1025"/>
      <c r="C70" s="350">
        <v>700</v>
      </c>
      <c r="D70" s="350"/>
      <c r="E70" s="350">
        <v>700</v>
      </c>
      <c r="F70" s="350"/>
      <c r="G70" s="351">
        <v>700</v>
      </c>
      <c r="H70" s="350"/>
      <c r="I70" s="420">
        <v>2390</v>
      </c>
      <c r="J70" s="350">
        <v>700</v>
      </c>
      <c r="K70" s="352"/>
    </row>
    <row r="71" spans="1:11" ht="12" customHeight="1">
      <c r="A71" s="1015">
        <v>13</v>
      </c>
      <c r="B71" s="1025" t="s">
        <v>1151</v>
      </c>
      <c r="C71" s="348">
        <f aca="true" t="shared" si="15" ref="C71:K71">SUM(C72:C76)</f>
        <v>2400</v>
      </c>
      <c r="D71" s="348">
        <f t="shared" si="15"/>
        <v>0</v>
      </c>
      <c r="E71" s="348">
        <f t="shared" si="15"/>
        <v>2480</v>
      </c>
      <c r="F71" s="348">
        <f t="shared" si="15"/>
        <v>0</v>
      </c>
      <c r="G71" s="348">
        <f t="shared" si="15"/>
        <v>2400</v>
      </c>
      <c r="H71" s="348">
        <f t="shared" si="15"/>
        <v>0</v>
      </c>
      <c r="I71" s="421"/>
      <c r="J71" s="348">
        <f t="shared" si="15"/>
        <v>2400</v>
      </c>
      <c r="K71" s="348">
        <f t="shared" si="15"/>
        <v>0</v>
      </c>
    </row>
    <row r="72" spans="1:11" ht="15">
      <c r="A72" s="1015"/>
      <c r="B72" s="1025"/>
      <c r="C72" s="350">
        <v>500</v>
      </c>
      <c r="D72" s="350"/>
      <c r="E72" s="350">
        <v>500</v>
      </c>
      <c r="F72" s="350"/>
      <c r="G72" s="351">
        <v>500</v>
      </c>
      <c r="H72" s="350"/>
      <c r="I72" s="420">
        <v>1150</v>
      </c>
      <c r="J72" s="350">
        <v>500</v>
      </c>
      <c r="K72" s="352"/>
    </row>
    <row r="73" spans="1:11" ht="15">
      <c r="A73" s="1015"/>
      <c r="B73" s="1025"/>
      <c r="C73" s="350">
        <v>450</v>
      </c>
      <c r="D73" s="350"/>
      <c r="E73" s="350">
        <v>450</v>
      </c>
      <c r="F73" s="350"/>
      <c r="G73" s="351">
        <v>300</v>
      </c>
      <c r="H73" s="350"/>
      <c r="I73" s="420">
        <v>2264</v>
      </c>
      <c r="J73" s="350">
        <v>300</v>
      </c>
      <c r="K73" s="352"/>
    </row>
    <row r="74" spans="1:11" ht="15">
      <c r="A74" s="1015"/>
      <c r="B74" s="1025"/>
      <c r="C74" s="350">
        <v>150</v>
      </c>
      <c r="D74" s="350"/>
      <c r="E74" s="350">
        <v>150</v>
      </c>
      <c r="F74" s="350"/>
      <c r="G74" s="351"/>
      <c r="H74" s="350"/>
      <c r="I74" s="420">
        <v>2231</v>
      </c>
      <c r="J74" s="350"/>
      <c r="K74" s="352"/>
    </row>
    <row r="75" spans="1:11" ht="15">
      <c r="A75" s="1015"/>
      <c r="B75" s="1025"/>
      <c r="C75" s="350">
        <v>100</v>
      </c>
      <c r="D75" s="350"/>
      <c r="E75" s="350">
        <v>180</v>
      </c>
      <c r="F75" s="350"/>
      <c r="G75" s="351">
        <v>400</v>
      </c>
      <c r="H75" s="350"/>
      <c r="I75" s="420">
        <v>2279</v>
      </c>
      <c r="J75" s="350">
        <v>400</v>
      </c>
      <c r="K75" s="352"/>
    </row>
    <row r="76" spans="1:11" ht="15">
      <c r="A76" s="1015"/>
      <c r="B76" s="1025"/>
      <c r="C76" s="350">
        <v>1200</v>
      </c>
      <c r="D76" s="350"/>
      <c r="E76" s="350">
        <v>1200</v>
      </c>
      <c r="F76" s="350"/>
      <c r="G76" s="351">
        <v>1200</v>
      </c>
      <c r="H76" s="350"/>
      <c r="I76" s="420">
        <v>2390</v>
      </c>
      <c r="J76" s="350">
        <v>1200</v>
      </c>
      <c r="K76" s="352"/>
    </row>
    <row r="77" spans="1:11" ht="25.5">
      <c r="A77" s="429"/>
      <c r="B77" s="430" t="s">
        <v>1152</v>
      </c>
      <c r="C77" s="428">
        <f aca="true" t="shared" si="16" ref="C77:K77">SUM(C78,C86,C94)</f>
        <v>52272</v>
      </c>
      <c r="D77" s="428">
        <f t="shared" si="16"/>
        <v>0</v>
      </c>
      <c r="E77" s="428">
        <f t="shared" si="16"/>
        <v>52238.20999999999</v>
      </c>
      <c r="F77" s="428">
        <f t="shared" si="16"/>
        <v>0</v>
      </c>
      <c r="G77" s="428">
        <f t="shared" si="16"/>
        <v>53625</v>
      </c>
      <c r="H77" s="428">
        <f t="shared" si="16"/>
        <v>0</v>
      </c>
      <c r="I77" s="431"/>
      <c r="J77" s="428">
        <f t="shared" si="16"/>
        <v>53625</v>
      </c>
      <c r="K77" s="428">
        <f t="shared" si="16"/>
        <v>0</v>
      </c>
    </row>
    <row r="78" spans="1:11" ht="12" customHeight="1">
      <c r="A78" s="1015">
        <v>14</v>
      </c>
      <c r="B78" s="1025" t="s">
        <v>1153</v>
      </c>
      <c r="C78" s="348">
        <f aca="true" t="shared" si="17" ref="C78:K78">SUM(C79:C85)</f>
        <v>13900</v>
      </c>
      <c r="D78" s="348">
        <f t="shared" si="17"/>
        <v>0</v>
      </c>
      <c r="E78" s="348">
        <f t="shared" si="17"/>
        <v>13899.97</v>
      </c>
      <c r="F78" s="348">
        <f t="shared" si="17"/>
        <v>0</v>
      </c>
      <c r="G78" s="348">
        <f t="shared" si="17"/>
        <v>13990</v>
      </c>
      <c r="H78" s="348">
        <f t="shared" si="17"/>
        <v>0</v>
      </c>
      <c r="I78" s="421"/>
      <c r="J78" s="348">
        <f t="shared" si="17"/>
        <v>13990</v>
      </c>
      <c r="K78" s="348">
        <f t="shared" si="17"/>
        <v>0</v>
      </c>
    </row>
    <row r="79" spans="1:11" ht="15">
      <c r="A79" s="1015"/>
      <c r="B79" s="1025"/>
      <c r="C79" s="350">
        <v>3437</v>
      </c>
      <c r="D79" s="350"/>
      <c r="E79" s="350">
        <v>3437</v>
      </c>
      <c r="F79" s="350"/>
      <c r="G79" s="351">
        <v>3500</v>
      </c>
      <c r="H79" s="350"/>
      <c r="I79" s="420">
        <v>1150</v>
      </c>
      <c r="J79" s="350">
        <v>3500</v>
      </c>
      <c r="K79" s="352"/>
    </row>
    <row r="80" spans="1:11" ht="15">
      <c r="A80" s="1015"/>
      <c r="B80" s="1025"/>
      <c r="C80" s="350">
        <v>90</v>
      </c>
      <c r="D80" s="350"/>
      <c r="E80" s="350">
        <v>89.52</v>
      </c>
      <c r="F80" s="350"/>
      <c r="G80" s="351">
        <v>90</v>
      </c>
      <c r="H80" s="350"/>
      <c r="I80" s="420">
        <v>2224</v>
      </c>
      <c r="J80" s="350">
        <v>90</v>
      </c>
      <c r="K80" s="352"/>
    </row>
    <row r="81" spans="1:11" ht="12" customHeight="1">
      <c r="A81" s="1015"/>
      <c r="B81" s="1025"/>
      <c r="C81" s="350">
        <v>288</v>
      </c>
      <c r="D81" s="350"/>
      <c r="E81" s="350">
        <v>287.32</v>
      </c>
      <c r="F81" s="350"/>
      <c r="G81" s="352">
        <v>110</v>
      </c>
      <c r="H81" s="350"/>
      <c r="I81" s="420">
        <v>2262</v>
      </c>
      <c r="J81" s="350">
        <v>110</v>
      </c>
      <c r="K81" s="352"/>
    </row>
    <row r="82" spans="1:11" ht="12" customHeight="1">
      <c r="A82" s="1015"/>
      <c r="B82" s="1025"/>
      <c r="C82" s="350">
        <v>5107</v>
      </c>
      <c r="D82" s="350"/>
      <c r="E82" s="350">
        <v>5106.62</v>
      </c>
      <c r="F82" s="350"/>
      <c r="G82" s="352">
        <v>5200</v>
      </c>
      <c r="H82" s="350"/>
      <c r="I82" s="420">
        <v>2264</v>
      </c>
      <c r="J82" s="350">
        <v>5200</v>
      </c>
      <c r="K82" s="352"/>
    </row>
    <row r="83" spans="1:11" ht="15">
      <c r="A83" s="1015"/>
      <c r="B83" s="1025"/>
      <c r="C83" s="350">
        <v>233</v>
      </c>
      <c r="D83" s="350"/>
      <c r="E83" s="350">
        <v>232.41</v>
      </c>
      <c r="F83" s="350"/>
      <c r="G83" s="351">
        <v>90</v>
      </c>
      <c r="H83" s="350"/>
      <c r="I83" s="420">
        <v>2269</v>
      </c>
      <c r="J83" s="350">
        <v>90</v>
      </c>
      <c r="K83" s="352"/>
    </row>
    <row r="84" spans="1:11" ht="15">
      <c r="A84" s="1015"/>
      <c r="B84" s="1025"/>
      <c r="C84" s="350">
        <v>4649</v>
      </c>
      <c r="D84" s="350"/>
      <c r="E84" s="350">
        <v>4652.07</v>
      </c>
      <c r="F84" s="350"/>
      <c r="G84" s="351">
        <v>4700</v>
      </c>
      <c r="H84" s="350"/>
      <c r="I84" s="420">
        <v>2279</v>
      </c>
      <c r="J84" s="350">
        <v>4700</v>
      </c>
      <c r="K84" s="352"/>
    </row>
    <row r="85" spans="1:11" ht="15">
      <c r="A85" s="1015"/>
      <c r="B85" s="1025"/>
      <c r="C85" s="350">
        <v>96</v>
      </c>
      <c r="D85" s="350"/>
      <c r="E85" s="350">
        <v>95.03</v>
      </c>
      <c r="F85" s="350"/>
      <c r="G85" s="351">
        <v>300</v>
      </c>
      <c r="H85" s="350"/>
      <c r="I85" s="420">
        <v>2390</v>
      </c>
      <c r="J85" s="350">
        <v>300</v>
      </c>
      <c r="K85" s="352"/>
    </row>
    <row r="86" spans="1:11" ht="12.75" customHeight="1">
      <c r="A86" s="1015">
        <v>15</v>
      </c>
      <c r="B86" s="1025" t="s">
        <v>1154</v>
      </c>
      <c r="C86" s="348">
        <f aca="true" t="shared" si="18" ref="C86:K86">SUM(C87:C93)</f>
        <v>24838</v>
      </c>
      <c r="D86" s="348">
        <f t="shared" si="18"/>
        <v>0</v>
      </c>
      <c r="E86" s="348">
        <f t="shared" si="18"/>
        <v>24825.579999999998</v>
      </c>
      <c r="F86" s="348">
        <f t="shared" si="18"/>
        <v>0</v>
      </c>
      <c r="G86" s="348">
        <f t="shared" si="18"/>
        <v>27660</v>
      </c>
      <c r="H86" s="348">
        <f t="shared" si="18"/>
        <v>0</v>
      </c>
      <c r="I86" s="421"/>
      <c r="J86" s="348">
        <f t="shared" si="18"/>
        <v>27660</v>
      </c>
      <c r="K86" s="348">
        <f t="shared" si="18"/>
        <v>0</v>
      </c>
    </row>
    <row r="87" spans="1:11" ht="15">
      <c r="A87" s="1015"/>
      <c r="B87" s="1025"/>
      <c r="C87" s="350">
        <v>9860</v>
      </c>
      <c r="D87" s="350"/>
      <c r="E87" s="350">
        <v>9860</v>
      </c>
      <c r="F87" s="350"/>
      <c r="G87" s="351">
        <v>13000</v>
      </c>
      <c r="H87" s="350"/>
      <c r="I87" s="420">
        <v>1150</v>
      </c>
      <c r="J87" s="350">
        <v>13000</v>
      </c>
      <c r="K87" s="352"/>
    </row>
    <row r="88" spans="1:11" ht="12" customHeight="1">
      <c r="A88" s="1015"/>
      <c r="B88" s="1025"/>
      <c r="C88" s="350">
        <v>483</v>
      </c>
      <c r="D88" s="350"/>
      <c r="E88" s="350">
        <v>482.83</v>
      </c>
      <c r="F88" s="350"/>
      <c r="G88" s="352">
        <v>600</v>
      </c>
      <c r="H88" s="350"/>
      <c r="I88" s="420">
        <v>2231</v>
      </c>
      <c r="J88" s="350">
        <v>600</v>
      </c>
      <c r="K88" s="352"/>
    </row>
    <row r="89" spans="1:11" ht="15">
      <c r="A89" s="1015"/>
      <c r="B89" s="1025"/>
      <c r="C89" s="350">
        <v>46</v>
      </c>
      <c r="D89" s="350"/>
      <c r="E89" s="350">
        <v>45.1</v>
      </c>
      <c r="F89" s="350"/>
      <c r="G89" s="351">
        <v>50</v>
      </c>
      <c r="H89" s="350"/>
      <c r="I89" s="420">
        <v>2232</v>
      </c>
      <c r="J89" s="350">
        <v>50</v>
      </c>
      <c r="K89" s="352"/>
    </row>
    <row r="90" spans="1:11" ht="15">
      <c r="A90" s="1015"/>
      <c r="B90" s="1025"/>
      <c r="C90" s="350">
        <v>8118</v>
      </c>
      <c r="D90" s="350"/>
      <c r="E90" s="350">
        <v>8118.14</v>
      </c>
      <c r="F90" s="350"/>
      <c r="G90" s="351">
        <v>8300</v>
      </c>
      <c r="H90" s="350"/>
      <c r="I90" s="420">
        <v>2264</v>
      </c>
      <c r="J90" s="350">
        <v>8300</v>
      </c>
      <c r="K90" s="352"/>
    </row>
    <row r="91" spans="1:11" ht="15">
      <c r="A91" s="1015"/>
      <c r="B91" s="1025"/>
      <c r="C91" s="350">
        <v>595</v>
      </c>
      <c r="D91" s="350"/>
      <c r="E91" s="350">
        <v>594.87</v>
      </c>
      <c r="F91" s="350"/>
      <c r="G91" s="351">
        <v>310</v>
      </c>
      <c r="H91" s="350"/>
      <c r="I91" s="420">
        <v>2269</v>
      </c>
      <c r="J91" s="350">
        <v>310</v>
      </c>
      <c r="K91" s="352"/>
    </row>
    <row r="92" spans="1:11" ht="15">
      <c r="A92" s="1015"/>
      <c r="B92" s="1025"/>
      <c r="C92" s="350">
        <v>4083</v>
      </c>
      <c r="D92" s="350"/>
      <c r="E92" s="350">
        <v>4072.52</v>
      </c>
      <c r="F92" s="350"/>
      <c r="G92" s="351">
        <v>4000</v>
      </c>
      <c r="H92" s="350"/>
      <c r="I92" s="420">
        <v>2279</v>
      </c>
      <c r="J92" s="350">
        <v>4000</v>
      </c>
      <c r="K92" s="352"/>
    </row>
    <row r="93" spans="1:11" ht="15">
      <c r="A93" s="1015"/>
      <c r="B93" s="1025"/>
      <c r="C93" s="350">
        <v>1653</v>
      </c>
      <c r="D93" s="350"/>
      <c r="E93" s="350">
        <v>1652.12</v>
      </c>
      <c r="F93" s="350"/>
      <c r="G93" s="351">
        <v>1400</v>
      </c>
      <c r="H93" s="350"/>
      <c r="I93" s="420">
        <v>2390</v>
      </c>
      <c r="J93" s="350">
        <v>1400</v>
      </c>
      <c r="K93" s="352"/>
    </row>
    <row r="94" spans="1:11" ht="12" customHeight="1">
      <c r="A94" s="1015">
        <v>16</v>
      </c>
      <c r="B94" s="1025" t="s">
        <v>1155</v>
      </c>
      <c r="C94" s="348">
        <f aca="true" t="shared" si="19" ref="C94:K94">SUM(C95:C102)</f>
        <v>13534</v>
      </c>
      <c r="D94" s="348">
        <f t="shared" si="19"/>
        <v>0</v>
      </c>
      <c r="E94" s="348">
        <f t="shared" si="19"/>
        <v>13512.66</v>
      </c>
      <c r="F94" s="348">
        <f t="shared" si="19"/>
        <v>0</v>
      </c>
      <c r="G94" s="348">
        <f t="shared" si="19"/>
        <v>11975</v>
      </c>
      <c r="H94" s="348">
        <f t="shared" si="19"/>
        <v>0</v>
      </c>
      <c r="I94" s="421"/>
      <c r="J94" s="348">
        <f t="shared" si="19"/>
        <v>11975</v>
      </c>
      <c r="K94" s="348">
        <f t="shared" si="19"/>
        <v>0</v>
      </c>
    </row>
    <row r="95" spans="1:11" ht="15">
      <c r="A95" s="1015"/>
      <c r="B95" s="1025"/>
      <c r="C95" s="350">
        <v>3172</v>
      </c>
      <c r="D95" s="350"/>
      <c r="E95" s="350">
        <v>3172</v>
      </c>
      <c r="F95" s="350"/>
      <c r="G95" s="351">
        <v>3500</v>
      </c>
      <c r="H95" s="350"/>
      <c r="I95" s="420">
        <v>1150</v>
      </c>
      <c r="J95" s="351">
        <v>3500</v>
      </c>
      <c r="K95" s="352"/>
    </row>
    <row r="96" spans="1:11" ht="15">
      <c r="A96" s="1015"/>
      <c r="B96" s="1025"/>
      <c r="C96" s="350">
        <v>3600</v>
      </c>
      <c r="D96" s="350"/>
      <c r="E96" s="350">
        <v>3599</v>
      </c>
      <c r="F96" s="350"/>
      <c r="G96" s="351"/>
      <c r="H96" s="350"/>
      <c r="I96" s="420">
        <v>5239</v>
      </c>
      <c r="J96" s="351"/>
      <c r="K96" s="352"/>
    </row>
    <row r="97" spans="1:11" ht="15">
      <c r="A97" s="1015"/>
      <c r="B97" s="1025"/>
      <c r="C97" s="350">
        <v>377</v>
      </c>
      <c r="D97" s="350"/>
      <c r="E97" s="350">
        <v>377.9</v>
      </c>
      <c r="F97" s="350"/>
      <c r="G97" s="351">
        <v>500</v>
      </c>
      <c r="H97" s="350"/>
      <c r="I97" s="420">
        <v>2232</v>
      </c>
      <c r="J97" s="351">
        <v>500</v>
      </c>
      <c r="K97" s="352"/>
    </row>
    <row r="98" spans="1:11" ht="15">
      <c r="A98" s="1015"/>
      <c r="B98" s="1025"/>
      <c r="C98" s="350">
        <v>125</v>
      </c>
      <c r="D98" s="350"/>
      <c r="E98" s="350">
        <v>125.66</v>
      </c>
      <c r="F98" s="350"/>
      <c r="G98" s="351">
        <v>130</v>
      </c>
      <c r="H98" s="350"/>
      <c r="I98" s="420">
        <v>2262</v>
      </c>
      <c r="J98" s="351">
        <v>130</v>
      </c>
      <c r="K98" s="352"/>
    </row>
    <row r="99" spans="1:11" ht="15">
      <c r="A99" s="1015"/>
      <c r="B99" s="1025"/>
      <c r="C99" s="350">
        <v>3720</v>
      </c>
      <c r="D99" s="350"/>
      <c r="E99" s="350">
        <v>3719.78</v>
      </c>
      <c r="F99" s="350"/>
      <c r="G99" s="351">
        <v>3800</v>
      </c>
      <c r="H99" s="350"/>
      <c r="I99" s="420">
        <v>2264</v>
      </c>
      <c r="J99" s="351">
        <v>3800</v>
      </c>
      <c r="K99" s="352"/>
    </row>
    <row r="100" spans="1:11" ht="15">
      <c r="A100" s="1015"/>
      <c r="B100" s="1025"/>
      <c r="C100" s="350">
        <v>70</v>
      </c>
      <c r="D100" s="350"/>
      <c r="E100" s="350">
        <v>30.01</v>
      </c>
      <c r="F100" s="350"/>
      <c r="G100" s="351">
        <v>45</v>
      </c>
      <c r="H100" s="350"/>
      <c r="I100" s="420">
        <v>2269</v>
      </c>
      <c r="J100" s="351">
        <v>45</v>
      </c>
      <c r="K100" s="352"/>
    </row>
    <row r="101" spans="1:11" ht="15">
      <c r="A101" s="1015"/>
      <c r="B101" s="1025"/>
      <c r="C101" s="350">
        <v>2170</v>
      </c>
      <c r="D101" s="350"/>
      <c r="E101" s="350">
        <v>2188.31</v>
      </c>
      <c r="F101" s="350"/>
      <c r="G101" s="351">
        <v>3500</v>
      </c>
      <c r="H101" s="350"/>
      <c r="I101" s="420">
        <v>2279</v>
      </c>
      <c r="J101" s="351">
        <v>3500</v>
      </c>
      <c r="K101" s="352"/>
    </row>
    <row r="102" spans="1:11" ht="15">
      <c r="A102" s="1015"/>
      <c r="B102" s="1025"/>
      <c r="C102" s="350">
        <v>300</v>
      </c>
      <c r="D102" s="350"/>
      <c r="E102" s="350">
        <v>300</v>
      </c>
      <c r="F102" s="350"/>
      <c r="G102" s="351">
        <v>500</v>
      </c>
      <c r="H102" s="350"/>
      <c r="I102" s="420">
        <v>2390</v>
      </c>
      <c r="J102" s="351">
        <v>500</v>
      </c>
      <c r="K102" s="352"/>
    </row>
    <row r="103" spans="1:11" ht="15">
      <c r="A103" s="429"/>
      <c r="B103" s="432" t="s">
        <v>1156</v>
      </c>
      <c r="C103" s="428">
        <f aca="true" t="shared" si="20" ref="C103:H103">SUM(C104,C107,C113,C117,C123,C128,C134,C138,C140,C145,C153,C156,C163,C166,C169,C174)</f>
        <v>22342</v>
      </c>
      <c r="D103" s="428">
        <f t="shared" si="20"/>
        <v>3471</v>
      </c>
      <c r="E103" s="428">
        <f t="shared" si="20"/>
        <v>23863.02</v>
      </c>
      <c r="F103" s="428">
        <f t="shared" si="20"/>
        <v>2050</v>
      </c>
      <c r="G103" s="428">
        <f t="shared" si="20"/>
        <v>28177</v>
      </c>
      <c r="H103" s="428">
        <f t="shared" si="20"/>
        <v>3471</v>
      </c>
      <c r="I103" s="431"/>
      <c r="J103" s="428">
        <f>SUM(J104,J107,J113,J117,J123,J128,J134,J138,J140,J145,J153,J156,J163,J166,J169,J174)</f>
        <v>30561</v>
      </c>
      <c r="K103" s="428">
        <f>SUM(K104,K107,K117,K123,K128,K134,K138,K140,K145,K153,K156,K163,K166,K169,K174)</f>
        <v>771</v>
      </c>
    </row>
    <row r="104" spans="1:11" ht="12.75" customHeight="1">
      <c r="A104" s="1030">
        <v>17</v>
      </c>
      <c r="B104" s="1025" t="s">
        <v>1157</v>
      </c>
      <c r="C104" s="348">
        <f aca="true" t="shared" si="21" ref="C104:K104">SUM(C105:C106)</f>
        <v>2609</v>
      </c>
      <c r="D104" s="348">
        <f t="shared" si="21"/>
        <v>0</v>
      </c>
      <c r="E104" s="348">
        <f t="shared" si="21"/>
        <v>2609</v>
      </c>
      <c r="F104" s="348">
        <f t="shared" si="21"/>
        <v>0</v>
      </c>
      <c r="G104" s="348">
        <f t="shared" si="21"/>
        <v>0</v>
      </c>
      <c r="H104" s="348">
        <f t="shared" si="21"/>
        <v>0</v>
      </c>
      <c r="I104" s="421"/>
      <c r="J104" s="348">
        <f t="shared" si="21"/>
        <v>0</v>
      </c>
      <c r="K104" s="348">
        <f t="shared" si="21"/>
        <v>0</v>
      </c>
    </row>
    <row r="105" spans="1:11" ht="15">
      <c r="A105" s="1030"/>
      <c r="B105" s="1025"/>
      <c r="C105" s="350">
        <v>370</v>
      </c>
      <c r="D105" s="350"/>
      <c r="E105" s="350">
        <v>370</v>
      </c>
      <c r="F105" s="350"/>
      <c r="G105" s="350"/>
      <c r="H105" s="350"/>
      <c r="I105" s="420">
        <v>1150</v>
      </c>
      <c r="J105" s="350"/>
      <c r="K105" s="352"/>
    </row>
    <row r="106" spans="1:11" ht="29.25" customHeight="1">
      <c r="A106" s="1030"/>
      <c r="B106" s="1025"/>
      <c r="C106" s="350">
        <v>2239</v>
      </c>
      <c r="D106" s="350"/>
      <c r="E106" s="350">
        <v>2239</v>
      </c>
      <c r="F106" s="350"/>
      <c r="G106" s="350"/>
      <c r="H106" s="350"/>
      <c r="I106" s="420">
        <v>2279</v>
      </c>
      <c r="J106" s="350"/>
      <c r="K106" s="352"/>
    </row>
    <row r="107" spans="1:11" ht="12.75" customHeight="1">
      <c r="A107" s="1030">
        <v>18</v>
      </c>
      <c r="B107" s="1025" t="s">
        <v>1158</v>
      </c>
      <c r="C107" s="348">
        <f aca="true" t="shared" si="22" ref="C107:K107">SUM(C108:C112)</f>
        <v>0</v>
      </c>
      <c r="D107" s="348">
        <f t="shared" si="22"/>
        <v>0</v>
      </c>
      <c r="E107" s="348">
        <f t="shared" si="22"/>
        <v>0</v>
      </c>
      <c r="F107" s="348">
        <f t="shared" si="22"/>
        <v>0</v>
      </c>
      <c r="G107" s="348">
        <f t="shared" si="22"/>
        <v>1243</v>
      </c>
      <c r="H107" s="348">
        <f t="shared" si="22"/>
        <v>0</v>
      </c>
      <c r="I107" s="421"/>
      <c r="J107" s="348">
        <f t="shared" si="22"/>
        <v>1243</v>
      </c>
      <c r="K107" s="348">
        <f t="shared" si="22"/>
        <v>0</v>
      </c>
    </row>
    <row r="108" spans="1:11" ht="12.75" customHeight="1">
      <c r="A108" s="1030"/>
      <c r="B108" s="1025"/>
      <c r="C108" s="350"/>
      <c r="D108" s="350"/>
      <c r="E108" s="350"/>
      <c r="F108" s="350"/>
      <c r="G108" s="350">
        <v>800</v>
      </c>
      <c r="H108" s="356"/>
      <c r="I108" s="420">
        <v>1150</v>
      </c>
      <c r="J108" s="350">
        <v>800</v>
      </c>
      <c r="K108" s="352"/>
    </row>
    <row r="109" spans="1:11" ht="12" customHeight="1">
      <c r="A109" s="1030"/>
      <c r="B109" s="1025"/>
      <c r="C109" s="350"/>
      <c r="D109" s="350"/>
      <c r="E109" s="350"/>
      <c r="F109" s="350"/>
      <c r="G109" s="350">
        <v>60</v>
      </c>
      <c r="H109" s="356"/>
      <c r="I109" s="420">
        <v>2262</v>
      </c>
      <c r="J109" s="350">
        <v>60</v>
      </c>
      <c r="K109" s="352"/>
    </row>
    <row r="110" spans="1:11" ht="12" customHeight="1">
      <c r="A110" s="1030"/>
      <c r="B110" s="1025"/>
      <c r="C110" s="350"/>
      <c r="D110" s="350"/>
      <c r="E110" s="350"/>
      <c r="F110" s="350"/>
      <c r="G110" s="350">
        <v>183</v>
      </c>
      <c r="H110" s="356"/>
      <c r="I110" s="420">
        <v>2264</v>
      </c>
      <c r="J110" s="350">
        <v>183</v>
      </c>
      <c r="K110" s="352"/>
    </row>
    <row r="111" spans="1:11" ht="12" customHeight="1">
      <c r="A111" s="1030"/>
      <c r="B111" s="1025"/>
      <c r="C111" s="350"/>
      <c r="D111" s="350"/>
      <c r="E111" s="350"/>
      <c r="F111" s="350"/>
      <c r="G111" s="350">
        <v>150</v>
      </c>
      <c r="H111" s="356"/>
      <c r="I111" s="420">
        <v>2279</v>
      </c>
      <c r="J111" s="350">
        <v>150</v>
      </c>
      <c r="K111" s="352"/>
    </row>
    <row r="112" spans="1:11" ht="12.75" customHeight="1">
      <c r="A112" s="1030"/>
      <c r="B112" s="1025"/>
      <c r="C112" s="350"/>
      <c r="D112" s="350"/>
      <c r="E112" s="350"/>
      <c r="F112" s="350"/>
      <c r="G112" s="350">
        <v>50</v>
      </c>
      <c r="H112" s="356"/>
      <c r="I112" s="420">
        <v>2390</v>
      </c>
      <c r="J112" s="350">
        <v>50</v>
      </c>
      <c r="K112" s="352"/>
    </row>
    <row r="113" spans="1:11" ht="12.75" customHeight="1">
      <c r="A113" s="1034">
        <v>19</v>
      </c>
      <c r="B113" s="1031" t="s">
        <v>1411</v>
      </c>
      <c r="C113" s="442">
        <f aca="true" t="shared" si="23" ref="C113:H113">SUM(C114:C116)</f>
        <v>1155</v>
      </c>
      <c r="D113" s="442">
        <f t="shared" si="23"/>
        <v>0</v>
      </c>
      <c r="E113" s="442">
        <f t="shared" si="23"/>
        <v>533</v>
      </c>
      <c r="F113" s="442">
        <f t="shared" si="23"/>
        <v>0</v>
      </c>
      <c r="G113" s="442">
        <f t="shared" si="23"/>
        <v>4580</v>
      </c>
      <c r="H113" s="442">
        <f t="shared" si="23"/>
        <v>0</v>
      </c>
      <c r="I113" s="443"/>
      <c r="J113" s="442">
        <f>SUM(J114:J116)</f>
        <v>4580</v>
      </c>
      <c r="K113" s="444"/>
    </row>
    <row r="114" spans="1:11" ht="12.75" customHeight="1">
      <c r="A114" s="1035"/>
      <c r="B114" s="1032"/>
      <c r="C114" s="445">
        <v>553</v>
      </c>
      <c r="D114" s="445"/>
      <c r="E114" s="445">
        <v>533</v>
      </c>
      <c r="F114" s="445"/>
      <c r="G114" s="445">
        <v>3110</v>
      </c>
      <c r="H114" s="446"/>
      <c r="I114" s="447">
        <v>1150</v>
      </c>
      <c r="J114" s="445">
        <v>3110</v>
      </c>
      <c r="K114" s="446"/>
    </row>
    <row r="115" spans="1:11" ht="12.75" customHeight="1">
      <c r="A115" s="1035"/>
      <c r="B115" s="1032"/>
      <c r="C115" s="445">
        <v>553</v>
      </c>
      <c r="D115" s="445"/>
      <c r="E115" s="445"/>
      <c r="F115" s="445"/>
      <c r="G115" s="445">
        <v>1120</v>
      </c>
      <c r="H115" s="446"/>
      <c r="I115" s="447">
        <v>2264</v>
      </c>
      <c r="J115" s="445">
        <v>1120</v>
      </c>
      <c r="K115" s="446"/>
    </row>
    <row r="116" spans="1:11" ht="12.75" customHeight="1">
      <c r="A116" s="1036"/>
      <c r="B116" s="1033"/>
      <c r="C116" s="445">
        <v>49</v>
      </c>
      <c r="D116" s="445"/>
      <c r="E116" s="445">
        <v>0</v>
      </c>
      <c r="F116" s="445"/>
      <c r="G116" s="445">
        <v>350</v>
      </c>
      <c r="H116" s="446"/>
      <c r="I116" s="447">
        <v>2390</v>
      </c>
      <c r="J116" s="445">
        <v>350</v>
      </c>
      <c r="K116" s="446"/>
    </row>
    <row r="117" spans="1:11" ht="12.75" customHeight="1">
      <c r="A117" s="1030">
        <v>20</v>
      </c>
      <c r="B117" s="1025" t="s">
        <v>1159</v>
      </c>
      <c r="C117" s="348">
        <f aca="true" t="shared" si="24" ref="C117:K117">SUM(C118:C122)</f>
        <v>0</v>
      </c>
      <c r="D117" s="348">
        <f t="shared" si="24"/>
        <v>0</v>
      </c>
      <c r="E117" s="348">
        <f t="shared" si="24"/>
        <v>0</v>
      </c>
      <c r="F117" s="348">
        <f t="shared" si="24"/>
        <v>0</v>
      </c>
      <c r="G117" s="348">
        <f t="shared" si="24"/>
        <v>1243</v>
      </c>
      <c r="H117" s="348">
        <f t="shared" si="24"/>
        <v>0</v>
      </c>
      <c r="I117" s="421"/>
      <c r="J117" s="348">
        <f t="shared" si="24"/>
        <v>1243</v>
      </c>
      <c r="K117" s="348">
        <f t="shared" si="24"/>
        <v>0</v>
      </c>
    </row>
    <row r="118" spans="1:11" ht="12.75" customHeight="1">
      <c r="A118" s="1030"/>
      <c r="B118" s="1025"/>
      <c r="C118" s="350"/>
      <c r="D118" s="350"/>
      <c r="E118" s="350"/>
      <c r="F118" s="350"/>
      <c r="G118" s="350">
        <v>800</v>
      </c>
      <c r="H118" s="350"/>
      <c r="I118" s="420">
        <v>1150</v>
      </c>
      <c r="J118" s="350">
        <v>800</v>
      </c>
      <c r="K118" s="352"/>
    </row>
    <row r="119" spans="1:11" ht="15">
      <c r="A119" s="1030"/>
      <c r="B119" s="1025"/>
      <c r="C119" s="350"/>
      <c r="D119" s="350"/>
      <c r="E119" s="350"/>
      <c r="F119" s="350"/>
      <c r="G119" s="350">
        <v>60</v>
      </c>
      <c r="H119" s="350"/>
      <c r="I119" s="420">
        <v>2262</v>
      </c>
      <c r="J119" s="350">
        <v>60</v>
      </c>
      <c r="K119" s="352"/>
    </row>
    <row r="120" spans="1:11" ht="15">
      <c r="A120" s="1030"/>
      <c r="B120" s="1025"/>
      <c r="C120" s="350"/>
      <c r="D120" s="350"/>
      <c r="E120" s="350"/>
      <c r="F120" s="350"/>
      <c r="G120" s="350">
        <v>183</v>
      </c>
      <c r="H120" s="350"/>
      <c r="I120" s="420">
        <v>2264</v>
      </c>
      <c r="J120" s="350">
        <v>183</v>
      </c>
      <c r="K120" s="352"/>
    </row>
    <row r="121" spans="1:11" ht="12.75" customHeight="1">
      <c r="A121" s="1030"/>
      <c r="B121" s="1025"/>
      <c r="C121" s="350"/>
      <c r="D121" s="350"/>
      <c r="E121" s="350"/>
      <c r="F121" s="350"/>
      <c r="G121" s="350">
        <v>150</v>
      </c>
      <c r="H121" s="350"/>
      <c r="I121" s="420">
        <v>2279</v>
      </c>
      <c r="J121" s="350">
        <v>150</v>
      </c>
      <c r="K121" s="352"/>
    </row>
    <row r="122" spans="1:11" ht="12.75" customHeight="1">
      <c r="A122" s="1030"/>
      <c r="B122" s="1025"/>
      <c r="C122" s="350"/>
      <c r="D122" s="350"/>
      <c r="E122" s="350"/>
      <c r="F122" s="350"/>
      <c r="G122" s="350">
        <v>50</v>
      </c>
      <c r="H122" s="350"/>
      <c r="I122" s="420">
        <v>2390</v>
      </c>
      <c r="J122" s="350">
        <v>50</v>
      </c>
      <c r="K122" s="352"/>
    </row>
    <row r="123" spans="1:11" ht="15">
      <c r="A123" s="1030">
        <v>21</v>
      </c>
      <c r="B123" s="1025" t="s">
        <v>1160</v>
      </c>
      <c r="C123" s="348">
        <f aca="true" t="shared" si="25" ref="C123:K123">SUM(C124:C127)</f>
        <v>1075</v>
      </c>
      <c r="D123" s="348">
        <f t="shared" si="25"/>
        <v>0</v>
      </c>
      <c r="E123" s="348">
        <f t="shared" si="25"/>
        <v>1075.42</v>
      </c>
      <c r="F123" s="348">
        <f t="shared" si="25"/>
        <v>0</v>
      </c>
      <c r="G123" s="348">
        <f t="shared" si="25"/>
        <v>1425</v>
      </c>
      <c r="H123" s="348">
        <f t="shared" si="25"/>
        <v>0</v>
      </c>
      <c r="I123" s="421"/>
      <c r="J123" s="348">
        <f t="shared" si="25"/>
        <v>1425</v>
      </c>
      <c r="K123" s="348">
        <f t="shared" si="25"/>
        <v>0</v>
      </c>
    </row>
    <row r="124" spans="1:11" ht="15">
      <c r="A124" s="1030"/>
      <c r="B124" s="1025"/>
      <c r="C124" s="350">
        <v>64</v>
      </c>
      <c r="D124" s="350"/>
      <c r="E124" s="350">
        <v>64</v>
      </c>
      <c r="F124" s="350"/>
      <c r="G124" s="351">
        <v>500</v>
      </c>
      <c r="H124" s="350"/>
      <c r="I124" s="420">
        <v>1150</v>
      </c>
      <c r="J124" s="350">
        <v>500</v>
      </c>
      <c r="K124" s="352"/>
    </row>
    <row r="125" spans="1:11" ht="15">
      <c r="A125" s="1030"/>
      <c r="B125" s="1025"/>
      <c r="C125" s="350">
        <v>32</v>
      </c>
      <c r="D125" s="350"/>
      <c r="E125" s="350">
        <v>32.2</v>
      </c>
      <c r="F125" s="350"/>
      <c r="G125" s="351">
        <v>100</v>
      </c>
      <c r="H125" s="350"/>
      <c r="I125" s="420">
        <v>2264</v>
      </c>
      <c r="J125" s="350">
        <v>100</v>
      </c>
      <c r="K125" s="352"/>
    </row>
    <row r="126" spans="1:11" ht="15">
      <c r="A126" s="1030"/>
      <c r="B126" s="1025"/>
      <c r="C126" s="350">
        <v>836</v>
      </c>
      <c r="D126" s="350"/>
      <c r="E126" s="350">
        <v>836.8</v>
      </c>
      <c r="F126" s="350"/>
      <c r="G126" s="351">
        <v>650</v>
      </c>
      <c r="H126" s="350"/>
      <c r="I126" s="420">
        <v>2279</v>
      </c>
      <c r="J126" s="350">
        <v>650</v>
      </c>
      <c r="K126" s="352"/>
    </row>
    <row r="127" spans="1:11" ht="15">
      <c r="A127" s="1030"/>
      <c r="B127" s="1025"/>
      <c r="C127" s="350">
        <v>143</v>
      </c>
      <c r="D127" s="350"/>
      <c r="E127" s="350">
        <v>142.42</v>
      </c>
      <c r="F127" s="350"/>
      <c r="G127" s="351">
        <v>175</v>
      </c>
      <c r="H127" s="350"/>
      <c r="I127" s="420">
        <v>2390</v>
      </c>
      <c r="J127" s="350">
        <v>175</v>
      </c>
      <c r="K127" s="352"/>
    </row>
    <row r="128" spans="1:11" ht="12" customHeight="1">
      <c r="A128" s="1030">
        <v>22</v>
      </c>
      <c r="B128" s="1025" t="s">
        <v>1161</v>
      </c>
      <c r="C128" s="348">
        <f aca="true" t="shared" si="26" ref="C128:K128">SUM(C129:C133)</f>
        <v>1600</v>
      </c>
      <c r="D128" s="348">
        <f t="shared" si="26"/>
        <v>0</v>
      </c>
      <c r="E128" s="348">
        <f t="shared" si="26"/>
        <v>1600</v>
      </c>
      <c r="F128" s="348">
        <f t="shared" si="26"/>
        <v>0</v>
      </c>
      <c r="G128" s="348">
        <f t="shared" si="26"/>
        <v>0</v>
      </c>
      <c r="H128" s="348">
        <f t="shared" si="26"/>
        <v>0</v>
      </c>
      <c r="I128" s="421"/>
      <c r="J128" s="348">
        <f t="shared" si="26"/>
        <v>0</v>
      </c>
      <c r="K128" s="348">
        <f t="shared" si="26"/>
        <v>0</v>
      </c>
    </row>
    <row r="129" spans="1:11" ht="15">
      <c r="A129" s="1030"/>
      <c r="B129" s="1025"/>
      <c r="C129" s="350">
        <v>250</v>
      </c>
      <c r="D129" s="350"/>
      <c r="E129" s="350">
        <v>250</v>
      </c>
      <c r="F129" s="350"/>
      <c r="G129" s="351">
        <v>0</v>
      </c>
      <c r="H129" s="350"/>
      <c r="I129" s="420">
        <v>1150</v>
      </c>
      <c r="J129" s="350"/>
      <c r="K129" s="352"/>
    </row>
    <row r="130" spans="1:11" ht="12" customHeight="1">
      <c r="A130" s="1030"/>
      <c r="B130" s="1025"/>
      <c r="C130" s="350">
        <v>140</v>
      </c>
      <c r="D130" s="350"/>
      <c r="E130" s="350">
        <v>140</v>
      </c>
      <c r="F130" s="350"/>
      <c r="G130" s="352">
        <v>0</v>
      </c>
      <c r="H130" s="350"/>
      <c r="I130" s="420">
        <v>2261</v>
      </c>
      <c r="J130" s="350"/>
      <c r="K130" s="352"/>
    </row>
    <row r="131" spans="1:11" ht="15">
      <c r="A131" s="1030"/>
      <c r="B131" s="1025"/>
      <c r="C131" s="350">
        <v>400</v>
      </c>
      <c r="D131" s="350"/>
      <c r="E131" s="350">
        <v>400</v>
      </c>
      <c r="F131" s="350"/>
      <c r="G131" s="351">
        <v>0</v>
      </c>
      <c r="H131" s="350"/>
      <c r="I131" s="420">
        <v>2279</v>
      </c>
      <c r="J131" s="350"/>
      <c r="K131" s="352"/>
    </row>
    <row r="132" spans="1:11" ht="15">
      <c r="A132" s="1030"/>
      <c r="B132" s="1025"/>
      <c r="C132" s="350">
        <v>150</v>
      </c>
      <c r="D132" s="350"/>
      <c r="E132" s="350">
        <v>150</v>
      </c>
      <c r="F132" s="350"/>
      <c r="G132" s="351">
        <v>0</v>
      </c>
      <c r="H132" s="350"/>
      <c r="I132" s="420">
        <v>2262</v>
      </c>
      <c r="J132" s="350"/>
      <c r="K132" s="352"/>
    </row>
    <row r="133" spans="1:11" ht="15">
      <c r="A133" s="1030"/>
      <c r="B133" s="1025"/>
      <c r="C133" s="350">
        <v>660</v>
      </c>
      <c r="D133" s="350"/>
      <c r="E133" s="350">
        <v>660</v>
      </c>
      <c r="F133" s="350"/>
      <c r="G133" s="351">
        <v>0</v>
      </c>
      <c r="H133" s="350"/>
      <c r="I133" s="420">
        <v>2390</v>
      </c>
      <c r="J133" s="350"/>
      <c r="K133" s="352"/>
    </row>
    <row r="134" spans="1:11" ht="15">
      <c r="A134" s="1015">
        <v>23</v>
      </c>
      <c r="B134" s="1025" t="s">
        <v>1162</v>
      </c>
      <c r="C134" s="348">
        <f aca="true" t="shared" si="27" ref="C134:K134">SUM(C135:C137)</f>
        <v>500</v>
      </c>
      <c r="D134" s="348">
        <f t="shared" si="27"/>
        <v>0</v>
      </c>
      <c r="E134" s="348">
        <f t="shared" si="27"/>
        <v>500</v>
      </c>
      <c r="F134" s="348">
        <f t="shared" si="27"/>
        <v>0</v>
      </c>
      <c r="G134" s="348">
        <f t="shared" si="27"/>
        <v>860</v>
      </c>
      <c r="H134" s="348">
        <f t="shared" si="27"/>
        <v>0</v>
      </c>
      <c r="I134" s="421"/>
      <c r="J134" s="348">
        <f t="shared" si="27"/>
        <v>860</v>
      </c>
      <c r="K134" s="348">
        <f t="shared" si="27"/>
        <v>0</v>
      </c>
    </row>
    <row r="135" spans="1:11" ht="15">
      <c r="A135" s="1015"/>
      <c r="B135" s="1025"/>
      <c r="C135" s="350">
        <v>300</v>
      </c>
      <c r="D135" s="350"/>
      <c r="E135" s="350">
        <v>300</v>
      </c>
      <c r="F135" s="350"/>
      <c r="G135" s="351">
        <v>250</v>
      </c>
      <c r="H135" s="350"/>
      <c r="I135" s="420">
        <v>1150</v>
      </c>
      <c r="J135" s="351">
        <v>250</v>
      </c>
      <c r="K135" s="352"/>
    </row>
    <row r="136" spans="1:11" ht="15">
      <c r="A136" s="1015"/>
      <c r="B136" s="1025"/>
      <c r="C136" s="350"/>
      <c r="D136" s="350"/>
      <c r="E136" s="350"/>
      <c r="F136" s="350"/>
      <c r="G136" s="351">
        <v>360</v>
      </c>
      <c r="H136" s="350"/>
      <c r="I136" s="420">
        <v>2262</v>
      </c>
      <c r="J136" s="351">
        <v>360</v>
      </c>
      <c r="K136" s="352"/>
    </row>
    <row r="137" spans="1:11" ht="15">
      <c r="A137" s="1015"/>
      <c r="B137" s="1025"/>
      <c r="C137" s="350">
        <v>200</v>
      </c>
      <c r="D137" s="350"/>
      <c r="E137" s="350">
        <v>200</v>
      </c>
      <c r="F137" s="350"/>
      <c r="G137" s="351">
        <v>250</v>
      </c>
      <c r="H137" s="350"/>
      <c r="I137" s="420">
        <v>2390</v>
      </c>
      <c r="J137" s="351">
        <v>250</v>
      </c>
      <c r="K137" s="352"/>
    </row>
    <row r="138" spans="1:11" ht="12.75" customHeight="1">
      <c r="A138" s="1015">
        <v>24</v>
      </c>
      <c r="B138" s="1025" t="s">
        <v>1163</v>
      </c>
      <c r="C138" s="348">
        <f aca="true" t="shared" si="28" ref="C138:K138">SUM(C139:C139)</f>
        <v>500</v>
      </c>
      <c r="D138" s="348">
        <f t="shared" si="28"/>
        <v>0</v>
      </c>
      <c r="E138" s="348">
        <f t="shared" si="28"/>
        <v>500</v>
      </c>
      <c r="F138" s="348">
        <f t="shared" si="28"/>
        <v>0</v>
      </c>
      <c r="G138" s="348">
        <f t="shared" si="28"/>
        <v>500</v>
      </c>
      <c r="H138" s="348">
        <f t="shared" si="28"/>
        <v>0</v>
      </c>
      <c r="I138" s="421"/>
      <c r="J138" s="348">
        <f t="shared" si="28"/>
        <v>500</v>
      </c>
      <c r="K138" s="348">
        <f t="shared" si="28"/>
        <v>0</v>
      </c>
    </row>
    <row r="139" spans="1:11" ht="15">
      <c r="A139" s="1015"/>
      <c r="B139" s="1025"/>
      <c r="C139" s="350">
        <v>500</v>
      </c>
      <c r="D139" s="350"/>
      <c r="E139" s="350">
        <v>500</v>
      </c>
      <c r="F139" s="350"/>
      <c r="G139" s="351">
        <v>500</v>
      </c>
      <c r="H139" s="350"/>
      <c r="I139" s="420">
        <v>2390</v>
      </c>
      <c r="J139" s="350">
        <v>500</v>
      </c>
      <c r="K139" s="352"/>
    </row>
    <row r="140" spans="1:11" ht="12.75" customHeight="1">
      <c r="A140" s="1015">
        <v>25</v>
      </c>
      <c r="B140" s="1025" t="s">
        <v>1164</v>
      </c>
      <c r="C140" s="348">
        <f aca="true" t="shared" si="29" ref="C140:K140">SUM(C141:C144)</f>
        <v>412</v>
      </c>
      <c r="D140" s="348">
        <f t="shared" si="29"/>
        <v>0</v>
      </c>
      <c r="E140" s="348">
        <f t="shared" si="29"/>
        <v>412</v>
      </c>
      <c r="F140" s="348">
        <f t="shared" si="29"/>
        <v>0</v>
      </c>
      <c r="G140" s="348">
        <f t="shared" si="29"/>
        <v>580</v>
      </c>
      <c r="H140" s="348">
        <f t="shared" si="29"/>
        <v>0</v>
      </c>
      <c r="I140" s="421"/>
      <c r="J140" s="348">
        <f t="shared" si="29"/>
        <v>410</v>
      </c>
      <c r="K140" s="348">
        <f t="shared" si="29"/>
        <v>0</v>
      </c>
    </row>
    <row r="141" spans="1:11" ht="15">
      <c r="A141" s="1015"/>
      <c r="B141" s="1025"/>
      <c r="C141" s="350">
        <v>80</v>
      </c>
      <c r="D141" s="350"/>
      <c r="E141" s="350">
        <v>80</v>
      </c>
      <c r="F141" s="350"/>
      <c r="G141" s="351">
        <v>80</v>
      </c>
      <c r="H141" s="350"/>
      <c r="I141" s="420">
        <v>1150</v>
      </c>
      <c r="J141" s="351">
        <v>80</v>
      </c>
      <c r="K141" s="352"/>
    </row>
    <row r="142" spans="1:11" ht="15">
      <c r="A142" s="1015"/>
      <c r="B142" s="1025"/>
      <c r="C142" s="350"/>
      <c r="D142" s="350"/>
      <c r="E142" s="350"/>
      <c r="F142" s="350"/>
      <c r="G142" s="351">
        <v>170</v>
      </c>
      <c r="H142" s="350"/>
      <c r="I142" s="420">
        <v>2262</v>
      </c>
      <c r="J142" s="351">
        <v>0</v>
      </c>
      <c r="K142" s="352"/>
    </row>
    <row r="143" spans="1:11" ht="15">
      <c r="A143" s="1015"/>
      <c r="B143" s="1025"/>
      <c r="C143" s="350">
        <v>100</v>
      </c>
      <c r="D143" s="350"/>
      <c r="E143" s="350">
        <v>100</v>
      </c>
      <c r="F143" s="350"/>
      <c r="G143" s="351">
        <v>100</v>
      </c>
      <c r="H143" s="350"/>
      <c r="I143" s="420">
        <v>2279</v>
      </c>
      <c r="J143" s="351">
        <v>100</v>
      </c>
      <c r="K143" s="352"/>
    </row>
    <row r="144" spans="1:11" ht="15">
      <c r="A144" s="1015"/>
      <c r="B144" s="1025"/>
      <c r="C144" s="350">
        <v>232</v>
      </c>
      <c r="D144" s="350"/>
      <c r="E144" s="350">
        <v>232</v>
      </c>
      <c r="F144" s="350"/>
      <c r="G144" s="351">
        <v>230</v>
      </c>
      <c r="H144" s="350"/>
      <c r="I144" s="420">
        <v>2390</v>
      </c>
      <c r="J144" s="351">
        <v>230</v>
      </c>
      <c r="K144" s="352"/>
    </row>
    <row r="145" spans="1:11" ht="12.75" customHeight="1">
      <c r="A145" s="1015">
        <v>26</v>
      </c>
      <c r="B145" s="1025" t="s">
        <v>1165</v>
      </c>
      <c r="C145" s="348">
        <f aca="true" t="shared" si="30" ref="C145:K145">SUM(C146:C152)</f>
        <v>0</v>
      </c>
      <c r="D145" s="348">
        <f t="shared" si="30"/>
        <v>3471</v>
      </c>
      <c r="E145" s="348">
        <f t="shared" si="30"/>
        <v>0</v>
      </c>
      <c r="F145" s="348">
        <f t="shared" si="30"/>
        <v>2050</v>
      </c>
      <c r="G145" s="348">
        <f t="shared" si="30"/>
        <v>0</v>
      </c>
      <c r="H145" s="348">
        <f t="shared" si="30"/>
        <v>3471</v>
      </c>
      <c r="I145" s="421"/>
      <c r="J145" s="348">
        <f t="shared" si="30"/>
        <v>3200</v>
      </c>
      <c r="K145" s="348">
        <f t="shared" si="30"/>
        <v>771</v>
      </c>
    </row>
    <row r="146" spans="1:11" ht="15">
      <c r="A146" s="1015"/>
      <c r="B146" s="1025"/>
      <c r="C146" s="350"/>
      <c r="D146" s="350">
        <v>600</v>
      </c>
      <c r="E146" s="350"/>
      <c r="F146" s="350">
        <v>600</v>
      </c>
      <c r="G146" s="350"/>
      <c r="H146" s="352">
        <v>600</v>
      </c>
      <c r="I146" s="420">
        <v>1150</v>
      </c>
      <c r="J146" s="350">
        <v>600</v>
      </c>
      <c r="K146" s="352"/>
    </row>
    <row r="147" spans="1:11" ht="15">
      <c r="A147" s="1015"/>
      <c r="B147" s="1025"/>
      <c r="C147" s="350"/>
      <c r="D147" s="350">
        <v>500</v>
      </c>
      <c r="E147" s="350"/>
      <c r="F147" s="350">
        <v>500</v>
      </c>
      <c r="G147" s="350"/>
      <c r="H147" s="352">
        <v>500</v>
      </c>
      <c r="I147" s="420">
        <v>2262</v>
      </c>
      <c r="J147" s="350">
        <v>500</v>
      </c>
      <c r="K147" s="352">
        <v>500</v>
      </c>
    </row>
    <row r="148" spans="1:11" ht="15">
      <c r="A148" s="1015"/>
      <c r="B148" s="1025"/>
      <c r="C148" s="350"/>
      <c r="D148" s="350">
        <v>400</v>
      </c>
      <c r="E148" s="350"/>
      <c r="F148" s="350"/>
      <c r="G148" s="350"/>
      <c r="H148" s="352">
        <v>400</v>
      </c>
      <c r="I148" s="420">
        <v>2264</v>
      </c>
      <c r="J148" s="350">
        <v>400</v>
      </c>
      <c r="K148" s="352"/>
    </row>
    <row r="149" spans="1:11" ht="15">
      <c r="A149" s="1015"/>
      <c r="B149" s="1025"/>
      <c r="C149" s="350"/>
      <c r="D149" s="350">
        <v>500</v>
      </c>
      <c r="E149" s="350"/>
      <c r="F149" s="350"/>
      <c r="G149" s="350"/>
      <c r="H149" s="351">
        <v>500</v>
      </c>
      <c r="I149" s="420">
        <v>2322</v>
      </c>
      <c r="J149" s="350">
        <v>500</v>
      </c>
      <c r="K149" s="352"/>
    </row>
    <row r="150" spans="1:11" ht="15">
      <c r="A150" s="1015"/>
      <c r="B150" s="1025"/>
      <c r="C150" s="350"/>
      <c r="D150" s="350">
        <v>271</v>
      </c>
      <c r="E150" s="350"/>
      <c r="F150" s="350"/>
      <c r="G150" s="350"/>
      <c r="H150" s="351">
        <v>271</v>
      </c>
      <c r="I150" s="420">
        <v>2269</v>
      </c>
      <c r="J150" s="350"/>
      <c r="K150" s="352">
        <v>271</v>
      </c>
    </row>
    <row r="151" spans="1:11" ht="15">
      <c r="A151" s="1015"/>
      <c r="B151" s="1025"/>
      <c r="C151" s="350"/>
      <c r="D151" s="350">
        <v>400</v>
      </c>
      <c r="E151" s="350"/>
      <c r="F151" s="350">
        <v>200</v>
      </c>
      <c r="G151" s="350"/>
      <c r="H151" s="351">
        <v>400</v>
      </c>
      <c r="I151" s="420">
        <v>2279</v>
      </c>
      <c r="J151" s="350">
        <v>400</v>
      </c>
      <c r="K151" s="352"/>
    </row>
    <row r="152" spans="1:11" ht="15">
      <c r="A152" s="1015"/>
      <c r="B152" s="1025"/>
      <c r="C152" s="350"/>
      <c r="D152" s="350">
        <v>800</v>
      </c>
      <c r="E152" s="350"/>
      <c r="F152" s="350">
        <v>750</v>
      </c>
      <c r="G152" s="356"/>
      <c r="H152" s="351">
        <v>800</v>
      </c>
      <c r="I152" s="420">
        <v>2390</v>
      </c>
      <c r="J152" s="350">
        <v>800</v>
      </c>
      <c r="K152" s="352"/>
    </row>
    <row r="153" spans="1:28" ht="12" customHeight="1">
      <c r="A153" s="1015">
        <v>27</v>
      </c>
      <c r="B153" s="1025" t="s">
        <v>1166</v>
      </c>
      <c r="C153" s="348">
        <f aca="true" t="shared" si="31" ref="C153:K153">SUM(C154:C155)</f>
        <v>600</v>
      </c>
      <c r="D153" s="348">
        <f t="shared" si="31"/>
        <v>0</v>
      </c>
      <c r="E153" s="348">
        <f t="shared" si="31"/>
        <v>603.6</v>
      </c>
      <c r="F153" s="348">
        <f t="shared" si="31"/>
        <v>0</v>
      </c>
      <c r="G153" s="348">
        <f t="shared" si="31"/>
        <v>950</v>
      </c>
      <c r="H153" s="348">
        <f t="shared" si="31"/>
        <v>0</v>
      </c>
      <c r="I153" s="421"/>
      <c r="J153" s="348">
        <f t="shared" si="31"/>
        <v>950</v>
      </c>
      <c r="K153" s="348">
        <f t="shared" si="31"/>
        <v>0</v>
      </c>
      <c r="U153" s="357"/>
      <c r="V153" s="357"/>
      <c r="W153" s="357"/>
      <c r="X153" s="357"/>
      <c r="Y153" s="357"/>
      <c r="Z153" s="357"/>
      <c r="AA153" s="357"/>
      <c r="AB153" s="346"/>
    </row>
    <row r="154" spans="1:28" ht="15">
      <c r="A154" s="1015"/>
      <c r="B154" s="1025"/>
      <c r="C154" s="350">
        <v>450</v>
      </c>
      <c r="D154" s="350"/>
      <c r="E154" s="350">
        <v>453.6</v>
      </c>
      <c r="F154" s="350"/>
      <c r="G154" s="351">
        <v>850</v>
      </c>
      <c r="H154" s="350">
        <v>0</v>
      </c>
      <c r="I154" s="420">
        <v>1150</v>
      </c>
      <c r="J154" s="350">
        <v>850</v>
      </c>
      <c r="K154" s="352"/>
      <c r="U154" s="354"/>
      <c r="V154" s="354"/>
      <c r="W154" s="354"/>
      <c r="X154" s="354"/>
      <c r="Y154" s="354"/>
      <c r="Z154" s="354"/>
      <c r="AA154" s="354"/>
      <c r="AB154" s="346"/>
    </row>
    <row r="155" spans="1:28" ht="12.75" customHeight="1">
      <c r="A155" s="1015"/>
      <c r="B155" s="1025"/>
      <c r="C155" s="350">
        <v>150</v>
      </c>
      <c r="D155" s="350"/>
      <c r="E155" s="350">
        <v>150</v>
      </c>
      <c r="F155" s="350"/>
      <c r="G155" s="352">
        <v>100</v>
      </c>
      <c r="H155" s="350">
        <v>0</v>
      </c>
      <c r="I155" s="420">
        <v>2390</v>
      </c>
      <c r="J155" s="350">
        <v>100</v>
      </c>
      <c r="K155" s="352"/>
      <c r="U155" s="354"/>
      <c r="V155" s="354"/>
      <c r="W155" s="354"/>
      <c r="X155" s="354"/>
      <c r="Y155" s="354"/>
      <c r="Z155" s="354"/>
      <c r="AA155" s="354"/>
      <c r="AB155" s="346"/>
    </row>
    <row r="156" spans="1:28" ht="12" customHeight="1">
      <c r="A156" s="1015">
        <v>28</v>
      </c>
      <c r="B156" s="1025" t="s">
        <v>1167</v>
      </c>
      <c r="C156" s="348">
        <f aca="true" t="shared" si="32" ref="C156:K156">SUM(C157:C162)</f>
        <v>5000</v>
      </c>
      <c r="D156" s="348">
        <f t="shared" si="32"/>
        <v>0</v>
      </c>
      <c r="E156" s="348">
        <f t="shared" si="32"/>
        <v>7139</v>
      </c>
      <c r="F156" s="348">
        <f t="shared" si="32"/>
        <v>0</v>
      </c>
      <c r="G156" s="348">
        <f t="shared" si="32"/>
        <v>5500</v>
      </c>
      <c r="H156" s="348">
        <f t="shared" si="32"/>
        <v>0</v>
      </c>
      <c r="I156" s="421"/>
      <c r="J156" s="348">
        <f t="shared" si="32"/>
        <v>7500</v>
      </c>
      <c r="K156" s="348">
        <f t="shared" si="32"/>
        <v>0</v>
      </c>
      <c r="U156" s="354"/>
      <c r="V156" s="354"/>
      <c r="W156" s="359"/>
      <c r="X156" s="354"/>
      <c r="Y156" s="354"/>
      <c r="Z156" s="354"/>
      <c r="AA156" s="354"/>
      <c r="AB156" s="346"/>
    </row>
    <row r="157" spans="1:28" ht="15">
      <c r="A157" s="1015"/>
      <c r="B157" s="1025"/>
      <c r="C157" s="360">
        <v>700</v>
      </c>
      <c r="D157" s="360"/>
      <c r="E157" s="360">
        <v>1428</v>
      </c>
      <c r="F157" s="360"/>
      <c r="G157" s="361">
        <v>1500</v>
      </c>
      <c r="H157" s="360"/>
      <c r="I157" s="420">
        <v>1150</v>
      </c>
      <c r="J157" s="360">
        <v>2500</v>
      </c>
      <c r="K157" s="356"/>
      <c r="U157" s="359"/>
      <c r="V157" s="354"/>
      <c r="W157" s="354"/>
      <c r="X157" s="354"/>
      <c r="Y157" s="354"/>
      <c r="Z157" s="354"/>
      <c r="AA157" s="354"/>
      <c r="AB157" s="346"/>
    </row>
    <row r="158" spans="1:28" ht="15">
      <c r="A158" s="1015"/>
      <c r="B158" s="1025"/>
      <c r="C158" s="360">
        <v>1989</v>
      </c>
      <c r="D158" s="360"/>
      <c r="E158" s="360">
        <v>2500</v>
      </c>
      <c r="F158" s="360"/>
      <c r="G158" s="361">
        <v>2000</v>
      </c>
      <c r="H158" s="360"/>
      <c r="I158" s="420">
        <v>2231</v>
      </c>
      <c r="J158" s="360">
        <v>2600</v>
      </c>
      <c r="K158" s="356"/>
      <c r="U158" s="354"/>
      <c r="V158" s="359"/>
      <c r="W158" s="354"/>
      <c r="X158" s="354"/>
      <c r="Y158" s="354"/>
      <c r="Z158" s="354"/>
      <c r="AA158" s="354"/>
      <c r="AB158" s="346"/>
    </row>
    <row r="159" spans="1:28" ht="15">
      <c r="A159" s="1015"/>
      <c r="B159" s="1025"/>
      <c r="C159" s="360"/>
      <c r="D159" s="360"/>
      <c r="E159" s="360">
        <v>900</v>
      </c>
      <c r="F159" s="360"/>
      <c r="G159" s="361">
        <v>700</v>
      </c>
      <c r="H159" s="360"/>
      <c r="I159" s="420">
        <v>2264</v>
      </c>
      <c r="J159" s="360">
        <v>800</v>
      </c>
      <c r="K159" s="356"/>
      <c r="U159" s="354"/>
      <c r="V159" s="359"/>
      <c r="W159" s="354"/>
      <c r="X159" s="354"/>
      <c r="Y159" s="354"/>
      <c r="Z159" s="354"/>
      <c r="AA159" s="354"/>
      <c r="AB159" s="346"/>
    </row>
    <row r="160" spans="1:28" ht="15">
      <c r="A160" s="1015"/>
      <c r="B160" s="1025"/>
      <c r="C160" s="360">
        <v>280</v>
      </c>
      <c r="D160" s="360"/>
      <c r="E160" s="360">
        <v>280</v>
      </c>
      <c r="F160" s="360"/>
      <c r="G160" s="361">
        <v>0</v>
      </c>
      <c r="H160" s="360"/>
      <c r="I160" s="420">
        <v>2269</v>
      </c>
      <c r="J160" s="360"/>
      <c r="K160" s="356"/>
      <c r="U160" s="357"/>
      <c r="V160" s="357"/>
      <c r="W160" s="357"/>
      <c r="X160" s="357"/>
      <c r="Y160" s="357"/>
      <c r="Z160" s="357"/>
      <c r="AA160" s="357"/>
      <c r="AB160" s="346"/>
    </row>
    <row r="161" spans="1:28" ht="15">
      <c r="A161" s="1015"/>
      <c r="B161" s="1025"/>
      <c r="C161" s="360">
        <v>31</v>
      </c>
      <c r="D161" s="360"/>
      <c r="E161" s="360">
        <v>31</v>
      </c>
      <c r="F161" s="360"/>
      <c r="G161" s="361">
        <v>500</v>
      </c>
      <c r="H161" s="360"/>
      <c r="I161" s="420">
        <v>2279</v>
      </c>
      <c r="J161" s="360">
        <v>600</v>
      </c>
      <c r="K161" s="356"/>
      <c r="U161" s="357"/>
      <c r="V161" s="357"/>
      <c r="W161" s="358"/>
      <c r="X161" s="357"/>
      <c r="Y161" s="357"/>
      <c r="Z161" s="357"/>
      <c r="AA161" s="357"/>
      <c r="AB161" s="346"/>
    </row>
    <row r="162" spans="1:28" ht="12.75" customHeight="1">
      <c r="A162" s="1015"/>
      <c r="B162" s="1025"/>
      <c r="C162" s="356">
        <v>2000</v>
      </c>
      <c r="D162" s="356"/>
      <c r="E162" s="356">
        <v>2000</v>
      </c>
      <c r="F162" s="356"/>
      <c r="G162" s="356">
        <v>800</v>
      </c>
      <c r="H162" s="360"/>
      <c r="I162" s="420">
        <v>2390</v>
      </c>
      <c r="J162" s="360">
        <v>1000</v>
      </c>
      <c r="K162" s="356"/>
      <c r="U162" s="357"/>
      <c r="V162" s="357"/>
      <c r="W162" s="358"/>
      <c r="X162" s="357"/>
      <c r="Y162" s="357"/>
      <c r="Z162" s="357"/>
      <c r="AA162" s="357"/>
      <c r="AB162" s="346"/>
    </row>
    <row r="163" spans="1:28" ht="12.75" customHeight="1">
      <c r="A163" s="1015">
        <v>29</v>
      </c>
      <c r="B163" s="1025" t="s">
        <v>1168</v>
      </c>
      <c r="C163" s="348">
        <f aca="true" t="shared" si="33" ref="C163:K163">SUM(C164:C165)</f>
        <v>280</v>
      </c>
      <c r="D163" s="348">
        <f t="shared" si="33"/>
        <v>0</v>
      </c>
      <c r="E163" s="348">
        <f t="shared" si="33"/>
        <v>280</v>
      </c>
      <c r="F163" s="348">
        <f t="shared" si="33"/>
        <v>0</v>
      </c>
      <c r="G163" s="348">
        <f t="shared" si="33"/>
        <v>280</v>
      </c>
      <c r="H163" s="348">
        <f t="shared" si="33"/>
        <v>0</v>
      </c>
      <c r="I163" s="421"/>
      <c r="J163" s="348">
        <f t="shared" si="33"/>
        <v>280</v>
      </c>
      <c r="K163" s="348">
        <f t="shared" si="33"/>
        <v>0</v>
      </c>
      <c r="U163" s="357"/>
      <c r="V163" s="357"/>
      <c r="W163" s="358"/>
      <c r="X163" s="357"/>
      <c r="Y163" s="357"/>
      <c r="Z163" s="357"/>
      <c r="AA163" s="357"/>
      <c r="AB163" s="346"/>
    </row>
    <row r="164" spans="1:28" ht="15">
      <c r="A164" s="1015"/>
      <c r="B164" s="1025"/>
      <c r="C164" s="350">
        <v>210</v>
      </c>
      <c r="D164" s="350"/>
      <c r="E164" s="350">
        <v>210</v>
      </c>
      <c r="F164" s="350"/>
      <c r="G164" s="351">
        <v>280</v>
      </c>
      <c r="H164" s="350"/>
      <c r="I164" s="420">
        <v>1150</v>
      </c>
      <c r="J164" s="350">
        <v>280</v>
      </c>
      <c r="K164" s="352"/>
      <c r="U164" s="358"/>
      <c r="V164" s="357"/>
      <c r="W164" s="358"/>
      <c r="X164" s="357"/>
      <c r="Y164" s="357"/>
      <c r="Z164" s="357"/>
      <c r="AA164" s="362"/>
      <c r="AB164" s="346"/>
    </row>
    <row r="165" spans="1:28" ht="15">
      <c r="A165" s="1015"/>
      <c r="B165" s="1025"/>
      <c r="C165" s="350">
        <v>70</v>
      </c>
      <c r="D165" s="350"/>
      <c r="E165" s="350">
        <v>70</v>
      </c>
      <c r="F165" s="350"/>
      <c r="G165" s="351"/>
      <c r="H165" s="350"/>
      <c r="I165" s="420">
        <v>2390</v>
      </c>
      <c r="J165" s="350"/>
      <c r="K165" s="352"/>
      <c r="U165" s="358"/>
      <c r="V165" s="358"/>
      <c r="W165" s="358"/>
      <c r="X165" s="357"/>
      <c r="Y165" s="358"/>
      <c r="Z165" s="357"/>
      <c r="AA165" s="358"/>
      <c r="AB165" s="346"/>
    </row>
    <row r="166" spans="1:28" ht="15">
      <c r="A166" s="1015">
        <v>30</v>
      </c>
      <c r="B166" s="1025" t="s">
        <v>1169</v>
      </c>
      <c r="C166" s="363">
        <f aca="true" t="shared" si="34" ref="C166:K166">SUM(C167:C168)</f>
        <v>3750</v>
      </c>
      <c r="D166" s="363">
        <f t="shared" si="34"/>
        <v>0</v>
      </c>
      <c r="E166" s="363">
        <f t="shared" si="34"/>
        <v>3750</v>
      </c>
      <c r="F166" s="363">
        <f t="shared" si="34"/>
        <v>0</v>
      </c>
      <c r="G166" s="363">
        <f t="shared" si="34"/>
        <v>3750</v>
      </c>
      <c r="H166" s="363">
        <f t="shared" si="34"/>
        <v>0</v>
      </c>
      <c r="I166" s="424"/>
      <c r="J166" s="363">
        <f t="shared" si="34"/>
        <v>5330</v>
      </c>
      <c r="K166" s="363">
        <f t="shared" si="34"/>
        <v>0</v>
      </c>
      <c r="U166" s="358"/>
      <c r="V166" s="358"/>
      <c r="W166" s="358"/>
      <c r="X166" s="357"/>
      <c r="Y166" s="358"/>
      <c r="Z166" s="357"/>
      <c r="AA166" s="358"/>
      <c r="AB166" s="346"/>
    </row>
    <row r="167" spans="1:28" ht="15">
      <c r="A167" s="1015"/>
      <c r="B167" s="1025"/>
      <c r="C167" s="350">
        <v>3400</v>
      </c>
      <c r="D167" s="350"/>
      <c r="E167" s="350">
        <v>3400</v>
      </c>
      <c r="F167" s="350"/>
      <c r="G167" s="351">
        <v>3750</v>
      </c>
      <c r="H167" s="350"/>
      <c r="I167" s="420">
        <v>2262</v>
      </c>
      <c r="J167" s="350">
        <v>5330</v>
      </c>
      <c r="K167" s="352"/>
      <c r="U167" s="358"/>
      <c r="V167" s="358"/>
      <c r="W167" s="358"/>
      <c r="X167" s="357"/>
      <c r="Y167" s="357"/>
      <c r="Z167" s="357"/>
      <c r="AA167" s="358"/>
      <c r="AB167" s="346"/>
    </row>
    <row r="168" spans="1:28" ht="15">
      <c r="A168" s="1015"/>
      <c r="B168" s="1025"/>
      <c r="C168" s="356">
        <v>350</v>
      </c>
      <c r="D168" s="356"/>
      <c r="E168" s="356">
        <v>350</v>
      </c>
      <c r="F168" s="356"/>
      <c r="G168" s="356"/>
      <c r="H168" s="356"/>
      <c r="I168" s="423">
        <v>2322</v>
      </c>
      <c r="J168" s="356"/>
      <c r="K168" s="356"/>
      <c r="U168" s="358"/>
      <c r="V168" s="358"/>
      <c r="W168" s="358"/>
      <c r="X168" s="357"/>
      <c r="Y168" s="362"/>
      <c r="Z168" s="357"/>
      <c r="AA168" s="358"/>
      <c r="AB168" s="346"/>
    </row>
    <row r="169" spans="1:28" ht="15">
      <c r="A169" s="1015">
        <v>31</v>
      </c>
      <c r="B169" s="1025" t="s">
        <v>1170</v>
      </c>
      <c r="C169" s="363">
        <f aca="true" t="shared" si="35" ref="C169:K169">SUM(C170:C173)</f>
        <v>4861</v>
      </c>
      <c r="D169" s="363">
        <f t="shared" si="35"/>
        <v>0</v>
      </c>
      <c r="E169" s="363">
        <f t="shared" si="35"/>
        <v>4861</v>
      </c>
      <c r="F169" s="363">
        <f t="shared" si="35"/>
        <v>0</v>
      </c>
      <c r="G169" s="363">
        <f t="shared" si="35"/>
        <v>4866</v>
      </c>
      <c r="H169" s="363">
        <f t="shared" si="35"/>
        <v>0</v>
      </c>
      <c r="I169" s="424"/>
      <c r="J169" s="363">
        <f t="shared" si="35"/>
        <v>3040</v>
      </c>
      <c r="K169" s="363">
        <f t="shared" si="35"/>
        <v>0</v>
      </c>
      <c r="U169" s="346"/>
      <c r="V169" s="346"/>
      <c r="W169" s="346"/>
      <c r="X169" s="354"/>
      <c r="Y169" s="346"/>
      <c r="Z169" s="354"/>
      <c r="AA169" s="346"/>
      <c r="AB169" s="346"/>
    </row>
    <row r="170" spans="1:28" ht="15">
      <c r="A170" s="1015"/>
      <c r="B170" s="1025"/>
      <c r="C170" s="350">
        <v>2640</v>
      </c>
      <c r="D170" s="350"/>
      <c r="E170" s="350">
        <v>2640</v>
      </c>
      <c r="F170" s="350"/>
      <c r="G170" s="350">
        <v>2640</v>
      </c>
      <c r="H170" s="356"/>
      <c r="I170" s="420">
        <v>1150</v>
      </c>
      <c r="J170" s="350"/>
      <c r="K170" s="352"/>
      <c r="U170" s="346"/>
      <c r="V170" s="346"/>
      <c r="W170" s="346"/>
      <c r="X170" s="354"/>
      <c r="Y170" s="346"/>
      <c r="Z170" s="354"/>
      <c r="AA170" s="346"/>
      <c r="AB170" s="346"/>
    </row>
    <row r="171" spans="1:28" ht="15">
      <c r="A171" s="1015"/>
      <c r="B171" s="1025"/>
      <c r="C171" s="360">
        <v>636</v>
      </c>
      <c r="D171" s="360"/>
      <c r="E171" s="360">
        <v>636</v>
      </c>
      <c r="F171" s="360"/>
      <c r="G171" s="360">
        <v>636</v>
      </c>
      <c r="H171" s="356"/>
      <c r="I171" s="420">
        <v>1210</v>
      </c>
      <c r="J171" s="360"/>
      <c r="K171" s="356"/>
      <c r="U171" s="346"/>
      <c r="V171" s="346"/>
      <c r="W171" s="346"/>
      <c r="X171" s="354"/>
      <c r="Y171" s="346"/>
      <c r="Z171" s="354"/>
      <c r="AA171" s="346"/>
      <c r="AB171" s="346"/>
    </row>
    <row r="172" spans="1:28" ht="15">
      <c r="A172" s="1015"/>
      <c r="B172" s="1025"/>
      <c r="C172" s="360">
        <v>635</v>
      </c>
      <c r="D172" s="360"/>
      <c r="E172" s="360">
        <v>635</v>
      </c>
      <c r="F172" s="360"/>
      <c r="G172" s="360">
        <v>640</v>
      </c>
      <c r="H172" s="356"/>
      <c r="I172" s="420">
        <v>2279</v>
      </c>
      <c r="J172" s="360">
        <v>640</v>
      </c>
      <c r="K172" s="356"/>
      <c r="U172" s="346"/>
      <c r="V172" s="346"/>
      <c r="W172" s="346"/>
      <c r="X172" s="354"/>
      <c r="Y172" s="346"/>
      <c r="Z172" s="354"/>
      <c r="AA172" s="346"/>
      <c r="AB172" s="346"/>
    </row>
    <row r="173" spans="1:28" ht="15">
      <c r="A173" s="1015"/>
      <c r="B173" s="1025"/>
      <c r="C173" s="360">
        <v>950</v>
      </c>
      <c r="D173" s="360"/>
      <c r="E173" s="360">
        <v>950</v>
      </c>
      <c r="F173" s="360"/>
      <c r="G173" s="360">
        <v>950</v>
      </c>
      <c r="H173" s="356"/>
      <c r="I173" s="420">
        <v>2390</v>
      </c>
      <c r="J173" s="360">
        <v>2400</v>
      </c>
      <c r="K173" s="356"/>
      <c r="U173" s="346"/>
      <c r="V173" s="346"/>
      <c r="W173" s="346"/>
      <c r="X173" s="354"/>
      <c r="Y173" s="346"/>
      <c r="Z173" s="354"/>
      <c r="AA173" s="346"/>
      <c r="AB173" s="346"/>
    </row>
    <row r="174" spans="1:28" ht="12.75" customHeight="1">
      <c r="A174" s="1028">
        <v>32</v>
      </c>
      <c r="B174" s="1025" t="s">
        <v>1171</v>
      </c>
      <c r="C174" s="347">
        <f aca="true" t="shared" si="36" ref="C174:K174">C175</f>
        <v>0</v>
      </c>
      <c r="D174" s="347">
        <f t="shared" si="36"/>
        <v>0</v>
      </c>
      <c r="E174" s="347">
        <f t="shared" si="36"/>
        <v>0</v>
      </c>
      <c r="F174" s="347">
        <f t="shared" si="36"/>
        <v>0</v>
      </c>
      <c r="G174" s="347">
        <f t="shared" si="36"/>
        <v>2400</v>
      </c>
      <c r="H174" s="347">
        <f t="shared" si="36"/>
        <v>0</v>
      </c>
      <c r="I174" s="421"/>
      <c r="J174" s="347">
        <f t="shared" si="36"/>
        <v>0</v>
      </c>
      <c r="K174" s="347">
        <f t="shared" si="36"/>
        <v>0</v>
      </c>
      <c r="U174" s="346"/>
      <c r="V174" s="346"/>
      <c r="W174" s="346"/>
      <c r="X174" s="354"/>
      <c r="Y174" s="346"/>
      <c r="Z174" s="354"/>
      <c r="AA174" s="346"/>
      <c r="AB174" s="346"/>
    </row>
    <row r="175" spans="1:28" ht="12.75" customHeight="1">
      <c r="A175" s="1029"/>
      <c r="B175" s="1025"/>
      <c r="C175" s="360"/>
      <c r="D175" s="360"/>
      <c r="E175" s="360"/>
      <c r="F175" s="360"/>
      <c r="G175" s="360">
        <v>2400</v>
      </c>
      <c r="H175" s="356"/>
      <c r="I175" s="420">
        <v>2390</v>
      </c>
      <c r="J175" s="360"/>
      <c r="K175" s="356"/>
      <c r="U175" s="346"/>
      <c r="V175" s="346"/>
      <c r="W175" s="346"/>
      <c r="X175" s="354"/>
      <c r="Y175" s="346"/>
      <c r="Z175" s="354"/>
      <c r="AA175" s="346"/>
      <c r="AB175" s="346"/>
    </row>
    <row r="176" spans="1:28" ht="15">
      <c r="A176" s="429">
        <v>33</v>
      </c>
      <c r="B176" s="433" t="s">
        <v>1172</v>
      </c>
      <c r="C176" s="434">
        <f>SUM(C177:C190)</f>
        <v>2370</v>
      </c>
      <c r="D176" s="434">
        <f aca="true" t="shared" si="37" ref="D176:K176">SUM(D177:D190)</f>
        <v>1650</v>
      </c>
      <c r="E176" s="434">
        <f t="shared" si="37"/>
        <v>2370</v>
      </c>
      <c r="F176" s="434">
        <f t="shared" si="37"/>
        <v>1650</v>
      </c>
      <c r="G176" s="434">
        <f t="shared" si="37"/>
        <v>5400</v>
      </c>
      <c r="H176" s="434">
        <f t="shared" si="37"/>
        <v>1650</v>
      </c>
      <c r="I176" s="435"/>
      <c r="J176" s="434">
        <f t="shared" si="37"/>
        <v>5400</v>
      </c>
      <c r="K176" s="434">
        <f t="shared" si="37"/>
        <v>1650</v>
      </c>
      <c r="U176" s="346"/>
      <c r="V176" s="346"/>
      <c r="W176" s="346"/>
      <c r="X176" s="354"/>
      <c r="Y176" s="346"/>
      <c r="Z176" s="354"/>
      <c r="AA176" s="346"/>
      <c r="AB176" s="346"/>
    </row>
    <row r="177" spans="1:26" s="346" customFormat="1" ht="15">
      <c r="A177" s="1026" t="s">
        <v>1412</v>
      </c>
      <c r="B177" s="1027" t="s">
        <v>1173</v>
      </c>
      <c r="C177" s="360">
        <v>380</v>
      </c>
      <c r="D177" s="360">
        <v>0</v>
      </c>
      <c r="E177" s="360">
        <v>380</v>
      </c>
      <c r="F177" s="360">
        <v>0</v>
      </c>
      <c r="G177" s="361"/>
      <c r="H177" s="350">
        <v>0</v>
      </c>
      <c r="I177" s="420">
        <v>1150</v>
      </c>
      <c r="J177" s="365"/>
      <c r="K177" s="366"/>
      <c r="L177"/>
      <c r="M177"/>
      <c r="N177"/>
      <c r="O177"/>
      <c r="P177"/>
      <c r="Q177"/>
      <c r="R177"/>
      <c r="S177"/>
      <c r="T177"/>
      <c r="X177" s="354"/>
      <c r="Z177" s="354"/>
    </row>
    <row r="178" spans="1:26" s="346" customFormat="1" ht="15">
      <c r="A178" s="1026"/>
      <c r="B178" s="1027"/>
      <c r="C178" s="360">
        <v>870</v>
      </c>
      <c r="D178" s="360">
        <v>0</v>
      </c>
      <c r="E178" s="360">
        <v>870</v>
      </c>
      <c r="F178" s="360">
        <v>0</v>
      </c>
      <c r="G178" s="361"/>
      <c r="H178" s="350">
        <v>0</v>
      </c>
      <c r="I178" s="420">
        <v>2390</v>
      </c>
      <c r="J178" s="365"/>
      <c r="K178" s="366"/>
      <c r="L178"/>
      <c r="M178"/>
      <c r="N178"/>
      <c r="O178"/>
      <c r="P178"/>
      <c r="Q178"/>
      <c r="R178"/>
      <c r="S178"/>
      <c r="T178"/>
      <c r="X178" s="354"/>
      <c r="Z178" s="354"/>
    </row>
    <row r="179" spans="1:26" s="346" customFormat="1" ht="15">
      <c r="A179" s="1026" t="s">
        <v>1413</v>
      </c>
      <c r="B179" s="1027" t="s">
        <v>1174</v>
      </c>
      <c r="C179" s="360">
        <v>420</v>
      </c>
      <c r="D179" s="360">
        <v>0</v>
      </c>
      <c r="E179" s="360">
        <v>420</v>
      </c>
      <c r="F179" s="360">
        <v>0</v>
      </c>
      <c r="G179" s="361"/>
      <c r="H179" s="350">
        <v>0</v>
      </c>
      <c r="I179" s="420">
        <v>1150</v>
      </c>
      <c r="J179" s="365"/>
      <c r="K179" s="366"/>
      <c r="L179"/>
      <c r="M179"/>
      <c r="N179"/>
      <c r="O179"/>
      <c r="P179"/>
      <c r="Q179"/>
      <c r="R179"/>
      <c r="S179"/>
      <c r="T179"/>
      <c r="X179" s="354"/>
      <c r="Z179" s="354"/>
    </row>
    <row r="180" spans="1:26" s="346" customFormat="1" ht="15">
      <c r="A180" s="1026"/>
      <c r="B180" s="1027"/>
      <c r="C180" s="360">
        <v>700</v>
      </c>
      <c r="D180" s="360">
        <v>0</v>
      </c>
      <c r="E180" s="360">
        <v>700</v>
      </c>
      <c r="F180" s="360">
        <v>0</v>
      </c>
      <c r="G180" s="361"/>
      <c r="H180" s="350">
        <v>0</v>
      </c>
      <c r="I180" s="420">
        <v>2390</v>
      </c>
      <c r="J180" s="365"/>
      <c r="K180" s="366"/>
      <c r="L180"/>
      <c r="M180"/>
      <c r="N180"/>
      <c r="O180"/>
      <c r="P180"/>
      <c r="Q180"/>
      <c r="R180"/>
      <c r="S180"/>
      <c r="T180"/>
      <c r="X180" s="354"/>
      <c r="Z180" s="354"/>
    </row>
    <row r="181" spans="1:26" s="346" customFormat="1" ht="15">
      <c r="A181" s="1026" t="s">
        <v>1414</v>
      </c>
      <c r="B181" s="1027" t="s">
        <v>1175</v>
      </c>
      <c r="C181" s="360">
        <v>0</v>
      </c>
      <c r="D181" s="360">
        <v>650</v>
      </c>
      <c r="E181" s="360"/>
      <c r="F181" s="360">
        <v>650</v>
      </c>
      <c r="G181" s="360"/>
      <c r="H181" s="350">
        <v>0</v>
      </c>
      <c r="I181" s="420">
        <v>1150</v>
      </c>
      <c r="J181" s="365"/>
      <c r="K181" s="366"/>
      <c r="L181"/>
      <c r="M181"/>
      <c r="N181"/>
      <c r="O181"/>
      <c r="P181"/>
      <c r="Q181"/>
      <c r="R181"/>
      <c r="S181"/>
      <c r="T181"/>
      <c r="X181" s="354"/>
      <c r="Z181" s="354"/>
    </row>
    <row r="182" spans="1:26" s="346" customFormat="1" ht="15">
      <c r="A182" s="1026"/>
      <c r="B182" s="1027"/>
      <c r="C182" s="360">
        <v>0</v>
      </c>
      <c r="D182" s="360">
        <v>165</v>
      </c>
      <c r="E182" s="360">
        <v>0</v>
      </c>
      <c r="F182" s="360">
        <v>165</v>
      </c>
      <c r="G182" s="360"/>
      <c r="H182" s="360">
        <v>0</v>
      </c>
      <c r="I182" s="420">
        <v>2312</v>
      </c>
      <c r="J182" s="365"/>
      <c r="K182" s="366"/>
      <c r="L182"/>
      <c r="M182"/>
      <c r="N182"/>
      <c r="O182"/>
      <c r="P182"/>
      <c r="Q182"/>
      <c r="R182"/>
      <c r="S182"/>
      <c r="T182"/>
      <c r="X182" s="354"/>
      <c r="Z182" s="354"/>
    </row>
    <row r="183" spans="1:26" s="346" customFormat="1" ht="15">
      <c r="A183" s="1026"/>
      <c r="B183" s="1027"/>
      <c r="C183" s="360">
        <v>0</v>
      </c>
      <c r="D183" s="360">
        <v>835</v>
      </c>
      <c r="E183" s="360"/>
      <c r="F183" s="360">
        <v>835</v>
      </c>
      <c r="G183" s="360"/>
      <c r="H183" s="360">
        <v>0</v>
      </c>
      <c r="I183" s="420">
        <v>2390</v>
      </c>
      <c r="J183" s="365"/>
      <c r="K183" s="366"/>
      <c r="L183"/>
      <c r="M183"/>
      <c r="N183"/>
      <c r="O183"/>
      <c r="P183"/>
      <c r="Q183"/>
      <c r="R183"/>
      <c r="S183"/>
      <c r="T183"/>
      <c r="X183" s="354"/>
      <c r="Z183" s="354"/>
    </row>
    <row r="184" spans="1:28" ht="15">
      <c r="A184" s="1023" t="s">
        <v>1415</v>
      </c>
      <c r="B184" s="1024" t="s">
        <v>1176</v>
      </c>
      <c r="C184" s="356"/>
      <c r="D184" s="356"/>
      <c r="E184" s="356"/>
      <c r="F184" s="356"/>
      <c r="G184" s="356">
        <v>1750</v>
      </c>
      <c r="H184" s="356"/>
      <c r="I184" s="423">
        <v>1150</v>
      </c>
      <c r="J184" s="360">
        <v>1750</v>
      </c>
      <c r="K184" s="356"/>
      <c r="U184" s="346"/>
      <c r="V184" s="346"/>
      <c r="W184" s="346"/>
      <c r="X184" s="354"/>
      <c r="Y184" s="346"/>
      <c r="Z184" s="354"/>
      <c r="AA184" s="346"/>
      <c r="AB184" s="346"/>
    </row>
    <row r="185" spans="1:28" ht="15">
      <c r="A185" s="1023"/>
      <c r="B185" s="1024"/>
      <c r="C185" s="356"/>
      <c r="D185" s="356"/>
      <c r="E185" s="356"/>
      <c r="F185" s="356"/>
      <c r="G185" s="356">
        <v>1950</v>
      </c>
      <c r="H185" s="356"/>
      <c r="I185" s="423">
        <v>2390</v>
      </c>
      <c r="J185" s="360">
        <v>1950</v>
      </c>
      <c r="K185" s="356"/>
      <c r="U185" s="346"/>
      <c r="V185" s="346"/>
      <c r="W185" s="346"/>
      <c r="X185" s="354"/>
      <c r="Y185" s="346"/>
      <c r="Z185" s="359"/>
      <c r="AA185" s="346"/>
      <c r="AB185" s="346"/>
    </row>
    <row r="186" spans="1:26" ht="15">
      <c r="A186" s="1023" t="s">
        <v>1416</v>
      </c>
      <c r="B186" s="1024" t="s">
        <v>1177</v>
      </c>
      <c r="C186" s="356"/>
      <c r="D186" s="356"/>
      <c r="E186" s="356"/>
      <c r="F186" s="356"/>
      <c r="G186" s="356">
        <v>500</v>
      </c>
      <c r="H186" s="356"/>
      <c r="I186" s="423">
        <v>1150</v>
      </c>
      <c r="J186" s="360">
        <v>500</v>
      </c>
      <c r="K186" s="356"/>
      <c r="X186" s="364"/>
      <c r="Z186" s="364"/>
    </row>
    <row r="187" spans="1:26" ht="15">
      <c r="A187" s="1023"/>
      <c r="B187" s="1024"/>
      <c r="C187" s="356"/>
      <c r="D187" s="356"/>
      <c r="E187" s="356"/>
      <c r="F187" s="356"/>
      <c r="G187" s="356">
        <v>800</v>
      </c>
      <c r="H187" s="356"/>
      <c r="I187" s="423">
        <v>2390</v>
      </c>
      <c r="J187" s="360">
        <v>800</v>
      </c>
      <c r="K187" s="356"/>
      <c r="X187" s="364"/>
      <c r="Z187" s="364"/>
    </row>
    <row r="188" spans="1:11" ht="12.75" customHeight="1">
      <c r="A188" s="367" t="s">
        <v>1417</v>
      </c>
      <c r="B188" s="368" t="s">
        <v>1178</v>
      </c>
      <c r="C188" s="356"/>
      <c r="D188" s="356"/>
      <c r="E188" s="356"/>
      <c r="F188" s="356"/>
      <c r="G188" s="356">
        <v>400</v>
      </c>
      <c r="H188" s="356"/>
      <c r="I188" s="423">
        <v>2390</v>
      </c>
      <c r="J188" s="360">
        <v>400</v>
      </c>
      <c r="K188" s="356"/>
    </row>
    <row r="189" spans="1:11" ht="12.75" customHeight="1">
      <c r="A189" s="1023" t="s">
        <v>1418</v>
      </c>
      <c r="B189" s="1024" t="s">
        <v>1179</v>
      </c>
      <c r="C189" s="356"/>
      <c r="D189" s="356"/>
      <c r="E189" s="356"/>
      <c r="F189" s="356"/>
      <c r="G189" s="356"/>
      <c r="H189" s="356">
        <v>650</v>
      </c>
      <c r="I189" s="423">
        <v>1150</v>
      </c>
      <c r="J189" s="360"/>
      <c r="K189" s="356">
        <v>650</v>
      </c>
    </row>
    <row r="190" spans="1:11" ht="12.75" customHeight="1">
      <c r="A190" s="1023"/>
      <c r="B190" s="1024"/>
      <c r="C190" s="356"/>
      <c r="D190" s="356"/>
      <c r="E190" s="356"/>
      <c r="F190" s="356"/>
      <c r="G190" s="356"/>
      <c r="H190" s="356">
        <v>1000</v>
      </c>
      <c r="I190" s="423">
        <v>2390</v>
      </c>
      <c r="J190" s="360"/>
      <c r="K190" s="356">
        <v>1000</v>
      </c>
    </row>
    <row r="191" spans="1:11" ht="15">
      <c r="A191" s="436"/>
      <c r="B191" s="433" t="s">
        <v>1180</v>
      </c>
      <c r="C191" s="428">
        <f aca="true" t="shared" si="38" ref="C191:H191">SUM(C192,C193,C197,C202,C204,C206,C208,C209,C210,C211,C213,C214,C215,C222,C223,C224,C221,C225)</f>
        <v>35425</v>
      </c>
      <c r="D191" s="428">
        <f t="shared" si="38"/>
        <v>0</v>
      </c>
      <c r="E191" s="428">
        <f t="shared" si="38"/>
        <v>33065.2</v>
      </c>
      <c r="F191" s="428">
        <f t="shared" si="38"/>
        <v>0</v>
      </c>
      <c r="G191" s="428">
        <f t="shared" si="38"/>
        <v>51620</v>
      </c>
      <c r="H191" s="428">
        <f t="shared" si="38"/>
        <v>0</v>
      </c>
      <c r="I191" s="431"/>
      <c r="J191" s="428">
        <f>SUM(J192,J193,J197,J202,J204,J206,J208,J209,J210,J211,J213,J214,J215,J222,J223,J224,J221,J225)</f>
        <v>49705</v>
      </c>
      <c r="K191" s="428">
        <f>SUM(K192,K193,K197,K202,K204,K206,K208,K209,K210,K211,K213,K214,K215,K222,K223,K224)</f>
        <v>0</v>
      </c>
    </row>
    <row r="192" spans="1:11" ht="25.5">
      <c r="A192" s="355">
        <v>38</v>
      </c>
      <c r="B192" s="369" t="s">
        <v>1181</v>
      </c>
      <c r="C192" s="348">
        <v>3500</v>
      </c>
      <c r="D192" s="348">
        <v>0</v>
      </c>
      <c r="E192" s="348">
        <v>2640</v>
      </c>
      <c r="F192" s="348">
        <v>0</v>
      </c>
      <c r="G192" s="370">
        <v>3500</v>
      </c>
      <c r="H192" s="348"/>
      <c r="I192" s="420">
        <v>2279</v>
      </c>
      <c r="J192" s="350">
        <v>3500</v>
      </c>
      <c r="K192" s="352"/>
    </row>
    <row r="193" spans="1:11" ht="15">
      <c r="A193" s="1015">
        <v>39</v>
      </c>
      <c r="B193" s="1016" t="s">
        <v>1182</v>
      </c>
      <c r="C193" s="348">
        <f aca="true" t="shared" si="39" ref="C193:K193">SUM(C194:C196)</f>
        <v>1540</v>
      </c>
      <c r="D193" s="348">
        <f t="shared" si="39"/>
        <v>0</v>
      </c>
      <c r="E193" s="348">
        <f t="shared" si="39"/>
        <v>1540</v>
      </c>
      <c r="F193" s="348">
        <f t="shared" si="39"/>
        <v>0</v>
      </c>
      <c r="G193" s="348">
        <f t="shared" si="39"/>
        <v>1540</v>
      </c>
      <c r="H193" s="348">
        <f t="shared" si="39"/>
        <v>0</v>
      </c>
      <c r="I193" s="421"/>
      <c r="J193" s="348">
        <f t="shared" si="39"/>
        <v>1540</v>
      </c>
      <c r="K193" s="348">
        <f t="shared" si="39"/>
        <v>0</v>
      </c>
    </row>
    <row r="194" spans="1:11" ht="15">
      <c r="A194" s="1015"/>
      <c r="B194" s="1016"/>
      <c r="C194" s="350">
        <v>1400</v>
      </c>
      <c r="D194" s="350"/>
      <c r="E194" s="350">
        <v>1400</v>
      </c>
      <c r="F194" s="350"/>
      <c r="G194" s="351">
        <v>1400</v>
      </c>
      <c r="H194" s="350"/>
      <c r="I194" s="420">
        <v>1150</v>
      </c>
      <c r="J194" s="360">
        <v>1400</v>
      </c>
      <c r="K194" s="360"/>
    </row>
    <row r="195" spans="1:11" ht="15">
      <c r="A195" s="1015"/>
      <c r="B195" s="1016"/>
      <c r="C195" s="350">
        <v>90</v>
      </c>
      <c r="D195" s="350"/>
      <c r="E195" s="350">
        <v>84.57</v>
      </c>
      <c r="F195" s="350"/>
      <c r="G195" s="351">
        <v>90</v>
      </c>
      <c r="H195" s="350"/>
      <c r="I195" s="420">
        <v>2231</v>
      </c>
      <c r="J195" s="360">
        <v>90</v>
      </c>
      <c r="K195" s="360"/>
    </row>
    <row r="196" spans="1:11" ht="15">
      <c r="A196" s="1015"/>
      <c r="B196" s="1016"/>
      <c r="C196" s="350">
        <v>50</v>
      </c>
      <c r="D196" s="350"/>
      <c r="E196" s="350">
        <v>55.43</v>
      </c>
      <c r="F196" s="350"/>
      <c r="G196" s="351">
        <v>50</v>
      </c>
      <c r="H196" s="350"/>
      <c r="I196" s="420">
        <v>2390</v>
      </c>
      <c r="J196" s="360">
        <v>50</v>
      </c>
      <c r="K196" s="360"/>
    </row>
    <row r="197" spans="1:11" ht="12" customHeight="1">
      <c r="A197" s="1015">
        <v>40</v>
      </c>
      <c r="B197" s="1016" t="s">
        <v>1183</v>
      </c>
      <c r="C197" s="348">
        <f aca="true" t="shared" si="40" ref="C197:K197">SUM(C198:C201)</f>
        <v>1500</v>
      </c>
      <c r="D197" s="348">
        <f t="shared" si="40"/>
        <v>0</v>
      </c>
      <c r="E197" s="348">
        <f t="shared" si="40"/>
        <v>1500.2</v>
      </c>
      <c r="F197" s="348">
        <f t="shared" si="40"/>
        <v>0</v>
      </c>
      <c r="G197" s="348">
        <f t="shared" si="40"/>
        <v>5000</v>
      </c>
      <c r="H197" s="348">
        <f t="shared" si="40"/>
        <v>0</v>
      </c>
      <c r="I197" s="421"/>
      <c r="J197" s="348">
        <f t="shared" si="40"/>
        <v>5000</v>
      </c>
      <c r="K197" s="348">
        <f t="shared" si="40"/>
        <v>0</v>
      </c>
    </row>
    <row r="198" spans="1:11" ht="15">
      <c r="A198" s="1015"/>
      <c r="B198" s="1016"/>
      <c r="C198" s="360">
        <v>800</v>
      </c>
      <c r="D198" s="360"/>
      <c r="E198" s="360">
        <v>800</v>
      </c>
      <c r="F198" s="360"/>
      <c r="G198" s="361"/>
      <c r="H198" s="360"/>
      <c r="I198" s="420">
        <v>1150</v>
      </c>
      <c r="J198" s="360"/>
      <c r="K198" s="360"/>
    </row>
    <row r="199" spans="1:11" ht="15">
      <c r="A199" s="1015"/>
      <c r="B199" s="1016"/>
      <c r="C199" s="360">
        <v>500</v>
      </c>
      <c r="D199" s="360"/>
      <c r="E199" s="360">
        <v>500.2</v>
      </c>
      <c r="F199" s="360"/>
      <c r="G199" s="361"/>
      <c r="H199" s="360"/>
      <c r="I199" s="420">
        <v>2264</v>
      </c>
      <c r="J199" s="360"/>
      <c r="K199" s="360"/>
    </row>
    <row r="200" spans="1:11" ht="15">
      <c r="A200" s="1015"/>
      <c r="B200" s="1016"/>
      <c r="C200" s="360">
        <v>0</v>
      </c>
      <c r="D200" s="360"/>
      <c r="E200" s="360">
        <v>0</v>
      </c>
      <c r="F200" s="360"/>
      <c r="G200" s="361">
        <v>5000</v>
      </c>
      <c r="H200" s="360"/>
      <c r="I200" s="420">
        <v>2279</v>
      </c>
      <c r="J200" s="360">
        <v>5000</v>
      </c>
      <c r="K200" s="360"/>
    </row>
    <row r="201" spans="1:11" ht="15">
      <c r="A201" s="1015"/>
      <c r="B201" s="1016"/>
      <c r="C201" s="360">
        <v>200</v>
      </c>
      <c r="D201" s="360"/>
      <c r="E201" s="360">
        <v>200</v>
      </c>
      <c r="F201" s="360"/>
      <c r="G201" s="361"/>
      <c r="H201" s="360"/>
      <c r="I201" s="420">
        <v>2390</v>
      </c>
      <c r="J201" s="360"/>
      <c r="K201" s="360"/>
    </row>
    <row r="202" spans="1:11" ht="15">
      <c r="A202" s="355"/>
      <c r="B202" s="1016" t="s">
        <v>1184</v>
      </c>
      <c r="C202" s="348">
        <f aca="true" t="shared" si="41" ref="C202:K202">SUM(C203:C203)</f>
        <v>680</v>
      </c>
      <c r="D202" s="348">
        <f t="shared" si="41"/>
        <v>0</v>
      </c>
      <c r="E202" s="348">
        <f t="shared" si="41"/>
        <v>680</v>
      </c>
      <c r="F202" s="348">
        <f t="shared" si="41"/>
        <v>0</v>
      </c>
      <c r="G202" s="348">
        <f t="shared" si="41"/>
        <v>680</v>
      </c>
      <c r="H202" s="348">
        <f t="shared" si="41"/>
        <v>0</v>
      </c>
      <c r="I202" s="421"/>
      <c r="J202" s="348">
        <f t="shared" si="41"/>
        <v>1465</v>
      </c>
      <c r="K202" s="348">
        <f t="shared" si="41"/>
        <v>0</v>
      </c>
    </row>
    <row r="203" spans="1:11" ht="15">
      <c r="A203" s="355">
        <v>41</v>
      </c>
      <c r="B203" s="1016"/>
      <c r="C203" s="350">
        <v>680</v>
      </c>
      <c r="D203" s="350"/>
      <c r="E203" s="350">
        <v>680</v>
      </c>
      <c r="F203" s="350"/>
      <c r="G203" s="351">
        <v>680</v>
      </c>
      <c r="H203" s="350"/>
      <c r="I203" s="420">
        <v>2279</v>
      </c>
      <c r="J203" s="360">
        <v>1465</v>
      </c>
      <c r="K203" s="360"/>
    </row>
    <row r="204" spans="1:11" ht="15">
      <c r="A204" s="355"/>
      <c r="B204" s="1016" t="s">
        <v>1185</v>
      </c>
      <c r="C204" s="348">
        <f aca="true" t="shared" si="42" ref="C204:K204">SUM(C205:C205)</f>
        <v>4200</v>
      </c>
      <c r="D204" s="348">
        <f t="shared" si="42"/>
        <v>0</v>
      </c>
      <c r="E204" s="348">
        <f t="shared" si="42"/>
        <v>4200</v>
      </c>
      <c r="F204" s="348">
        <f t="shared" si="42"/>
        <v>0</v>
      </c>
      <c r="G204" s="348">
        <f t="shared" si="42"/>
        <v>4200</v>
      </c>
      <c r="H204" s="348">
        <f t="shared" si="42"/>
        <v>0</v>
      </c>
      <c r="I204" s="421"/>
      <c r="J204" s="348">
        <f t="shared" si="42"/>
        <v>4200</v>
      </c>
      <c r="K204" s="348">
        <f t="shared" si="42"/>
        <v>0</v>
      </c>
    </row>
    <row r="205" spans="1:11" ht="15">
      <c r="A205" s="355">
        <v>42</v>
      </c>
      <c r="B205" s="1016"/>
      <c r="C205" s="350">
        <v>4200</v>
      </c>
      <c r="D205" s="350"/>
      <c r="E205" s="350">
        <v>4200</v>
      </c>
      <c r="F205" s="350"/>
      <c r="G205" s="351">
        <v>4200</v>
      </c>
      <c r="H205" s="350"/>
      <c r="I205" s="420">
        <v>2279</v>
      </c>
      <c r="J205" s="360">
        <v>4200</v>
      </c>
      <c r="K205" s="360"/>
    </row>
    <row r="206" spans="1:11" ht="15">
      <c r="A206" s="1015">
        <v>43</v>
      </c>
      <c r="B206" s="1016" t="s">
        <v>1186</v>
      </c>
      <c r="C206" s="348">
        <f aca="true" t="shared" si="43" ref="C206:K206">SUM(C207:C207)</f>
        <v>800</v>
      </c>
      <c r="D206" s="348">
        <f t="shared" si="43"/>
        <v>0</v>
      </c>
      <c r="E206" s="348">
        <f t="shared" si="43"/>
        <v>800</v>
      </c>
      <c r="F206" s="348">
        <f t="shared" si="43"/>
        <v>0</v>
      </c>
      <c r="G206" s="348">
        <f t="shared" si="43"/>
        <v>1500</v>
      </c>
      <c r="H206" s="348">
        <f t="shared" si="43"/>
        <v>0</v>
      </c>
      <c r="I206" s="421"/>
      <c r="J206" s="348">
        <f t="shared" si="43"/>
        <v>800</v>
      </c>
      <c r="K206" s="348">
        <f t="shared" si="43"/>
        <v>0</v>
      </c>
    </row>
    <row r="207" spans="1:11" ht="15">
      <c r="A207" s="1015"/>
      <c r="B207" s="1016"/>
      <c r="C207" s="350">
        <v>800</v>
      </c>
      <c r="D207" s="350"/>
      <c r="E207" s="350">
        <v>800</v>
      </c>
      <c r="F207" s="350"/>
      <c r="G207" s="351">
        <v>1500</v>
      </c>
      <c r="H207" s="350"/>
      <c r="I207" s="420">
        <v>2279</v>
      </c>
      <c r="J207" s="360">
        <v>800</v>
      </c>
      <c r="K207" s="360"/>
    </row>
    <row r="208" spans="1:11" ht="15">
      <c r="A208" s="355">
        <v>44</v>
      </c>
      <c r="B208" s="369" t="s">
        <v>1187</v>
      </c>
      <c r="C208" s="348">
        <v>500</v>
      </c>
      <c r="D208" s="348">
        <v>0</v>
      </c>
      <c r="E208" s="348">
        <v>500</v>
      </c>
      <c r="F208" s="348"/>
      <c r="G208" s="370">
        <v>500</v>
      </c>
      <c r="H208" s="350"/>
      <c r="I208" s="420">
        <v>2279</v>
      </c>
      <c r="J208" s="360">
        <v>500</v>
      </c>
      <c r="K208" s="360"/>
    </row>
    <row r="209" spans="1:11" ht="25.5">
      <c r="A209" s="355">
        <v>45</v>
      </c>
      <c r="B209" s="369" t="s">
        <v>1188</v>
      </c>
      <c r="C209" s="348">
        <v>1500</v>
      </c>
      <c r="D209" s="348">
        <v>0</v>
      </c>
      <c r="E209" s="348">
        <v>0</v>
      </c>
      <c r="F209" s="348"/>
      <c r="G209" s="370">
        <v>1500</v>
      </c>
      <c r="H209" s="350"/>
      <c r="I209" s="420">
        <v>2279</v>
      </c>
      <c r="J209" s="360"/>
      <c r="K209" s="360"/>
    </row>
    <row r="210" spans="1:11" ht="25.5">
      <c r="A210" s="355">
        <v>46</v>
      </c>
      <c r="B210" s="369" t="s">
        <v>1189</v>
      </c>
      <c r="C210" s="348">
        <v>4000</v>
      </c>
      <c r="D210" s="348">
        <v>0</v>
      </c>
      <c r="E210" s="348">
        <v>4000</v>
      </c>
      <c r="F210" s="348"/>
      <c r="G210" s="370">
        <v>4000</v>
      </c>
      <c r="H210" s="350"/>
      <c r="I210" s="420">
        <v>2279</v>
      </c>
      <c r="J210" s="360">
        <v>4000</v>
      </c>
      <c r="K210" s="360"/>
    </row>
    <row r="211" spans="1:11" ht="15">
      <c r="A211" s="1015">
        <v>47</v>
      </c>
      <c r="B211" s="1016" t="s">
        <v>1190</v>
      </c>
      <c r="C211" s="348">
        <f aca="true" t="shared" si="44" ref="C211:K211">SUM(C212:C212)</f>
        <v>1500</v>
      </c>
      <c r="D211" s="348">
        <f t="shared" si="44"/>
        <v>0</v>
      </c>
      <c r="E211" s="348">
        <f t="shared" si="44"/>
        <v>1500</v>
      </c>
      <c r="F211" s="348">
        <f t="shared" si="44"/>
        <v>0</v>
      </c>
      <c r="G211" s="348">
        <f t="shared" si="44"/>
        <v>1500</v>
      </c>
      <c r="H211" s="348">
        <f t="shared" si="44"/>
        <v>0</v>
      </c>
      <c r="I211" s="421"/>
      <c r="J211" s="348">
        <f t="shared" si="44"/>
        <v>1500</v>
      </c>
      <c r="K211" s="348">
        <f t="shared" si="44"/>
        <v>0</v>
      </c>
    </row>
    <row r="212" spans="1:11" ht="15">
      <c r="A212" s="1015"/>
      <c r="B212" s="1016"/>
      <c r="C212" s="356">
        <v>1500</v>
      </c>
      <c r="D212" s="356"/>
      <c r="E212" s="356">
        <v>1500</v>
      </c>
      <c r="F212" s="356"/>
      <c r="G212" s="356">
        <v>1500</v>
      </c>
      <c r="H212" s="360"/>
      <c r="I212" s="420">
        <v>2279</v>
      </c>
      <c r="J212" s="360">
        <v>1500</v>
      </c>
      <c r="K212" s="360"/>
    </row>
    <row r="213" spans="1:11" ht="25.5">
      <c r="A213" s="355">
        <v>48</v>
      </c>
      <c r="B213" s="369" t="s">
        <v>1191</v>
      </c>
      <c r="C213" s="348">
        <v>7500</v>
      </c>
      <c r="D213" s="348">
        <v>0</v>
      </c>
      <c r="E213" s="348">
        <v>7500</v>
      </c>
      <c r="F213" s="348"/>
      <c r="G213" s="370">
        <v>7500</v>
      </c>
      <c r="H213" s="350"/>
      <c r="I213" s="420">
        <v>2279</v>
      </c>
      <c r="J213" s="347">
        <v>7500</v>
      </c>
      <c r="K213" s="360"/>
    </row>
    <row r="214" spans="1:11" ht="25.5">
      <c r="A214" s="355">
        <v>49</v>
      </c>
      <c r="B214" s="369" t="s">
        <v>1192</v>
      </c>
      <c r="C214" s="348">
        <v>1500</v>
      </c>
      <c r="D214" s="348">
        <v>0</v>
      </c>
      <c r="E214" s="348">
        <v>1500</v>
      </c>
      <c r="F214" s="348"/>
      <c r="G214" s="370">
        <v>2000</v>
      </c>
      <c r="H214" s="350"/>
      <c r="I214" s="420">
        <v>2279</v>
      </c>
      <c r="J214" s="347">
        <v>1500</v>
      </c>
      <c r="K214" s="360"/>
    </row>
    <row r="215" spans="1:11" ht="15">
      <c r="A215" s="1015">
        <v>50</v>
      </c>
      <c r="B215" s="1016" t="s">
        <v>1193</v>
      </c>
      <c r="C215" s="348">
        <f>SUM(C216:C220)</f>
        <v>855</v>
      </c>
      <c r="D215" s="348">
        <f aca="true" t="shared" si="45" ref="D215:K215">SUM(D216:D220)</f>
        <v>0</v>
      </c>
      <c r="E215" s="348">
        <f t="shared" si="45"/>
        <v>855</v>
      </c>
      <c r="F215" s="348">
        <f t="shared" si="45"/>
        <v>0</v>
      </c>
      <c r="G215" s="348">
        <f t="shared" si="45"/>
        <v>0</v>
      </c>
      <c r="H215" s="348">
        <f t="shared" si="45"/>
        <v>0</v>
      </c>
      <c r="I215" s="421"/>
      <c r="J215" s="348">
        <f t="shared" si="45"/>
        <v>0</v>
      </c>
      <c r="K215" s="348">
        <f t="shared" si="45"/>
        <v>0</v>
      </c>
    </row>
    <row r="216" spans="1:11" ht="15">
      <c r="A216" s="1015"/>
      <c r="B216" s="1016"/>
      <c r="C216" s="360">
        <v>160</v>
      </c>
      <c r="D216" s="360"/>
      <c r="E216" s="360">
        <v>160</v>
      </c>
      <c r="F216" s="360"/>
      <c r="G216" s="360"/>
      <c r="H216" s="360"/>
      <c r="I216" s="420">
        <v>1150</v>
      </c>
      <c r="J216" s="360"/>
      <c r="K216" s="360"/>
    </row>
    <row r="217" spans="1:11" ht="15">
      <c r="A217" s="1015"/>
      <c r="B217" s="1016"/>
      <c r="C217" s="360">
        <v>350</v>
      </c>
      <c r="D217" s="360"/>
      <c r="E217" s="360">
        <v>350</v>
      </c>
      <c r="F217" s="360"/>
      <c r="G217" s="360"/>
      <c r="H217" s="360"/>
      <c r="I217" s="420">
        <v>2231</v>
      </c>
      <c r="J217" s="360"/>
      <c r="K217" s="360"/>
    </row>
    <row r="218" spans="1:11" ht="15">
      <c r="A218" s="1015"/>
      <c r="B218" s="1016"/>
      <c r="C218" s="350">
        <v>50</v>
      </c>
      <c r="D218" s="350"/>
      <c r="E218" s="350">
        <v>50</v>
      </c>
      <c r="F218" s="350"/>
      <c r="G218" s="351"/>
      <c r="H218" s="350"/>
      <c r="I218" s="420">
        <v>2269</v>
      </c>
      <c r="J218" s="350"/>
      <c r="K218" s="352"/>
    </row>
    <row r="219" spans="1:11" ht="15">
      <c r="A219" s="1015"/>
      <c r="B219" s="1016"/>
      <c r="C219" s="360">
        <v>25</v>
      </c>
      <c r="D219" s="360"/>
      <c r="E219" s="360">
        <v>25</v>
      </c>
      <c r="F219" s="360"/>
      <c r="G219" s="360"/>
      <c r="H219" s="360"/>
      <c r="I219" s="420">
        <v>2279</v>
      </c>
      <c r="J219" s="360"/>
      <c r="K219" s="360"/>
    </row>
    <row r="220" spans="1:11" ht="13.5" customHeight="1">
      <c r="A220" s="1015"/>
      <c r="B220" s="1016"/>
      <c r="C220" s="360">
        <v>270</v>
      </c>
      <c r="D220" s="360"/>
      <c r="E220" s="360">
        <v>270</v>
      </c>
      <c r="F220" s="360"/>
      <c r="G220" s="360"/>
      <c r="H220" s="360"/>
      <c r="I220" s="420">
        <v>2390</v>
      </c>
      <c r="J220" s="360"/>
      <c r="K220" s="360"/>
    </row>
    <row r="221" spans="1:20" s="353" customFormat="1" ht="28.5" customHeight="1">
      <c r="A221" s="355">
        <v>51</v>
      </c>
      <c r="B221" s="369" t="s">
        <v>1550</v>
      </c>
      <c r="C221" s="347">
        <v>0</v>
      </c>
      <c r="D221" s="347">
        <v>0</v>
      </c>
      <c r="E221" s="347">
        <v>0</v>
      </c>
      <c r="F221" s="347">
        <v>0</v>
      </c>
      <c r="G221" s="347">
        <v>12200</v>
      </c>
      <c r="H221" s="347"/>
      <c r="I221" s="420">
        <v>2279</v>
      </c>
      <c r="J221" s="442">
        <v>12200</v>
      </c>
      <c r="K221" s="347"/>
      <c r="L221"/>
      <c r="M221"/>
      <c r="N221"/>
      <c r="O221"/>
      <c r="P221"/>
      <c r="Q221"/>
      <c r="R221"/>
      <c r="S221"/>
      <c r="T221"/>
    </row>
    <row r="222" spans="1:11" ht="25.5">
      <c r="A222" s="355">
        <v>52</v>
      </c>
      <c r="B222" s="369" t="s">
        <v>1194</v>
      </c>
      <c r="C222" s="348">
        <v>5000</v>
      </c>
      <c r="D222" s="348">
        <v>0</v>
      </c>
      <c r="E222" s="348">
        <v>5000</v>
      </c>
      <c r="F222" s="348">
        <v>0</v>
      </c>
      <c r="G222" s="363">
        <v>5000</v>
      </c>
      <c r="H222" s="350"/>
      <c r="I222" s="420">
        <v>2279</v>
      </c>
      <c r="J222" s="347">
        <v>5000</v>
      </c>
      <c r="K222" s="360"/>
    </row>
    <row r="223" spans="1:11" ht="25.5">
      <c r="A223" s="355">
        <v>53</v>
      </c>
      <c r="B223" s="369" t="s">
        <v>1195</v>
      </c>
      <c r="C223" s="348">
        <v>450</v>
      </c>
      <c r="D223" s="348">
        <v>0</v>
      </c>
      <c r="E223" s="348">
        <v>450</v>
      </c>
      <c r="F223" s="348"/>
      <c r="G223" s="363"/>
      <c r="H223" s="350"/>
      <c r="I223" s="420">
        <v>2262</v>
      </c>
      <c r="J223" s="360"/>
      <c r="K223" s="360"/>
    </row>
    <row r="224" spans="1:11" ht="21.75" customHeight="1">
      <c r="A224" s="355">
        <v>54</v>
      </c>
      <c r="B224" s="372" t="s">
        <v>1196</v>
      </c>
      <c r="C224" s="348">
        <v>400</v>
      </c>
      <c r="D224" s="348">
        <v>0</v>
      </c>
      <c r="E224" s="348">
        <v>400</v>
      </c>
      <c r="F224" s="348"/>
      <c r="G224" s="363"/>
      <c r="H224" s="350"/>
      <c r="I224" s="420">
        <v>2279</v>
      </c>
      <c r="J224" s="360"/>
      <c r="K224" s="360"/>
    </row>
    <row r="225" spans="1:20" s="353" customFormat="1" ht="27.75" customHeight="1">
      <c r="A225" s="355">
        <v>55</v>
      </c>
      <c r="B225" s="372" t="s">
        <v>1551</v>
      </c>
      <c r="C225" s="348">
        <v>0</v>
      </c>
      <c r="D225" s="348">
        <v>0</v>
      </c>
      <c r="E225" s="348">
        <v>0</v>
      </c>
      <c r="F225" s="348">
        <v>0</v>
      </c>
      <c r="G225" s="363">
        <v>1000</v>
      </c>
      <c r="H225" s="348"/>
      <c r="I225" s="420">
        <v>2279</v>
      </c>
      <c r="J225" s="442">
        <v>1000</v>
      </c>
      <c r="K225" s="347"/>
      <c r="L225"/>
      <c r="M225"/>
      <c r="N225"/>
      <c r="O225"/>
      <c r="P225"/>
      <c r="Q225"/>
      <c r="R225"/>
      <c r="S225"/>
      <c r="T225"/>
    </row>
    <row r="226" spans="1:11" ht="25.5">
      <c r="A226" s="437"/>
      <c r="B226" s="432" t="s">
        <v>1197</v>
      </c>
      <c r="C226" s="428">
        <f aca="true" t="shared" si="46" ref="C226:J226">SUM(C227:C228,C229,C230,C231,C233,C234,C237,C240)</f>
        <v>47327</v>
      </c>
      <c r="D226" s="428">
        <f t="shared" si="46"/>
        <v>0</v>
      </c>
      <c r="E226" s="428">
        <f t="shared" si="46"/>
        <v>46131.85</v>
      </c>
      <c r="F226" s="428">
        <f t="shared" si="46"/>
        <v>0</v>
      </c>
      <c r="G226" s="428">
        <f t="shared" si="46"/>
        <v>25800</v>
      </c>
      <c r="H226" s="428">
        <f t="shared" si="46"/>
        <v>0</v>
      </c>
      <c r="I226" s="431"/>
      <c r="J226" s="428">
        <f t="shared" si="46"/>
        <v>25100</v>
      </c>
      <c r="K226" s="428">
        <f>SUM(K227:K249)</f>
        <v>0</v>
      </c>
    </row>
    <row r="227" spans="1:11" ht="25.5">
      <c r="A227" s="373">
        <v>54</v>
      </c>
      <c r="B227" s="369" t="s">
        <v>1198</v>
      </c>
      <c r="C227" s="348">
        <v>2400</v>
      </c>
      <c r="D227" s="348">
        <v>0</v>
      </c>
      <c r="E227" s="348">
        <v>2400</v>
      </c>
      <c r="F227" s="348">
        <v>0</v>
      </c>
      <c r="G227" s="370">
        <v>2500</v>
      </c>
      <c r="H227" s="348">
        <v>0</v>
      </c>
      <c r="I227" s="420">
        <v>2390</v>
      </c>
      <c r="J227" s="348">
        <v>2500</v>
      </c>
      <c r="K227" s="352"/>
    </row>
    <row r="228" spans="1:11" ht="12.75" customHeight="1">
      <c r="A228" s="373">
        <v>55</v>
      </c>
      <c r="B228" s="369" t="s">
        <v>1199</v>
      </c>
      <c r="C228" s="348">
        <v>2294</v>
      </c>
      <c r="D228" s="348">
        <v>0</v>
      </c>
      <c r="E228" s="348">
        <v>2293.79</v>
      </c>
      <c r="F228" s="348">
        <v>0</v>
      </c>
      <c r="G228" s="374">
        <v>4000</v>
      </c>
      <c r="H228" s="348">
        <v>0</v>
      </c>
      <c r="I228" s="420">
        <v>2279</v>
      </c>
      <c r="J228" s="348">
        <v>4000</v>
      </c>
      <c r="K228" s="352"/>
    </row>
    <row r="229" spans="1:11" ht="15" customHeight="1">
      <c r="A229" s="373">
        <v>56</v>
      </c>
      <c r="B229" s="369" t="s">
        <v>1200</v>
      </c>
      <c r="C229" s="348">
        <v>700</v>
      </c>
      <c r="D229" s="348">
        <v>0</v>
      </c>
      <c r="E229" s="348">
        <v>236.78</v>
      </c>
      <c r="F229" s="348">
        <v>0</v>
      </c>
      <c r="G229" s="374">
        <v>700</v>
      </c>
      <c r="H229" s="348">
        <v>0</v>
      </c>
      <c r="I229" s="420">
        <v>2279</v>
      </c>
      <c r="J229" s="348">
        <v>300</v>
      </c>
      <c r="K229" s="352"/>
    </row>
    <row r="230" spans="1:11" ht="25.5">
      <c r="A230" s="355">
        <v>57</v>
      </c>
      <c r="B230" s="369" t="s">
        <v>1201</v>
      </c>
      <c r="C230" s="348">
        <v>800</v>
      </c>
      <c r="D230" s="348">
        <v>0</v>
      </c>
      <c r="E230" s="348">
        <v>71.24</v>
      </c>
      <c r="F230" s="348">
        <v>0</v>
      </c>
      <c r="G230" s="370">
        <v>600</v>
      </c>
      <c r="H230" s="348">
        <v>0</v>
      </c>
      <c r="I230" s="420">
        <v>2223</v>
      </c>
      <c r="J230" s="348">
        <v>300</v>
      </c>
      <c r="K230" s="352"/>
    </row>
    <row r="231" spans="1:11" ht="27.75" customHeight="1">
      <c r="A231" s="375">
        <v>58</v>
      </c>
      <c r="B231" s="1019" t="s">
        <v>1202</v>
      </c>
      <c r="C231" s="376">
        <f>SUM(C232:C232)</f>
        <v>2710</v>
      </c>
      <c r="D231" s="376">
        <f aca="true" t="shared" si="47" ref="D231:K231">SUM(D232:D232)</f>
        <v>0</v>
      </c>
      <c r="E231" s="376">
        <f t="shared" si="47"/>
        <v>2710</v>
      </c>
      <c r="F231" s="376">
        <f t="shared" si="47"/>
        <v>0</v>
      </c>
      <c r="G231" s="376">
        <f t="shared" si="47"/>
        <v>0</v>
      </c>
      <c r="H231" s="376">
        <f t="shared" si="47"/>
        <v>0</v>
      </c>
      <c r="I231" s="425"/>
      <c r="J231" s="376">
        <f t="shared" si="47"/>
        <v>0</v>
      </c>
      <c r="K231" s="376">
        <f t="shared" si="47"/>
        <v>0</v>
      </c>
    </row>
    <row r="232" spans="1:11" ht="14.25" customHeight="1">
      <c r="A232" s="377"/>
      <c r="B232" s="1017"/>
      <c r="C232" s="360">
        <v>2710</v>
      </c>
      <c r="D232" s="360"/>
      <c r="E232" s="360">
        <v>2710</v>
      </c>
      <c r="F232" s="360"/>
      <c r="G232" s="360"/>
      <c r="H232" s="360"/>
      <c r="I232" s="420">
        <v>2279</v>
      </c>
      <c r="J232" s="360"/>
      <c r="K232" s="360"/>
    </row>
    <row r="233" spans="1:30" ht="24.75">
      <c r="A233" s="375">
        <v>59</v>
      </c>
      <c r="B233" s="378" t="s">
        <v>1203</v>
      </c>
      <c r="C233" s="347">
        <v>120</v>
      </c>
      <c r="D233" s="360"/>
      <c r="E233" s="347">
        <v>120</v>
      </c>
      <c r="F233" s="360"/>
      <c r="G233" s="360"/>
      <c r="H233" s="352"/>
      <c r="I233" s="423">
        <v>2279</v>
      </c>
      <c r="J233" s="352"/>
      <c r="K233" s="352"/>
      <c r="U233" s="353"/>
      <c r="V233" s="353"/>
      <c r="W233" s="353"/>
      <c r="X233" s="353"/>
      <c r="Y233" s="353"/>
      <c r="Z233" s="353"/>
      <c r="AA233" s="353"/>
      <c r="AB233" s="353"/>
      <c r="AC233" s="353"/>
      <c r="AD233" s="353"/>
    </row>
    <row r="234" spans="1:28" ht="15">
      <c r="A234" s="355">
        <v>60</v>
      </c>
      <c r="B234" s="1016" t="s">
        <v>1204</v>
      </c>
      <c r="C234" s="348">
        <f aca="true" t="shared" si="48" ref="C234:K234">SUM(C235:C236)</f>
        <v>15045</v>
      </c>
      <c r="D234" s="348">
        <f t="shared" si="48"/>
        <v>0</v>
      </c>
      <c r="E234" s="348">
        <f t="shared" si="48"/>
        <v>15044.08</v>
      </c>
      <c r="F234" s="348">
        <f t="shared" si="48"/>
        <v>0</v>
      </c>
      <c r="G234" s="348">
        <f t="shared" si="48"/>
        <v>18000</v>
      </c>
      <c r="H234" s="348">
        <f t="shared" si="48"/>
        <v>0</v>
      </c>
      <c r="I234" s="421"/>
      <c r="J234" s="348">
        <f t="shared" si="48"/>
        <v>18000</v>
      </c>
      <c r="K234" s="348">
        <f t="shared" si="48"/>
        <v>0</v>
      </c>
      <c r="U234" s="354"/>
      <c r="V234" s="364"/>
      <c r="X234" s="364"/>
      <c r="Y234" s="364"/>
      <c r="Z234" s="354"/>
      <c r="AA234" s="364"/>
      <c r="AB234" s="364"/>
    </row>
    <row r="235" spans="1:28" ht="15">
      <c r="A235" s="379"/>
      <c r="B235" s="1016"/>
      <c r="C235" s="350">
        <v>14535</v>
      </c>
      <c r="D235" s="350"/>
      <c r="E235" s="350">
        <v>14535</v>
      </c>
      <c r="F235" s="350"/>
      <c r="G235" s="380">
        <f>15000+3000</f>
        <v>18000</v>
      </c>
      <c r="H235" s="350"/>
      <c r="I235" s="420">
        <v>2239</v>
      </c>
      <c r="J235" s="445">
        <f>15000+3000</f>
        <v>18000</v>
      </c>
      <c r="K235" s="352"/>
      <c r="U235" s="364"/>
      <c r="V235" s="364"/>
      <c r="W235" s="364"/>
      <c r="X235" s="364"/>
      <c r="Y235" s="364"/>
      <c r="Z235" s="364"/>
      <c r="AA235" s="364"/>
      <c r="AB235" s="364"/>
    </row>
    <row r="236" spans="1:28" ht="15">
      <c r="A236" s="379"/>
      <c r="B236" s="1016"/>
      <c r="C236" s="350">
        <v>510</v>
      </c>
      <c r="D236" s="350"/>
      <c r="E236" s="350">
        <v>509.08</v>
      </c>
      <c r="F236" s="350"/>
      <c r="G236" s="380">
        <v>0</v>
      </c>
      <c r="H236" s="350"/>
      <c r="I236" s="420">
        <v>2390</v>
      </c>
      <c r="J236" s="350"/>
      <c r="K236" s="352"/>
      <c r="U236" s="364"/>
      <c r="V236" s="364"/>
      <c r="W236" s="364"/>
      <c r="X236" s="364"/>
      <c r="Y236" s="364"/>
      <c r="Z236" s="364"/>
      <c r="AA236" s="364"/>
      <c r="AB236" s="359"/>
    </row>
    <row r="237" spans="1:27" ht="15" customHeight="1">
      <c r="A237" s="1015">
        <v>61</v>
      </c>
      <c r="B237" s="1020" t="s">
        <v>1205</v>
      </c>
      <c r="C237" s="348">
        <f aca="true" t="shared" si="49" ref="C237:K237">SUM(C238:C238)</f>
        <v>6305</v>
      </c>
      <c r="D237" s="348">
        <f t="shared" si="49"/>
        <v>0</v>
      </c>
      <c r="E237" s="348">
        <f t="shared" si="49"/>
        <v>6304.6</v>
      </c>
      <c r="F237" s="348">
        <f t="shared" si="49"/>
        <v>0</v>
      </c>
      <c r="G237" s="348">
        <f t="shared" si="49"/>
        <v>0</v>
      </c>
      <c r="H237" s="348">
        <f t="shared" si="49"/>
        <v>0</v>
      </c>
      <c r="I237" s="421"/>
      <c r="J237" s="348">
        <f t="shared" si="49"/>
        <v>0</v>
      </c>
      <c r="K237" s="348">
        <f t="shared" si="49"/>
        <v>0</v>
      </c>
      <c r="U237" s="364"/>
      <c r="V237" s="364"/>
      <c r="W237" s="364"/>
      <c r="X237" s="364"/>
      <c r="Y237" s="364"/>
      <c r="Z237" s="364"/>
      <c r="AA237" s="364"/>
    </row>
    <row r="238" spans="1:27" ht="12.75" customHeight="1">
      <c r="A238" s="1015"/>
      <c r="B238" s="1020"/>
      <c r="C238" s="360">
        <v>6305</v>
      </c>
      <c r="D238" s="360"/>
      <c r="E238" s="360">
        <v>6304.6</v>
      </c>
      <c r="F238" s="360"/>
      <c r="G238" s="360"/>
      <c r="H238" s="360">
        <v>0</v>
      </c>
      <c r="I238" s="420">
        <v>5239</v>
      </c>
      <c r="J238" s="360"/>
      <c r="K238" s="356"/>
      <c r="U238" s="364"/>
      <c r="V238" s="364"/>
      <c r="W238" s="364"/>
      <c r="X238" s="364"/>
      <c r="Y238" s="364"/>
      <c r="Z238" s="364"/>
      <c r="AA238" s="364"/>
    </row>
    <row r="239" spans="1:27" ht="15" hidden="1">
      <c r="A239" s="381"/>
      <c r="B239" s="382"/>
      <c r="C239" s="360"/>
      <c r="D239" s="360"/>
      <c r="E239" s="360"/>
      <c r="F239" s="360"/>
      <c r="G239" s="360"/>
      <c r="H239" s="360"/>
      <c r="I239" s="420"/>
      <c r="J239" s="360"/>
      <c r="K239" s="356"/>
      <c r="U239" s="364"/>
      <c r="V239" s="364"/>
      <c r="W239" s="364"/>
      <c r="X239" s="364"/>
      <c r="Y239" s="364"/>
      <c r="Z239" s="364"/>
      <c r="AA239" s="364"/>
    </row>
    <row r="240" spans="1:27" ht="24" customHeight="1">
      <c r="A240" s="1021">
        <v>62</v>
      </c>
      <c r="B240" s="1022" t="s">
        <v>1206</v>
      </c>
      <c r="C240" s="347">
        <f aca="true" t="shared" si="50" ref="C240:K240">SUM(C241:C247)</f>
        <v>16953</v>
      </c>
      <c r="D240" s="347">
        <f t="shared" si="50"/>
        <v>0</v>
      </c>
      <c r="E240" s="347">
        <f t="shared" si="50"/>
        <v>16951.36</v>
      </c>
      <c r="F240" s="347">
        <f t="shared" si="50"/>
        <v>0</v>
      </c>
      <c r="G240" s="347">
        <f t="shared" si="50"/>
        <v>0</v>
      </c>
      <c r="H240" s="347">
        <f t="shared" si="50"/>
        <v>0</v>
      </c>
      <c r="I240" s="421"/>
      <c r="J240" s="347">
        <f t="shared" si="50"/>
        <v>0</v>
      </c>
      <c r="K240" s="347">
        <f t="shared" si="50"/>
        <v>0</v>
      </c>
      <c r="U240" s="364"/>
      <c r="V240" s="364"/>
      <c r="W240" s="364"/>
      <c r="X240" s="359"/>
      <c r="Y240" s="364"/>
      <c r="Z240" s="364"/>
      <c r="AA240" s="364"/>
    </row>
    <row r="241" spans="1:27" ht="15">
      <c r="A241" s="1021"/>
      <c r="B241" s="1022"/>
      <c r="C241" s="360">
        <v>2291</v>
      </c>
      <c r="D241" s="360"/>
      <c r="E241" s="360">
        <v>2291</v>
      </c>
      <c r="F241" s="360"/>
      <c r="G241" s="360"/>
      <c r="H241" s="360"/>
      <c r="I241" s="420">
        <v>1150</v>
      </c>
      <c r="J241" s="360"/>
      <c r="K241" s="360"/>
      <c r="U241" s="364"/>
      <c r="V241" s="364"/>
      <c r="W241" s="364"/>
      <c r="X241" s="364"/>
      <c r="Y241" s="364"/>
      <c r="Z241" s="364"/>
      <c r="AA241" s="364"/>
    </row>
    <row r="242" spans="1:27" ht="15">
      <c r="A242" s="1021"/>
      <c r="B242" s="1022"/>
      <c r="C242" s="360">
        <v>758</v>
      </c>
      <c r="D242" s="360"/>
      <c r="E242" s="360">
        <v>758</v>
      </c>
      <c r="F242" s="360"/>
      <c r="G242" s="360"/>
      <c r="H242" s="360"/>
      <c r="I242" s="420">
        <v>2261</v>
      </c>
      <c r="J242" s="360"/>
      <c r="K242" s="360"/>
      <c r="U242" s="364"/>
      <c r="V242" s="359"/>
      <c r="W242" s="354"/>
      <c r="X242" s="364"/>
      <c r="Y242" s="364"/>
      <c r="Z242" s="364"/>
      <c r="AA242" s="364"/>
    </row>
    <row r="243" spans="1:27" ht="15">
      <c r="A243" s="1021"/>
      <c r="B243" s="1022"/>
      <c r="C243" s="360">
        <v>52</v>
      </c>
      <c r="D243" s="360"/>
      <c r="E243" s="360">
        <v>51.84</v>
      </c>
      <c r="F243" s="360"/>
      <c r="G243" s="360"/>
      <c r="H243" s="360"/>
      <c r="I243" s="420">
        <v>2262</v>
      </c>
      <c r="J243" s="360"/>
      <c r="K243" s="360"/>
      <c r="U243" s="371"/>
      <c r="V243" s="371"/>
      <c r="W243" s="371"/>
      <c r="X243" s="371"/>
      <c r="Y243" s="371"/>
      <c r="Z243" s="371"/>
      <c r="AA243" s="371"/>
    </row>
    <row r="244" spans="1:27" ht="15">
      <c r="A244" s="1021"/>
      <c r="B244" s="1022"/>
      <c r="C244" s="360">
        <v>6125</v>
      </c>
      <c r="D244" s="360"/>
      <c r="E244" s="360">
        <v>6124.95</v>
      </c>
      <c r="F244" s="360"/>
      <c r="G244" s="360"/>
      <c r="H244" s="360"/>
      <c r="I244" s="420">
        <v>2264</v>
      </c>
      <c r="J244" s="360"/>
      <c r="K244" s="360"/>
      <c r="U244" s="371"/>
      <c r="V244" s="371"/>
      <c r="W244" s="371"/>
      <c r="X244" s="371"/>
      <c r="Y244" s="371"/>
      <c r="Z244" s="371"/>
      <c r="AA244" s="371"/>
    </row>
    <row r="245" spans="1:27" ht="15">
      <c r="A245" s="1021"/>
      <c r="B245" s="1022"/>
      <c r="C245" s="360">
        <v>147</v>
      </c>
      <c r="D245" s="360"/>
      <c r="E245" s="360">
        <v>146.4</v>
      </c>
      <c r="F245" s="360"/>
      <c r="G245" s="360"/>
      <c r="H245" s="360"/>
      <c r="I245" s="420">
        <v>2269</v>
      </c>
      <c r="J245" s="360"/>
      <c r="K245" s="360"/>
      <c r="U245" s="354"/>
      <c r="V245" s="354"/>
      <c r="W245" s="354"/>
      <c r="X245" s="354"/>
      <c r="Y245" s="359"/>
      <c r="Z245" s="354"/>
      <c r="AA245" s="354"/>
    </row>
    <row r="246" spans="1:27" ht="15">
      <c r="A246" s="1021"/>
      <c r="B246" s="1022"/>
      <c r="C246" s="360">
        <v>4746</v>
      </c>
      <c r="D246" s="360"/>
      <c r="E246" s="360">
        <v>4745.6</v>
      </c>
      <c r="F246" s="360"/>
      <c r="G246" s="360"/>
      <c r="H246" s="360"/>
      <c r="I246" s="420">
        <v>2279</v>
      </c>
      <c r="J246" s="360"/>
      <c r="K246" s="360"/>
      <c r="U246" s="354"/>
      <c r="V246" s="354"/>
      <c r="W246" s="354"/>
      <c r="X246" s="354"/>
      <c r="Y246" s="354"/>
      <c r="Z246" s="354"/>
      <c r="AA246" s="354"/>
    </row>
    <row r="247" spans="1:27" ht="15">
      <c r="A247" s="1021"/>
      <c r="B247" s="1022"/>
      <c r="C247" s="360">
        <v>2834</v>
      </c>
      <c r="D247" s="360"/>
      <c r="E247" s="360">
        <v>2833.57</v>
      </c>
      <c r="F247" s="360"/>
      <c r="G247" s="360"/>
      <c r="H247" s="360"/>
      <c r="I247" s="420">
        <v>2390</v>
      </c>
      <c r="J247" s="360"/>
      <c r="K247" s="360"/>
      <c r="U247" s="354"/>
      <c r="V247" s="354"/>
      <c r="W247" s="354"/>
      <c r="X247" s="354"/>
      <c r="Y247" s="354"/>
      <c r="Z247" s="354"/>
      <c r="AA247" s="359"/>
    </row>
    <row r="248" spans="1:27" ht="15">
      <c r="A248" s="585"/>
      <c r="B248" s="586"/>
      <c r="C248" s="587"/>
      <c r="D248" s="587"/>
      <c r="E248" s="587"/>
      <c r="F248" s="587"/>
      <c r="G248" s="587"/>
      <c r="H248" s="587"/>
      <c r="I248" s="588"/>
      <c r="J248" s="587"/>
      <c r="K248" s="587"/>
      <c r="U248" s="354"/>
      <c r="V248" s="354"/>
      <c r="W248" s="354"/>
      <c r="X248" s="354"/>
      <c r="Y248" s="354"/>
      <c r="Z248" s="354"/>
      <c r="AA248" s="359"/>
    </row>
    <row r="249" spans="1:27" ht="15">
      <c r="A249" s="585"/>
      <c r="B249" s="586"/>
      <c r="C249" s="587"/>
      <c r="D249" s="587"/>
      <c r="E249" s="587"/>
      <c r="F249" s="587"/>
      <c r="G249" s="587"/>
      <c r="H249" s="587"/>
      <c r="I249" s="588"/>
      <c r="J249" s="587"/>
      <c r="K249" s="587"/>
      <c r="U249" s="354"/>
      <c r="V249" s="354"/>
      <c r="W249" s="354"/>
      <c r="X249" s="354"/>
      <c r="Y249" s="354"/>
      <c r="Z249" s="354"/>
      <c r="AA249" s="359"/>
    </row>
    <row r="250" spans="1:27" s="383" customFormat="1" ht="15">
      <c r="A250" s="438"/>
      <c r="B250" s="438" t="s">
        <v>1207</v>
      </c>
      <c r="C250" s="428">
        <f aca="true" t="shared" si="51" ref="C250:H250">SUM(C251,C258,C261,C264,C268,C274,C275,C277)</f>
        <v>24800</v>
      </c>
      <c r="D250" s="428">
        <f t="shared" si="51"/>
        <v>0</v>
      </c>
      <c r="E250" s="428">
        <f t="shared" si="51"/>
        <v>24664.17</v>
      </c>
      <c r="F250" s="428">
        <f t="shared" si="51"/>
        <v>0</v>
      </c>
      <c r="G250" s="428">
        <f t="shared" si="51"/>
        <v>28780</v>
      </c>
      <c r="H250" s="428">
        <f t="shared" si="51"/>
        <v>150</v>
      </c>
      <c r="I250" s="431"/>
      <c r="J250" s="428">
        <f>SUM(J251,J258,J261,J264,J268,J274,J275,J277,J276)</f>
        <v>32800</v>
      </c>
      <c r="K250" s="428">
        <f>SUM(K251,K258,K261,K264,K268,K274,K275,K277)</f>
        <v>0</v>
      </c>
      <c r="L250"/>
      <c r="M250"/>
      <c r="N250"/>
      <c r="O250"/>
      <c r="P250"/>
      <c r="Q250"/>
      <c r="R250"/>
      <c r="S250"/>
      <c r="T250"/>
      <c r="U250" s="357"/>
      <c r="V250" s="357"/>
      <c r="W250" s="357"/>
      <c r="X250" s="357"/>
      <c r="Y250" s="357"/>
      <c r="Z250" s="357"/>
      <c r="AA250" s="357"/>
    </row>
    <row r="251" spans="1:27" ht="15">
      <c r="A251" s="1015">
        <v>63</v>
      </c>
      <c r="B251" s="1016" t="s">
        <v>1208</v>
      </c>
      <c r="C251" s="348">
        <f aca="true" t="shared" si="52" ref="C251:K251">SUM(C252:C257)</f>
        <v>2640</v>
      </c>
      <c r="D251" s="348">
        <f t="shared" si="52"/>
        <v>0</v>
      </c>
      <c r="E251" s="348">
        <f t="shared" si="52"/>
        <v>2640</v>
      </c>
      <c r="F251" s="348">
        <f t="shared" si="52"/>
        <v>0</v>
      </c>
      <c r="G251" s="348">
        <f t="shared" si="52"/>
        <v>2850</v>
      </c>
      <c r="H251" s="348">
        <f t="shared" si="52"/>
        <v>0</v>
      </c>
      <c r="I251" s="421"/>
      <c r="J251" s="348">
        <f t="shared" si="52"/>
        <v>2850</v>
      </c>
      <c r="K251" s="348">
        <f t="shared" si="52"/>
        <v>0</v>
      </c>
      <c r="U251" s="354"/>
      <c r="V251" s="354"/>
      <c r="W251" s="354"/>
      <c r="X251" s="354"/>
      <c r="Y251" s="354"/>
      <c r="Z251" s="354"/>
      <c r="AA251" s="354"/>
    </row>
    <row r="252" spans="1:27" ht="15">
      <c r="A252" s="1015"/>
      <c r="B252" s="1016"/>
      <c r="C252" s="350">
        <v>1100</v>
      </c>
      <c r="D252" s="350"/>
      <c r="E252" s="350">
        <v>1096</v>
      </c>
      <c r="F252" s="350"/>
      <c r="G252" s="380">
        <v>1200</v>
      </c>
      <c r="H252" s="350"/>
      <c r="I252" s="420">
        <v>1150</v>
      </c>
      <c r="J252" s="350">
        <f>1200+61</f>
        <v>1261</v>
      </c>
      <c r="K252" s="352"/>
      <c r="U252" s="354"/>
      <c r="V252" s="354"/>
      <c r="W252" s="354"/>
      <c r="X252" s="354"/>
      <c r="Y252" s="354"/>
      <c r="Z252" s="354"/>
      <c r="AA252" s="354"/>
    </row>
    <row r="253" spans="1:27" ht="15">
      <c r="A253" s="1015"/>
      <c r="B253" s="1016"/>
      <c r="C253" s="350">
        <v>700</v>
      </c>
      <c r="D253" s="350"/>
      <c r="E253" s="350">
        <v>700</v>
      </c>
      <c r="F253" s="350"/>
      <c r="G253" s="352">
        <v>700</v>
      </c>
      <c r="H253" s="350"/>
      <c r="I253" s="420">
        <v>2231</v>
      </c>
      <c r="J253" s="350">
        <v>700</v>
      </c>
      <c r="K253" s="352"/>
      <c r="U253" s="354"/>
      <c r="V253" s="354"/>
      <c r="W253" s="354"/>
      <c r="X253" s="354"/>
      <c r="Y253" s="354"/>
      <c r="Z253" s="354"/>
      <c r="AA253" s="354"/>
    </row>
    <row r="254" spans="1:27" ht="15">
      <c r="A254" s="1015"/>
      <c r="B254" s="1016"/>
      <c r="C254" s="352">
        <v>55</v>
      </c>
      <c r="D254" s="352"/>
      <c r="E254" s="352">
        <v>51.24</v>
      </c>
      <c r="F254" s="352"/>
      <c r="G254" s="380">
        <v>50</v>
      </c>
      <c r="H254" s="352"/>
      <c r="I254" s="420">
        <v>2262</v>
      </c>
      <c r="J254" s="350">
        <f>50-50</f>
        <v>0</v>
      </c>
      <c r="K254" s="352"/>
      <c r="U254" s="354"/>
      <c r="V254" s="354"/>
      <c r="W254" s="359"/>
      <c r="X254" s="354"/>
      <c r="Y254" s="354"/>
      <c r="Z254" s="354"/>
      <c r="AA254" s="354"/>
    </row>
    <row r="255" spans="1:27" ht="15">
      <c r="A255" s="1015"/>
      <c r="B255" s="1016"/>
      <c r="C255" s="350">
        <v>150</v>
      </c>
      <c r="D255" s="350"/>
      <c r="E255" s="350">
        <v>160.13</v>
      </c>
      <c r="F255" s="350"/>
      <c r="G255" s="380">
        <v>250</v>
      </c>
      <c r="H255" s="350"/>
      <c r="I255" s="420">
        <v>2279</v>
      </c>
      <c r="J255" s="350">
        <f>250-250</f>
        <v>0</v>
      </c>
      <c r="K255" s="352"/>
      <c r="U255" s="359"/>
      <c r="V255" s="354"/>
      <c r="W255" s="354"/>
      <c r="X255" s="354"/>
      <c r="Y255" s="354"/>
      <c r="Z255" s="354"/>
      <c r="AA255" s="354"/>
    </row>
    <row r="256" spans="1:27" ht="15">
      <c r="A256" s="1015"/>
      <c r="B256" s="1016"/>
      <c r="C256" s="350"/>
      <c r="D256" s="350"/>
      <c r="E256" s="350"/>
      <c r="F256" s="350"/>
      <c r="G256" s="380"/>
      <c r="H256" s="350"/>
      <c r="I256" s="672">
        <v>6422</v>
      </c>
      <c r="J256" s="350">
        <v>418</v>
      </c>
      <c r="K256" s="352"/>
      <c r="U256" s="359"/>
      <c r="V256" s="354"/>
      <c r="W256" s="354"/>
      <c r="X256" s="354"/>
      <c r="Y256" s="354"/>
      <c r="Z256" s="354"/>
      <c r="AA256" s="354"/>
    </row>
    <row r="257" spans="1:27" ht="15">
      <c r="A257" s="1015"/>
      <c r="B257" s="1016"/>
      <c r="C257" s="350">
        <v>635</v>
      </c>
      <c r="D257" s="350"/>
      <c r="E257" s="350">
        <v>632.63</v>
      </c>
      <c r="F257" s="350"/>
      <c r="G257" s="380">
        <v>650</v>
      </c>
      <c r="H257" s="350"/>
      <c r="I257" s="420">
        <v>2390</v>
      </c>
      <c r="J257" s="350">
        <f>650-179</f>
        <v>471</v>
      </c>
      <c r="K257" s="352"/>
      <c r="U257" s="354"/>
      <c r="V257" s="359"/>
      <c r="W257" s="354"/>
      <c r="X257" s="354"/>
      <c r="Y257" s="354"/>
      <c r="Z257" s="354"/>
      <c r="AA257" s="354"/>
    </row>
    <row r="258" spans="1:27" ht="15">
      <c r="A258" s="1015">
        <v>64</v>
      </c>
      <c r="B258" s="1016" t="s">
        <v>1209</v>
      </c>
      <c r="C258" s="348">
        <f aca="true" t="shared" si="53" ref="C258:K258">SUM(C259:C260)</f>
        <v>0</v>
      </c>
      <c r="D258" s="348">
        <f t="shared" si="53"/>
        <v>0</v>
      </c>
      <c r="E258" s="348">
        <f t="shared" si="53"/>
        <v>0</v>
      </c>
      <c r="F258" s="348">
        <f t="shared" si="53"/>
        <v>0</v>
      </c>
      <c r="G258" s="348">
        <f t="shared" si="53"/>
        <v>0</v>
      </c>
      <c r="H258" s="348">
        <f t="shared" si="53"/>
        <v>150</v>
      </c>
      <c r="I258" s="421"/>
      <c r="J258" s="348">
        <f t="shared" si="53"/>
        <v>150</v>
      </c>
      <c r="K258" s="348">
        <f t="shared" si="53"/>
        <v>0</v>
      </c>
      <c r="U258" s="354"/>
      <c r="V258" s="359"/>
      <c r="W258" s="354"/>
      <c r="X258" s="354"/>
      <c r="Y258" s="354"/>
      <c r="Z258" s="354"/>
      <c r="AA258" s="354"/>
    </row>
    <row r="259" spans="1:27" ht="15">
      <c r="A259" s="1015"/>
      <c r="B259" s="1016"/>
      <c r="C259" s="350"/>
      <c r="D259" s="350"/>
      <c r="E259" s="350"/>
      <c r="F259" s="350"/>
      <c r="G259" s="380">
        <v>0</v>
      </c>
      <c r="H259" s="350">
        <v>50</v>
      </c>
      <c r="I259" s="420">
        <v>1150</v>
      </c>
      <c r="J259" s="350">
        <v>50</v>
      </c>
      <c r="K259" s="352"/>
      <c r="U259" s="354"/>
      <c r="V259" s="359"/>
      <c r="W259" s="354"/>
      <c r="X259" s="354"/>
      <c r="Y259" s="354"/>
      <c r="Z259" s="354"/>
      <c r="AA259" s="354"/>
    </row>
    <row r="260" spans="1:27" ht="15">
      <c r="A260" s="1015"/>
      <c r="B260" s="1016"/>
      <c r="C260" s="350"/>
      <c r="D260" s="350"/>
      <c r="E260" s="350"/>
      <c r="F260" s="350"/>
      <c r="G260" s="380">
        <v>0</v>
      </c>
      <c r="H260" s="350">
        <v>100</v>
      </c>
      <c r="I260" s="420">
        <v>2390</v>
      </c>
      <c r="J260" s="350">
        <v>100</v>
      </c>
      <c r="K260" s="352"/>
      <c r="U260" s="354"/>
      <c r="V260" s="359"/>
      <c r="W260" s="354"/>
      <c r="X260" s="354"/>
      <c r="Y260" s="354"/>
      <c r="Z260" s="354"/>
      <c r="AA260" s="354"/>
    </row>
    <row r="261" spans="1:27" ht="12.75" customHeight="1">
      <c r="A261" s="1015">
        <v>65</v>
      </c>
      <c r="B261" s="1016" t="s">
        <v>1210</v>
      </c>
      <c r="C261" s="348">
        <f aca="true" t="shared" si="54" ref="C261:K261">SUM(C262:C263)</f>
        <v>0</v>
      </c>
      <c r="D261" s="348">
        <f t="shared" si="54"/>
        <v>0</v>
      </c>
      <c r="E261" s="348">
        <f t="shared" si="54"/>
        <v>0</v>
      </c>
      <c r="F261" s="348">
        <f t="shared" si="54"/>
        <v>0</v>
      </c>
      <c r="G261" s="348">
        <f t="shared" si="54"/>
        <v>300</v>
      </c>
      <c r="H261" s="348">
        <f t="shared" si="54"/>
        <v>0</v>
      </c>
      <c r="I261" s="421"/>
      <c r="J261" s="348">
        <f t="shared" si="54"/>
        <v>300</v>
      </c>
      <c r="K261" s="348">
        <f t="shared" si="54"/>
        <v>0</v>
      </c>
      <c r="U261" s="354"/>
      <c r="V261" s="359"/>
      <c r="W261" s="354"/>
      <c r="X261" s="354"/>
      <c r="Y261" s="354"/>
      <c r="Z261" s="354"/>
      <c r="AA261" s="354"/>
    </row>
    <row r="262" spans="1:27" ht="15">
      <c r="A262" s="1015"/>
      <c r="B262" s="1016"/>
      <c r="C262" s="350"/>
      <c r="D262" s="350"/>
      <c r="E262" s="350"/>
      <c r="F262" s="350"/>
      <c r="G262" s="350">
        <v>200</v>
      </c>
      <c r="H262" s="356"/>
      <c r="I262" s="420">
        <v>1150</v>
      </c>
      <c r="J262" s="350">
        <v>200</v>
      </c>
      <c r="K262" s="352"/>
      <c r="U262" s="354"/>
      <c r="V262" s="359"/>
      <c r="W262" s="354"/>
      <c r="X262" s="354"/>
      <c r="Y262" s="354"/>
      <c r="Z262" s="354"/>
      <c r="AA262" s="354"/>
    </row>
    <row r="263" spans="1:27" ht="15">
      <c r="A263" s="1015"/>
      <c r="B263" s="1016"/>
      <c r="C263" s="350"/>
      <c r="D263" s="350"/>
      <c r="E263" s="350"/>
      <c r="F263" s="350"/>
      <c r="G263" s="350">
        <v>100</v>
      </c>
      <c r="H263" s="356"/>
      <c r="I263" s="420">
        <v>2390</v>
      </c>
      <c r="J263" s="350">
        <v>100</v>
      </c>
      <c r="K263" s="352"/>
      <c r="U263" s="354"/>
      <c r="V263" s="359"/>
      <c r="W263" s="354"/>
      <c r="X263" s="354"/>
      <c r="Y263" s="354"/>
      <c r="Z263" s="354"/>
      <c r="AA263" s="354"/>
    </row>
    <row r="264" spans="1:27" ht="12.75" customHeight="1">
      <c r="A264" s="1015">
        <v>66</v>
      </c>
      <c r="B264" s="1016" t="s">
        <v>1211</v>
      </c>
      <c r="C264" s="348">
        <f aca="true" t="shared" si="55" ref="C264:H264">SUM(C265:C267)</f>
        <v>0</v>
      </c>
      <c r="D264" s="348">
        <f t="shared" si="55"/>
        <v>0</v>
      </c>
      <c r="E264" s="348">
        <f t="shared" si="55"/>
        <v>0</v>
      </c>
      <c r="F264" s="348">
        <f t="shared" si="55"/>
        <v>0</v>
      </c>
      <c r="G264" s="348">
        <f t="shared" si="55"/>
        <v>2630</v>
      </c>
      <c r="H264" s="348">
        <f t="shared" si="55"/>
        <v>0</v>
      </c>
      <c r="I264" s="421"/>
      <c r="J264" s="348">
        <f>SUM(J265:J267)</f>
        <v>1500</v>
      </c>
      <c r="K264" s="348">
        <f>SUM(K265:K267)</f>
        <v>0</v>
      </c>
      <c r="U264" s="354"/>
      <c r="V264" s="359"/>
      <c r="W264" s="354"/>
      <c r="X264" s="354"/>
      <c r="Y264" s="354"/>
      <c r="Z264" s="354"/>
      <c r="AA264" s="354"/>
    </row>
    <row r="265" spans="1:27" ht="15">
      <c r="A265" s="1015"/>
      <c r="B265" s="1016"/>
      <c r="C265" s="350"/>
      <c r="D265" s="350"/>
      <c r="E265" s="350"/>
      <c r="F265" s="350"/>
      <c r="G265" s="350">
        <v>520</v>
      </c>
      <c r="H265" s="356"/>
      <c r="I265" s="420">
        <v>1150</v>
      </c>
      <c r="J265" s="350"/>
      <c r="K265" s="352"/>
      <c r="U265" s="354"/>
      <c r="V265" s="359"/>
      <c r="W265" s="354"/>
      <c r="X265" s="354"/>
      <c r="Y265" s="354"/>
      <c r="Z265" s="354"/>
      <c r="AA265" s="354"/>
    </row>
    <row r="266" spans="1:27" ht="15">
      <c r="A266" s="1015"/>
      <c r="B266" s="1016"/>
      <c r="C266" s="350"/>
      <c r="D266" s="350"/>
      <c r="E266" s="350"/>
      <c r="F266" s="350"/>
      <c r="G266" s="350">
        <v>1500</v>
      </c>
      <c r="H266" s="356"/>
      <c r="I266" s="420">
        <v>2264</v>
      </c>
      <c r="J266" s="350">
        <v>1500</v>
      </c>
      <c r="K266" s="352"/>
      <c r="U266" s="354"/>
      <c r="V266" s="359"/>
      <c r="W266" s="354"/>
      <c r="X266" s="354"/>
      <c r="Y266" s="354"/>
      <c r="Z266" s="354"/>
      <c r="AA266" s="354"/>
    </row>
    <row r="267" spans="1:27" ht="15">
      <c r="A267" s="1015"/>
      <c r="B267" s="1016"/>
      <c r="C267" s="350"/>
      <c r="D267" s="350"/>
      <c r="E267" s="350"/>
      <c r="F267" s="350"/>
      <c r="G267" s="350">
        <v>610</v>
      </c>
      <c r="H267" s="356"/>
      <c r="I267" s="420">
        <v>2390</v>
      </c>
      <c r="J267" s="350"/>
      <c r="K267" s="352"/>
      <c r="U267" s="354"/>
      <c r="V267" s="359"/>
      <c r="W267" s="354"/>
      <c r="X267" s="354"/>
      <c r="Y267" s="354"/>
      <c r="Z267" s="354"/>
      <c r="AA267" s="354"/>
    </row>
    <row r="268" spans="1:27" ht="12.75" customHeight="1">
      <c r="A268" s="1015">
        <v>67</v>
      </c>
      <c r="B268" s="1016" t="s">
        <v>1212</v>
      </c>
      <c r="C268" s="384">
        <f aca="true" t="shared" si="56" ref="C268:K268">SUM(C269:C273)</f>
        <v>0</v>
      </c>
      <c r="D268" s="384">
        <f t="shared" si="56"/>
        <v>0</v>
      </c>
      <c r="E268" s="384">
        <f t="shared" si="56"/>
        <v>0</v>
      </c>
      <c r="F268" s="384">
        <f t="shared" si="56"/>
        <v>0</v>
      </c>
      <c r="G268" s="384">
        <f t="shared" si="56"/>
        <v>3000</v>
      </c>
      <c r="H268" s="384">
        <f t="shared" si="56"/>
        <v>0</v>
      </c>
      <c r="I268" s="425"/>
      <c r="J268" s="384">
        <f t="shared" si="56"/>
        <v>3000</v>
      </c>
      <c r="K268" s="384">
        <f t="shared" si="56"/>
        <v>0</v>
      </c>
      <c r="U268" s="354"/>
      <c r="V268" s="359"/>
      <c r="W268" s="354"/>
      <c r="X268" s="354"/>
      <c r="Y268" s="354"/>
      <c r="Z268" s="354"/>
      <c r="AA268" s="354"/>
    </row>
    <row r="269" spans="1:27" ht="12.75" customHeight="1">
      <c r="A269" s="1015"/>
      <c r="B269" s="1016"/>
      <c r="C269" s="350"/>
      <c r="D269" s="350"/>
      <c r="E269" s="350"/>
      <c r="F269" s="350"/>
      <c r="G269" s="350">
        <v>1000</v>
      </c>
      <c r="H269" s="356"/>
      <c r="I269" s="420">
        <v>1150</v>
      </c>
      <c r="J269" s="350">
        <v>1000</v>
      </c>
      <c r="K269" s="352"/>
      <c r="U269" s="354"/>
      <c r="V269" s="359"/>
      <c r="W269" s="354"/>
      <c r="X269" s="354"/>
      <c r="Y269" s="354"/>
      <c r="Z269" s="354"/>
      <c r="AA269" s="354"/>
    </row>
    <row r="270" spans="1:27" ht="12.75" customHeight="1">
      <c r="A270" s="1015"/>
      <c r="B270" s="1016"/>
      <c r="C270" s="350"/>
      <c r="D270" s="350"/>
      <c r="E270" s="350"/>
      <c r="F270" s="350"/>
      <c r="G270" s="350">
        <v>500</v>
      </c>
      <c r="H270" s="356"/>
      <c r="I270" s="420">
        <v>2231</v>
      </c>
      <c r="J270" s="350">
        <v>500</v>
      </c>
      <c r="K270" s="352"/>
      <c r="U270" s="354"/>
      <c r="V270" s="359"/>
      <c r="W270" s="354"/>
      <c r="X270" s="354"/>
      <c r="Y270" s="354"/>
      <c r="Z270" s="354"/>
      <c r="AA270" s="354"/>
    </row>
    <row r="271" spans="1:27" ht="12.75" customHeight="1">
      <c r="A271" s="1015"/>
      <c r="B271" s="1016"/>
      <c r="C271" s="350"/>
      <c r="D271" s="350"/>
      <c r="E271" s="350"/>
      <c r="F271" s="350"/>
      <c r="G271" s="350">
        <v>100</v>
      </c>
      <c r="H271" s="356"/>
      <c r="I271" s="420">
        <v>2262</v>
      </c>
      <c r="J271" s="350">
        <v>100</v>
      </c>
      <c r="K271" s="352"/>
      <c r="U271" s="354"/>
      <c r="V271" s="359"/>
      <c r="W271" s="354"/>
      <c r="X271" s="354"/>
      <c r="Y271" s="354"/>
      <c r="Z271" s="354"/>
      <c r="AA271" s="354"/>
    </row>
    <row r="272" spans="1:27" ht="12.75" customHeight="1">
      <c r="A272" s="1015"/>
      <c r="B272" s="1016"/>
      <c r="C272" s="350"/>
      <c r="D272" s="350"/>
      <c r="E272" s="350"/>
      <c r="F272" s="350"/>
      <c r="G272" s="350">
        <v>1000</v>
      </c>
      <c r="H272" s="356"/>
      <c r="I272" s="420">
        <v>2279</v>
      </c>
      <c r="J272" s="350">
        <v>1000</v>
      </c>
      <c r="K272" s="352"/>
      <c r="U272" s="354"/>
      <c r="V272" s="359"/>
      <c r="W272" s="354"/>
      <c r="X272" s="354"/>
      <c r="Y272" s="354"/>
      <c r="Z272" s="354"/>
      <c r="AA272" s="354"/>
    </row>
    <row r="273" spans="1:27" ht="15">
      <c r="A273" s="1015"/>
      <c r="B273" s="1016"/>
      <c r="C273" s="350"/>
      <c r="D273" s="350"/>
      <c r="E273" s="350"/>
      <c r="F273" s="350"/>
      <c r="G273" s="350">
        <v>400</v>
      </c>
      <c r="H273" s="356"/>
      <c r="I273" s="420">
        <v>2390</v>
      </c>
      <c r="J273" s="350">
        <v>400</v>
      </c>
      <c r="K273" s="352"/>
      <c r="U273" s="354"/>
      <c r="V273" s="359"/>
      <c r="W273" s="354"/>
      <c r="X273" s="354"/>
      <c r="Y273" s="354"/>
      <c r="Z273" s="354"/>
      <c r="AA273" s="354"/>
    </row>
    <row r="274" spans="1:27" s="383" customFormat="1" ht="15">
      <c r="A274" s="355">
        <v>68</v>
      </c>
      <c r="B274" s="369" t="s">
        <v>1213</v>
      </c>
      <c r="C274" s="348">
        <v>6000</v>
      </c>
      <c r="D274" s="348">
        <v>0</v>
      </c>
      <c r="E274" s="348">
        <v>6000</v>
      </c>
      <c r="F274" s="348">
        <v>0</v>
      </c>
      <c r="G274" s="363">
        <v>0</v>
      </c>
      <c r="H274" s="348">
        <v>0</v>
      </c>
      <c r="I274" s="420">
        <v>2279</v>
      </c>
      <c r="J274" s="350"/>
      <c r="K274" s="352"/>
      <c r="L274"/>
      <c r="M274"/>
      <c r="N274"/>
      <c r="O274"/>
      <c r="P274"/>
      <c r="Q274"/>
      <c r="R274"/>
      <c r="S274"/>
      <c r="T274"/>
      <c r="U274" s="357"/>
      <c r="V274" s="357"/>
      <c r="W274" s="357"/>
      <c r="X274" s="357"/>
      <c r="Y274" s="357"/>
      <c r="Z274" s="357"/>
      <c r="AA274" s="357"/>
    </row>
    <row r="275" spans="1:27" s="383" customFormat="1" ht="25.5">
      <c r="A275" s="355">
        <v>69</v>
      </c>
      <c r="B275" s="369" t="s">
        <v>1214</v>
      </c>
      <c r="C275" s="348">
        <v>10000</v>
      </c>
      <c r="D275" s="348">
        <v>0</v>
      </c>
      <c r="E275" s="348">
        <v>10000</v>
      </c>
      <c r="F275" s="348">
        <v>0</v>
      </c>
      <c r="G275" s="363">
        <v>0</v>
      </c>
      <c r="H275" s="348">
        <v>0</v>
      </c>
      <c r="I275" s="420">
        <v>2279</v>
      </c>
      <c r="J275" s="350"/>
      <c r="K275" s="352"/>
      <c r="L275"/>
      <c r="M275"/>
      <c r="N275"/>
      <c r="O275"/>
      <c r="P275"/>
      <c r="Q275"/>
      <c r="R275"/>
      <c r="S275"/>
      <c r="T275"/>
      <c r="U275" s="357"/>
      <c r="V275" s="357"/>
      <c r="W275" s="358"/>
      <c r="X275" s="357"/>
      <c r="Y275" s="357"/>
      <c r="Z275" s="357"/>
      <c r="AA275" s="357"/>
    </row>
    <row r="276" spans="1:27" s="583" customFormat="1" ht="25.5">
      <c r="A276" s="355">
        <v>70</v>
      </c>
      <c r="B276" s="369" t="s">
        <v>1501</v>
      </c>
      <c r="C276" s="348"/>
      <c r="D276" s="348"/>
      <c r="E276" s="348"/>
      <c r="F276" s="348"/>
      <c r="G276" s="363">
        <v>5000</v>
      </c>
      <c r="H276" s="348"/>
      <c r="I276" s="420">
        <v>2275</v>
      </c>
      <c r="J276" s="442">
        <v>5000</v>
      </c>
      <c r="K276" s="376"/>
      <c r="L276"/>
      <c r="M276"/>
      <c r="N276"/>
      <c r="O276"/>
      <c r="P276"/>
      <c r="Q276"/>
      <c r="R276"/>
      <c r="S276"/>
      <c r="T276"/>
      <c r="U276" s="362"/>
      <c r="V276" s="362"/>
      <c r="W276" s="582"/>
      <c r="X276" s="362"/>
      <c r="Y276" s="362"/>
      <c r="Z276" s="362"/>
      <c r="AA276" s="362"/>
    </row>
    <row r="277" spans="1:27" s="383" customFormat="1" ht="12" customHeight="1">
      <c r="A277" s="1015">
        <v>71</v>
      </c>
      <c r="B277" s="1016" t="s">
        <v>1215</v>
      </c>
      <c r="C277" s="348">
        <f aca="true" t="shared" si="57" ref="C277:K277">SUM(C278:C282)</f>
        <v>6160</v>
      </c>
      <c r="D277" s="348">
        <f t="shared" si="57"/>
        <v>0</v>
      </c>
      <c r="E277" s="348">
        <f t="shared" si="57"/>
        <v>6024.17</v>
      </c>
      <c r="F277" s="348">
        <f t="shared" si="57"/>
        <v>0</v>
      </c>
      <c r="G277" s="348">
        <f t="shared" si="57"/>
        <v>20000</v>
      </c>
      <c r="H277" s="348">
        <f t="shared" si="57"/>
        <v>0</v>
      </c>
      <c r="I277" s="421"/>
      <c r="J277" s="348">
        <f t="shared" si="57"/>
        <v>20000</v>
      </c>
      <c r="K277" s="348">
        <f t="shared" si="57"/>
        <v>0</v>
      </c>
      <c r="L277"/>
      <c r="M277"/>
      <c r="N277"/>
      <c r="O277"/>
      <c r="P277"/>
      <c r="Q277"/>
      <c r="R277"/>
      <c r="S277"/>
      <c r="T277"/>
      <c r="U277" s="357"/>
      <c r="V277" s="357"/>
      <c r="W277" s="358"/>
      <c r="X277" s="357"/>
      <c r="Y277" s="357"/>
      <c r="Z277" s="357"/>
      <c r="AA277" s="357"/>
    </row>
    <row r="278" spans="1:27" s="383" customFormat="1" ht="12" customHeight="1">
      <c r="A278" s="1015"/>
      <c r="B278" s="1016"/>
      <c r="C278" s="350">
        <v>375</v>
      </c>
      <c r="D278" s="350"/>
      <c r="E278" s="350">
        <v>372</v>
      </c>
      <c r="F278" s="350"/>
      <c r="G278" s="352">
        <v>0</v>
      </c>
      <c r="H278" s="350"/>
      <c r="I278" s="420">
        <v>1150</v>
      </c>
      <c r="J278" s="350"/>
      <c r="K278" s="352"/>
      <c r="L278"/>
      <c r="M278"/>
      <c r="N278"/>
      <c r="O278"/>
      <c r="P278"/>
      <c r="Q278"/>
      <c r="R278"/>
      <c r="S278"/>
      <c r="T278"/>
      <c r="U278" s="357"/>
      <c r="V278" s="357"/>
      <c r="W278" s="358"/>
      <c r="X278" s="357"/>
      <c r="Y278" s="357"/>
      <c r="Z278" s="357"/>
      <c r="AA278" s="357"/>
    </row>
    <row r="279" spans="1:27" s="383" customFormat="1" ht="12" customHeight="1">
      <c r="A279" s="1015"/>
      <c r="B279" s="1016"/>
      <c r="C279" s="350">
        <v>50</v>
      </c>
      <c r="D279" s="350"/>
      <c r="E279" s="350">
        <v>50</v>
      </c>
      <c r="F279" s="350"/>
      <c r="G279" s="350">
        <v>0</v>
      </c>
      <c r="H279" s="350"/>
      <c r="I279" s="420">
        <v>2231</v>
      </c>
      <c r="J279" s="350"/>
      <c r="K279" s="352"/>
      <c r="L279"/>
      <c r="M279"/>
      <c r="N279"/>
      <c r="O279"/>
      <c r="P279"/>
      <c r="Q279"/>
      <c r="R279"/>
      <c r="S279"/>
      <c r="T279"/>
      <c r="U279" s="358"/>
      <c r="V279" s="357"/>
      <c r="W279" s="358"/>
      <c r="X279" s="357"/>
      <c r="Y279" s="357"/>
      <c r="Z279" s="357"/>
      <c r="AA279" s="362"/>
    </row>
    <row r="280" spans="1:27" s="383" customFormat="1" ht="15">
      <c r="A280" s="1017"/>
      <c r="B280" s="1018"/>
      <c r="C280" s="352">
        <v>66</v>
      </c>
      <c r="D280" s="352"/>
      <c r="E280" s="352">
        <v>65.88</v>
      </c>
      <c r="F280" s="352"/>
      <c r="G280" s="352">
        <v>0</v>
      </c>
      <c r="H280" s="352"/>
      <c r="I280" s="420">
        <v>2262</v>
      </c>
      <c r="J280" s="350"/>
      <c r="K280" s="352"/>
      <c r="L280"/>
      <c r="M280"/>
      <c r="N280"/>
      <c r="O280"/>
      <c r="P280"/>
      <c r="Q280"/>
      <c r="R280"/>
      <c r="S280"/>
      <c r="T280"/>
      <c r="U280" s="358"/>
      <c r="V280" s="358"/>
      <c r="W280" s="358"/>
      <c r="X280" s="357"/>
      <c r="Y280" s="358"/>
      <c r="Z280" s="357"/>
      <c r="AA280" s="358"/>
    </row>
    <row r="281" spans="1:27" s="383" customFormat="1" ht="15">
      <c r="A281" s="1017"/>
      <c r="B281" s="1018"/>
      <c r="C281" s="350">
        <v>5470</v>
      </c>
      <c r="D281" s="350"/>
      <c r="E281" s="350">
        <v>5337.16</v>
      </c>
      <c r="F281" s="350"/>
      <c r="G281" s="380">
        <v>20000</v>
      </c>
      <c r="H281" s="350"/>
      <c r="I281" s="420">
        <v>2279</v>
      </c>
      <c r="J281" s="350">
        <v>20000</v>
      </c>
      <c r="K281" s="352"/>
      <c r="L281"/>
      <c r="M281"/>
      <c r="N281"/>
      <c r="O281"/>
      <c r="P281"/>
      <c r="Q281"/>
      <c r="R281"/>
      <c r="S281"/>
      <c r="T281"/>
      <c r="U281" s="358"/>
      <c r="V281" s="358"/>
      <c r="W281" s="358"/>
      <c r="X281" s="357"/>
      <c r="Y281" s="358"/>
      <c r="Z281" s="357"/>
      <c r="AA281" s="358"/>
    </row>
    <row r="282" spans="1:27" s="383" customFormat="1" ht="15">
      <c r="A282" s="1017"/>
      <c r="B282" s="1018"/>
      <c r="C282" s="350">
        <v>199</v>
      </c>
      <c r="D282" s="350"/>
      <c r="E282" s="350">
        <v>199.13</v>
      </c>
      <c r="F282" s="350"/>
      <c r="G282" s="380">
        <v>0</v>
      </c>
      <c r="H282" s="350">
        <v>0</v>
      </c>
      <c r="I282" s="420">
        <v>2390</v>
      </c>
      <c r="J282" s="350"/>
      <c r="K282" s="352"/>
      <c r="L282"/>
      <c r="M282"/>
      <c r="N282"/>
      <c r="O282"/>
      <c r="P282"/>
      <c r="Q282"/>
      <c r="R282"/>
      <c r="S282"/>
      <c r="T282"/>
      <c r="U282" s="358"/>
      <c r="V282" s="358"/>
      <c r="W282" s="358"/>
      <c r="X282" s="357"/>
      <c r="Y282" s="357"/>
      <c r="Z282" s="357"/>
      <c r="AA282" s="358"/>
    </row>
    <row r="283" ht="15"/>
    <row r="284" ht="12" customHeight="1"/>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c r="J344" s="385"/>
    </row>
    <row r="345" ht="15">
      <c r="J345" s="385"/>
    </row>
    <row r="346" ht="15">
      <c r="J346" s="385"/>
    </row>
    <row r="347" ht="15">
      <c r="J347" s="385"/>
    </row>
    <row r="348" ht="15">
      <c r="J348" s="385"/>
    </row>
    <row r="349" ht="15">
      <c r="J349" s="385"/>
    </row>
    <row r="350" ht="15">
      <c r="J350" s="385"/>
    </row>
    <row r="351" ht="15">
      <c r="J351" s="385"/>
    </row>
    <row r="352" ht="15">
      <c r="J352" s="385"/>
    </row>
    <row r="353" ht="15">
      <c r="J353" s="385"/>
    </row>
  </sheetData>
  <sheetProtection/>
  <mergeCells count="116">
    <mergeCell ref="C4:K4"/>
    <mergeCell ref="A5:K5"/>
    <mergeCell ref="C6:K6"/>
    <mergeCell ref="C7:K7"/>
    <mergeCell ref="A8:A9"/>
    <mergeCell ref="B8:B9"/>
    <mergeCell ref="C8:D8"/>
    <mergeCell ref="E8:F8"/>
    <mergeCell ref="G8:H8"/>
    <mergeCell ref="I8:I9"/>
    <mergeCell ref="J8:K8"/>
    <mergeCell ref="A10:B10"/>
    <mergeCell ref="A12:A14"/>
    <mergeCell ref="B12:B14"/>
    <mergeCell ref="A15:A17"/>
    <mergeCell ref="B15:B17"/>
    <mergeCell ref="A18:A21"/>
    <mergeCell ref="B18:B21"/>
    <mergeCell ref="A22:A24"/>
    <mergeCell ref="B22:B24"/>
    <mergeCell ref="A25:A31"/>
    <mergeCell ref="B25:B31"/>
    <mergeCell ref="A32:A36"/>
    <mergeCell ref="B32:B36"/>
    <mergeCell ref="A38:A44"/>
    <mergeCell ref="B38:B44"/>
    <mergeCell ref="A45:A50"/>
    <mergeCell ref="B45:B50"/>
    <mergeCell ref="A51:A54"/>
    <mergeCell ref="B51:B54"/>
    <mergeCell ref="B55:B59"/>
    <mergeCell ref="B60:B64"/>
    <mergeCell ref="A65:A70"/>
    <mergeCell ref="B65:B70"/>
    <mergeCell ref="B113:B116"/>
    <mergeCell ref="A113:A116"/>
    <mergeCell ref="A71:A76"/>
    <mergeCell ref="B71:B76"/>
    <mergeCell ref="A78:A85"/>
    <mergeCell ref="B78:B85"/>
    <mergeCell ref="A86:A93"/>
    <mergeCell ref="B86:B93"/>
    <mergeCell ref="A94:A102"/>
    <mergeCell ref="B94:B102"/>
    <mergeCell ref="A104:A106"/>
    <mergeCell ref="B104:B106"/>
    <mergeCell ref="A107:A112"/>
    <mergeCell ref="B107:B112"/>
    <mergeCell ref="A117:A122"/>
    <mergeCell ref="B117:B122"/>
    <mergeCell ref="A123:A127"/>
    <mergeCell ref="B123:B127"/>
    <mergeCell ref="A128:A133"/>
    <mergeCell ref="B128:B133"/>
    <mergeCell ref="A134:A137"/>
    <mergeCell ref="B134:B137"/>
    <mergeCell ref="A138:A139"/>
    <mergeCell ref="B138:B139"/>
    <mergeCell ref="A140:A144"/>
    <mergeCell ref="B140:B144"/>
    <mergeCell ref="A145:A152"/>
    <mergeCell ref="B145:B152"/>
    <mergeCell ref="A153:A155"/>
    <mergeCell ref="B153:B155"/>
    <mergeCell ref="A156:A162"/>
    <mergeCell ref="B156:B162"/>
    <mergeCell ref="A163:A165"/>
    <mergeCell ref="B163:B165"/>
    <mergeCell ref="A166:A168"/>
    <mergeCell ref="B166:B168"/>
    <mergeCell ref="A169:A173"/>
    <mergeCell ref="B169:B173"/>
    <mergeCell ref="B174:B175"/>
    <mergeCell ref="A177:A178"/>
    <mergeCell ref="B177:B178"/>
    <mergeCell ref="A179:A180"/>
    <mergeCell ref="B179:B180"/>
    <mergeCell ref="A181:A183"/>
    <mergeCell ref="B181:B183"/>
    <mergeCell ref="A174:A175"/>
    <mergeCell ref="A184:A185"/>
    <mergeCell ref="B184:B185"/>
    <mergeCell ref="A186:A187"/>
    <mergeCell ref="B186:B187"/>
    <mergeCell ref="A189:A190"/>
    <mergeCell ref="B189:B190"/>
    <mergeCell ref="A193:A196"/>
    <mergeCell ref="B193:B196"/>
    <mergeCell ref="A197:A201"/>
    <mergeCell ref="B197:B201"/>
    <mergeCell ref="B202:B203"/>
    <mergeCell ref="B204:B205"/>
    <mergeCell ref="A206:A207"/>
    <mergeCell ref="B206:B207"/>
    <mergeCell ref="A211:A212"/>
    <mergeCell ref="B211:B212"/>
    <mergeCell ref="A215:A220"/>
    <mergeCell ref="B215:B220"/>
    <mergeCell ref="B231:B232"/>
    <mergeCell ref="B234:B236"/>
    <mergeCell ref="A237:A238"/>
    <mergeCell ref="B237:B238"/>
    <mergeCell ref="A240:A247"/>
    <mergeCell ref="B240:B247"/>
    <mergeCell ref="A251:A257"/>
    <mergeCell ref="B251:B257"/>
    <mergeCell ref="A258:A260"/>
    <mergeCell ref="B258:B260"/>
    <mergeCell ref="A261:A263"/>
    <mergeCell ref="B261:B263"/>
    <mergeCell ref="A264:A267"/>
    <mergeCell ref="B264:B267"/>
    <mergeCell ref="A268:A273"/>
    <mergeCell ref="B268:B273"/>
    <mergeCell ref="A277:A282"/>
    <mergeCell ref="B277:B282"/>
  </mergeCells>
  <printOptions/>
  <pageMargins left="0.3937007874015748" right="0.3937007874015748" top="0.7874015748031497" bottom="0.7874015748031497" header="0.5118110236220472" footer="0.5118110236220472"/>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N60"/>
  <sheetViews>
    <sheetView zoomScalePageLayoutView="0" workbookViewId="0" topLeftCell="A34">
      <selection activeCell="I21" sqref="I21"/>
    </sheetView>
  </sheetViews>
  <sheetFormatPr defaultColWidth="9.140625" defaultRowHeight="15"/>
  <cols>
    <col min="1" max="1" width="11.7109375" style="451" customWidth="1"/>
    <col min="2" max="2" width="35.421875" style="451" customWidth="1"/>
    <col min="3" max="3" width="12.00390625" style="451" customWidth="1"/>
    <col min="4" max="4" width="11.421875" style="451" customWidth="1"/>
    <col min="5" max="5" width="12.28125" style="451" customWidth="1"/>
    <col min="6" max="6" width="11.140625" style="451" customWidth="1"/>
    <col min="7" max="7" width="11.421875" style="451" customWidth="1"/>
    <col min="8" max="8" width="12.28125" style="451" customWidth="1"/>
    <col min="9" max="9" width="11.421875" style="451" customWidth="1"/>
    <col min="15" max="16384" width="9.140625" style="451" customWidth="1"/>
  </cols>
  <sheetData>
    <row r="1" spans="1:14" s="744" customFormat="1" ht="15.75">
      <c r="A1" s="740"/>
      <c r="B1" s="741"/>
      <c r="C1" s="741"/>
      <c r="D1" s="741"/>
      <c r="E1" s="741"/>
      <c r="F1" s="742"/>
      <c r="G1" s="455"/>
      <c r="H1" s="455"/>
      <c r="I1" s="743" t="s">
        <v>1633</v>
      </c>
      <c r="J1"/>
      <c r="K1"/>
      <c r="L1"/>
      <c r="M1"/>
      <c r="N1"/>
    </row>
    <row r="2" spans="1:14" s="744" customFormat="1" ht="15.75">
      <c r="A2" s="740"/>
      <c r="B2" s="741"/>
      <c r="C2" s="741"/>
      <c r="D2" s="741"/>
      <c r="E2" s="741"/>
      <c r="F2" s="742"/>
      <c r="G2" s="455"/>
      <c r="H2" s="455"/>
      <c r="I2" s="743" t="s">
        <v>1632</v>
      </c>
      <c r="J2"/>
      <c r="K2"/>
      <c r="L2"/>
      <c r="M2"/>
      <c r="N2"/>
    </row>
    <row r="3" spans="1:14" s="744" customFormat="1" ht="15.75">
      <c r="A3" s="740"/>
      <c r="B3" s="741"/>
      <c r="C3" s="741"/>
      <c r="D3" s="741"/>
      <c r="E3" s="741"/>
      <c r="F3" s="742"/>
      <c r="G3" s="455"/>
      <c r="H3" s="455"/>
      <c r="I3" s="743" t="s">
        <v>1628</v>
      </c>
      <c r="J3"/>
      <c r="K3"/>
      <c r="L3"/>
      <c r="M3"/>
      <c r="N3"/>
    </row>
    <row r="4" spans="1:9" ht="15">
      <c r="A4" s="449"/>
      <c r="B4" s="452"/>
      <c r="C4" s="452"/>
      <c r="D4" s="452"/>
      <c r="E4" s="452"/>
      <c r="F4" s="453"/>
      <c r="G4" s="454"/>
      <c r="H4" s="449"/>
      <c r="I4" s="450"/>
    </row>
    <row r="5" spans="1:9" ht="18.75">
      <c r="A5" s="773" t="s">
        <v>1050</v>
      </c>
      <c r="B5" s="773"/>
      <c r="C5" s="773"/>
      <c r="D5" s="773"/>
      <c r="E5" s="773"/>
      <c r="F5" s="773"/>
      <c r="G5" s="773"/>
      <c r="H5" s="773"/>
      <c r="I5" s="773"/>
    </row>
    <row r="6" spans="1:9" ht="18.75">
      <c r="A6" s="773" t="s">
        <v>1051</v>
      </c>
      <c r="B6" s="773"/>
      <c r="C6" s="773"/>
      <c r="D6" s="773"/>
      <c r="E6" s="773"/>
      <c r="F6" s="773"/>
      <c r="G6" s="773"/>
      <c r="H6" s="773"/>
      <c r="I6" s="773"/>
    </row>
    <row r="7" spans="1:9" ht="15.75">
      <c r="A7" s="455"/>
      <c r="B7" s="455"/>
      <c r="C7" s="455"/>
      <c r="D7" s="455"/>
      <c r="E7" s="455"/>
      <c r="F7" s="455"/>
      <c r="G7" s="456"/>
      <c r="H7" s="456"/>
      <c r="I7" s="456"/>
    </row>
    <row r="8" spans="1:9" ht="28.5" customHeight="1">
      <c r="A8" s="774" t="s">
        <v>1052</v>
      </c>
      <c r="B8" s="776" t="s">
        <v>1053</v>
      </c>
      <c r="C8" s="778" t="s">
        <v>1122</v>
      </c>
      <c r="D8" s="780" t="s">
        <v>1054</v>
      </c>
      <c r="E8" s="780"/>
      <c r="F8" s="780"/>
      <c r="G8" s="781" t="s">
        <v>1055</v>
      </c>
      <c r="H8" s="781"/>
      <c r="I8" s="782"/>
    </row>
    <row r="9" spans="1:9" ht="15">
      <c r="A9" s="775"/>
      <c r="B9" s="777"/>
      <c r="C9" s="779"/>
      <c r="D9" s="771" t="s">
        <v>1056</v>
      </c>
      <c r="E9" s="771" t="s">
        <v>1057</v>
      </c>
      <c r="F9" s="771" t="s">
        <v>1058</v>
      </c>
      <c r="G9" s="771" t="s">
        <v>1056</v>
      </c>
      <c r="H9" s="771" t="s">
        <v>1057</v>
      </c>
      <c r="I9" s="772" t="s">
        <v>1058</v>
      </c>
    </row>
    <row r="10" spans="1:9" ht="64.5" customHeight="1">
      <c r="A10" s="775"/>
      <c r="B10" s="777"/>
      <c r="C10" s="779"/>
      <c r="D10" s="771"/>
      <c r="E10" s="771"/>
      <c r="F10" s="771"/>
      <c r="G10" s="771"/>
      <c r="H10" s="771"/>
      <c r="I10" s="772"/>
    </row>
    <row r="11" spans="1:9" ht="15.75" customHeight="1">
      <c r="A11" s="457">
        <v>1</v>
      </c>
      <c r="B11" s="458">
        <v>2</v>
      </c>
      <c r="C11" s="458">
        <v>3</v>
      </c>
      <c r="D11" s="458">
        <v>4</v>
      </c>
      <c r="E11" s="458">
        <v>5</v>
      </c>
      <c r="F11" s="458">
        <v>6</v>
      </c>
      <c r="G11" s="458">
        <v>7</v>
      </c>
      <c r="H11" s="458">
        <v>8</v>
      </c>
      <c r="I11" s="459">
        <v>9</v>
      </c>
    </row>
    <row r="12" spans="1:9" ht="25.5">
      <c r="A12" s="460"/>
      <c r="B12" s="461" t="s">
        <v>1059</v>
      </c>
      <c r="C12" s="462">
        <f>D12+E12+F12</f>
        <v>21900</v>
      </c>
      <c r="D12" s="462">
        <f>25*365</f>
        <v>9125</v>
      </c>
      <c r="E12" s="462">
        <f>15*365</f>
        <v>5475</v>
      </c>
      <c r="F12" s="462">
        <f>20*365</f>
        <v>7300</v>
      </c>
      <c r="G12" s="463"/>
      <c r="H12" s="463"/>
      <c r="I12" s="464"/>
    </row>
    <row r="13" spans="1:9" ht="15.75" customHeight="1">
      <c r="A13" s="465"/>
      <c r="B13" s="466" t="s">
        <v>1060</v>
      </c>
      <c r="C13" s="467">
        <f>C15+C28+C40+C50</f>
        <v>198206</v>
      </c>
      <c r="D13" s="467">
        <f aca="true" t="shared" si="0" ref="D13:I13">D15+D27</f>
        <v>61849</v>
      </c>
      <c r="E13" s="467">
        <f t="shared" si="0"/>
        <v>69794</v>
      </c>
      <c r="F13" s="467">
        <f t="shared" si="0"/>
        <v>66563</v>
      </c>
      <c r="G13" s="468">
        <f t="shared" si="0"/>
        <v>6.773544030976577</v>
      </c>
      <c r="H13" s="468">
        <f t="shared" si="0"/>
        <v>12.747762557077627</v>
      </c>
      <c r="I13" s="469">
        <f t="shared" si="0"/>
        <v>9.118219178082192</v>
      </c>
    </row>
    <row r="14" spans="1:9" ht="15.75" customHeight="1">
      <c r="A14" s="470"/>
      <c r="B14" s="471"/>
      <c r="C14" s="472"/>
      <c r="D14" s="472"/>
      <c r="E14" s="472"/>
      <c r="F14" s="472"/>
      <c r="G14" s="473"/>
      <c r="H14" s="473"/>
      <c r="I14" s="474"/>
    </row>
    <row r="15" spans="1:9" ht="15.75" customHeight="1">
      <c r="A15" s="475">
        <v>1000</v>
      </c>
      <c r="B15" s="466" t="s">
        <v>1061</v>
      </c>
      <c r="C15" s="467">
        <f>C16+C24</f>
        <v>152310</v>
      </c>
      <c r="D15" s="467">
        <f>D16+D24</f>
        <v>50806</v>
      </c>
      <c r="E15" s="467">
        <f>E16+E24</f>
        <v>55676</v>
      </c>
      <c r="F15" s="467">
        <f>F16+F24</f>
        <v>45828</v>
      </c>
      <c r="G15" s="476">
        <f>D15/D12</f>
        <v>5.567780821917808</v>
      </c>
      <c r="H15" s="476">
        <f>E15/E12</f>
        <v>10.169132420091325</v>
      </c>
      <c r="I15" s="477">
        <f>F15/F12</f>
        <v>6.277808219178082</v>
      </c>
    </row>
    <row r="16" spans="1:9" ht="15.75" customHeight="1">
      <c r="A16" s="478">
        <v>1100</v>
      </c>
      <c r="B16" s="471" t="s">
        <v>1062</v>
      </c>
      <c r="C16" s="462">
        <f>D16+E16+F16</f>
        <v>122742</v>
      </c>
      <c r="D16" s="472">
        <f>D17+D19</f>
        <v>40943</v>
      </c>
      <c r="E16" s="472">
        <f>E17+E19</f>
        <v>44868</v>
      </c>
      <c r="F16" s="472">
        <f>F17+F19</f>
        <v>36931</v>
      </c>
      <c r="G16" s="479">
        <f>D16/D12</f>
        <v>4.486904109589041</v>
      </c>
      <c r="H16" s="479">
        <f>E16/E12</f>
        <v>8.195068493150686</v>
      </c>
      <c r="I16" s="480">
        <f>F16/F12</f>
        <v>5.059041095890411</v>
      </c>
    </row>
    <row r="17" spans="1:9" ht="15.75" customHeight="1">
      <c r="A17" s="481">
        <v>1110</v>
      </c>
      <c r="B17" s="471" t="s">
        <v>1062</v>
      </c>
      <c r="C17" s="472">
        <f>C18</f>
        <v>114644</v>
      </c>
      <c r="D17" s="472">
        <f>D18</f>
        <v>38915</v>
      </c>
      <c r="E17" s="472">
        <f>E18</f>
        <v>42268</v>
      </c>
      <c r="F17" s="472">
        <f>F18</f>
        <v>33461</v>
      </c>
      <c r="G17" s="479">
        <f>D17/D12</f>
        <v>4.264657534246576</v>
      </c>
      <c r="H17" s="479">
        <f>E17/E12</f>
        <v>7.720182648401827</v>
      </c>
      <c r="I17" s="480">
        <f>F17/F12</f>
        <v>4.583698630136986</v>
      </c>
    </row>
    <row r="18" spans="1:9" ht="24" customHeight="1">
      <c r="A18" s="483">
        <v>1119</v>
      </c>
      <c r="B18" s="461" t="s">
        <v>1102</v>
      </c>
      <c r="C18" s="484">
        <f>D18+E18+F18</f>
        <v>114644</v>
      </c>
      <c r="D18" s="484">
        <v>38915</v>
      </c>
      <c r="E18" s="484">
        <v>42268</v>
      </c>
      <c r="F18" s="484">
        <v>33461</v>
      </c>
      <c r="G18" s="485">
        <f>D18/D12</f>
        <v>4.264657534246576</v>
      </c>
      <c r="H18" s="485">
        <f>E18/E12</f>
        <v>7.720182648401827</v>
      </c>
      <c r="I18" s="486">
        <f>F18/F12</f>
        <v>4.583698630136986</v>
      </c>
    </row>
    <row r="19" spans="1:9" ht="15.75" customHeight="1">
      <c r="A19" s="481">
        <v>1140</v>
      </c>
      <c r="B19" s="471" t="s">
        <v>1063</v>
      </c>
      <c r="C19" s="462">
        <f aca="true" t="shared" si="1" ref="C19:I19">SUM(C20:C23)</f>
        <v>8098</v>
      </c>
      <c r="D19" s="462">
        <f t="shared" si="1"/>
        <v>2028</v>
      </c>
      <c r="E19" s="462">
        <f t="shared" si="1"/>
        <v>2600</v>
      </c>
      <c r="F19" s="462">
        <f t="shared" si="1"/>
        <v>3470</v>
      </c>
      <c r="G19" s="487">
        <f t="shared" si="1"/>
        <v>0.22224657534246575</v>
      </c>
      <c r="H19" s="487">
        <f t="shared" si="1"/>
        <v>0.4748858447488584</v>
      </c>
      <c r="I19" s="488">
        <f t="shared" si="1"/>
        <v>0.3582191780821918</v>
      </c>
    </row>
    <row r="20" spans="1:9" ht="15.75" customHeight="1">
      <c r="A20" s="460">
        <v>1141</v>
      </c>
      <c r="B20" s="463" t="s">
        <v>1064</v>
      </c>
      <c r="C20" s="484">
        <f aca="true" t="shared" si="2" ref="C20:C26">D20+E20+F20</f>
        <v>5588</v>
      </c>
      <c r="D20" s="484">
        <v>1518</v>
      </c>
      <c r="E20" s="484">
        <v>1620</v>
      </c>
      <c r="F20" s="484">
        <v>2450</v>
      </c>
      <c r="G20" s="485">
        <f>D20/D12</f>
        <v>0.16635616438356166</v>
      </c>
      <c r="H20" s="485">
        <f>E20/E12</f>
        <v>0.2958904109589041</v>
      </c>
      <c r="I20" s="486">
        <f>F20/F12</f>
        <v>0.3356164383561644</v>
      </c>
    </row>
    <row r="21" spans="1:9" ht="23.25" customHeight="1">
      <c r="A21" s="460">
        <v>1142</v>
      </c>
      <c r="B21" s="489" t="s">
        <v>1419</v>
      </c>
      <c r="C21" s="484">
        <f t="shared" si="2"/>
        <v>1965</v>
      </c>
      <c r="D21" s="484">
        <v>360</v>
      </c>
      <c r="E21" s="484">
        <v>750</v>
      </c>
      <c r="F21" s="484">
        <v>855</v>
      </c>
      <c r="G21" s="485">
        <f>D21/D12</f>
        <v>0.03945205479452055</v>
      </c>
      <c r="H21" s="485">
        <f>E21/E12</f>
        <v>0.136986301369863</v>
      </c>
      <c r="I21" s="486"/>
    </row>
    <row r="22" spans="1:9" ht="30.75" customHeight="1">
      <c r="A22" s="460">
        <v>1145</v>
      </c>
      <c r="B22" s="461" t="s">
        <v>1065</v>
      </c>
      <c r="C22" s="484">
        <f t="shared" si="2"/>
        <v>545</v>
      </c>
      <c r="D22" s="484">
        <v>150</v>
      </c>
      <c r="E22" s="484">
        <v>230</v>
      </c>
      <c r="F22" s="484">
        <v>165</v>
      </c>
      <c r="G22" s="485">
        <f>D22/D12</f>
        <v>0.01643835616438356</v>
      </c>
      <c r="H22" s="485">
        <f>E22/E12</f>
        <v>0.04200913242009133</v>
      </c>
      <c r="I22" s="486">
        <f>F22/F12</f>
        <v>0.022602739726027398</v>
      </c>
    </row>
    <row r="23" spans="1:9" ht="15.75" customHeight="1">
      <c r="A23" s="460">
        <v>1149</v>
      </c>
      <c r="B23" s="463" t="s">
        <v>1066</v>
      </c>
      <c r="C23" s="484">
        <f t="shared" si="2"/>
        <v>0</v>
      </c>
      <c r="D23" s="484"/>
      <c r="E23" s="484"/>
      <c r="F23" s="484"/>
      <c r="G23" s="485">
        <f>D23/D12</f>
        <v>0</v>
      </c>
      <c r="H23" s="485">
        <f>E23/E12</f>
        <v>0</v>
      </c>
      <c r="I23" s="486">
        <f>F23/F12</f>
        <v>0</v>
      </c>
    </row>
    <row r="24" spans="1:9" ht="30" customHeight="1">
      <c r="A24" s="478">
        <v>1200</v>
      </c>
      <c r="B24" s="490" t="s">
        <v>1067</v>
      </c>
      <c r="C24" s="462">
        <f t="shared" si="2"/>
        <v>29568</v>
      </c>
      <c r="D24" s="462">
        <f aca="true" t="shared" si="3" ref="D24:I24">D25</f>
        <v>9863</v>
      </c>
      <c r="E24" s="462">
        <f t="shared" si="3"/>
        <v>10808</v>
      </c>
      <c r="F24" s="462">
        <f t="shared" si="3"/>
        <v>8897</v>
      </c>
      <c r="G24" s="487">
        <f t="shared" si="3"/>
        <v>1.080876712328767</v>
      </c>
      <c r="H24" s="487">
        <f t="shared" si="3"/>
        <v>1.9740639269406393</v>
      </c>
      <c r="I24" s="488">
        <f t="shared" si="3"/>
        <v>1.2187671232876713</v>
      </c>
    </row>
    <row r="25" spans="1:9" ht="30" customHeight="1">
      <c r="A25" s="460">
        <v>1210</v>
      </c>
      <c r="B25" s="491" t="s">
        <v>1067</v>
      </c>
      <c r="C25" s="484">
        <f t="shared" si="2"/>
        <v>29568</v>
      </c>
      <c r="D25" s="484">
        <v>9863</v>
      </c>
      <c r="E25" s="484">
        <v>10808</v>
      </c>
      <c r="F25" s="484">
        <v>8897</v>
      </c>
      <c r="G25" s="485">
        <f>D25/D12</f>
        <v>1.080876712328767</v>
      </c>
      <c r="H25" s="485">
        <f>E25/E12</f>
        <v>1.9740639269406393</v>
      </c>
      <c r="I25" s="486">
        <f>F25/F12</f>
        <v>1.2187671232876713</v>
      </c>
    </row>
    <row r="26" spans="1:9" ht="24.75" customHeight="1">
      <c r="A26" s="460">
        <v>1227</v>
      </c>
      <c r="B26" s="461" t="s">
        <v>1103</v>
      </c>
      <c r="C26" s="484">
        <f t="shared" si="2"/>
        <v>0</v>
      </c>
      <c r="D26" s="484"/>
      <c r="E26" s="484"/>
      <c r="F26" s="484"/>
      <c r="G26" s="485">
        <f>D26/D12</f>
        <v>0</v>
      </c>
      <c r="H26" s="485">
        <f>E26/E12</f>
        <v>0</v>
      </c>
      <c r="I26" s="486">
        <f>F26/F12</f>
        <v>0</v>
      </c>
    </row>
    <row r="27" spans="1:9" ht="15.75" customHeight="1">
      <c r="A27" s="475">
        <v>2000</v>
      </c>
      <c r="B27" s="466" t="s">
        <v>1068</v>
      </c>
      <c r="C27" s="492">
        <f aca="true" t="shared" si="4" ref="C27:I27">C28+C40+C50</f>
        <v>45896</v>
      </c>
      <c r="D27" s="493">
        <f t="shared" si="4"/>
        <v>11043</v>
      </c>
      <c r="E27" s="493">
        <f t="shared" si="4"/>
        <v>14118</v>
      </c>
      <c r="F27" s="493">
        <f t="shared" si="4"/>
        <v>20735</v>
      </c>
      <c r="G27" s="476">
        <f t="shared" si="4"/>
        <v>1.2057632090587682</v>
      </c>
      <c r="H27" s="476">
        <f t="shared" si="4"/>
        <v>2.5786301369863014</v>
      </c>
      <c r="I27" s="477">
        <f t="shared" si="4"/>
        <v>2.8404109589041098</v>
      </c>
    </row>
    <row r="28" spans="1:9" ht="15.75" customHeight="1">
      <c r="A28" s="478">
        <v>2200</v>
      </c>
      <c r="B28" s="471" t="s">
        <v>1069</v>
      </c>
      <c r="C28" s="462">
        <f aca="true" t="shared" si="5" ref="C28:C52">D28+E28+F28</f>
        <v>14492</v>
      </c>
      <c r="D28" s="472">
        <f>SUM(D29:D39)</f>
        <v>4302</v>
      </c>
      <c r="E28" s="472">
        <f>SUM(E29:E39)</f>
        <v>4662</v>
      </c>
      <c r="F28" s="472">
        <f>SUM(F29:F39)</f>
        <v>5528</v>
      </c>
      <c r="G28" s="479">
        <f>D28/D12</f>
        <v>0.47145205479452057</v>
      </c>
      <c r="H28" s="479">
        <f>E28/E12</f>
        <v>0.8515068493150685</v>
      </c>
      <c r="I28" s="480">
        <f>F28/F12</f>
        <v>0.7572602739726028</v>
      </c>
    </row>
    <row r="29" spans="1:9" ht="41.25" customHeight="1">
      <c r="A29" s="460">
        <v>2212</v>
      </c>
      <c r="B29" s="461" t="s">
        <v>1070</v>
      </c>
      <c r="C29" s="462">
        <f t="shared" si="5"/>
        <v>702</v>
      </c>
      <c r="D29" s="494">
        <v>245</v>
      </c>
      <c r="E29" s="494">
        <v>210</v>
      </c>
      <c r="F29" s="494">
        <v>247</v>
      </c>
      <c r="G29" s="485">
        <f>D29/D12</f>
        <v>0.02684931506849315</v>
      </c>
      <c r="H29" s="485">
        <f>E29/E12</f>
        <v>0.038356164383561646</v>
      </c>
      <c r="I29" s="486">
        <f>F29/F12</f>
        <v>0.03383561643835616</v>
      </c>
    </row>
    <row r="30" spans="1:9" ht="27" customHeight="1">
      <c r="A30" s="460">
        <v>2214</v>
      </c>
      <c r="B30" s="495" t="s">
        <v>1071</v>
      </c>
      <c r="C30" s="462">
        <f t="shared" si="5"/>
        <v>381</v>
      </c>
      <c r="D30" s="494">
        <v>180</v>
      </c>
      <c r="E30" s="494">
        <v>80</v>
      </c>
      <c r="F30" s="494">
        <v>121</v>
      </c>
      <c r="G30" s="485">
        <f>D30/D12</f>
        <v>0.019726027397260273</v>
      </c>
      <c r="H30" s="485">
        <f>E30/E12</f>
        <v>0.014611872146118721</v>
      </c>
      <c r="I30" s="486">
        <f>F30/F12</f>
        <v>0.016575342465753425</v>
      </c>
    </row>
    <row r="31" spans="1:9" ht="15.75" customHeight="1">
      <c r="A31" s="460">
        <v>2222</v>
      </c>
      <c r="B31" s="463" t="s">
        <v>1072</v>
      </c>
      <c r="C31" s="462">
        <f t="shared" si="5"/>
        <v>1129</v>
      </c>
      <c r="D31" s="494">
        <v>353</v>
      </c>
      <c r="E31" s="494">
        <v>398</v>
      </c>
      <c r="F31" s="494">
        <v>378</v>
      </c>
      <c r="G31" s="485">
        <f>D31/D12</f>
        <v>0.03868493150684932</v>
      </c>
      <c r="H31" s="485">
        <f>E31/E12</f>
        <v>0.07269406392694064</v>
      </c>
      <c r="I31" s="486">
        <f>F31/F12</f>
        <v>0.051780821917808216</v>
      </c>
    </row>
    <row r="32" spans="1:9" ht="15.75" customHeight="1">
      <c r="A32" s="460">
        <v>2223</v>
      </c>
      <c r="B32" s="463" t="s">
        <v>1073</v>
      </c>
      <c r="C32" s="462">
        <f t="shared" si="5"/>
        <v>3510</v>
      </c>
      <c r="D32" s="494">
        <v>700</v>
      </c>
      <c r="E32" s="494">
        <v>1282</v>
      </c>
      <c r="F32" s="494">
        <v>1528</v>
      </c>
      <c r="G32" s="485">
        <f>D32/D12</f>
        <v>0.07671232876712329</v>
      </c>
      <c r="H32" s="485">
        <f>E32/E12</f>
        <v>0.2341552511415525</v>
      </c>
      <c r="I32" s="486">
        <f>F32/F12</f>
        <v>0.20931506849315068</v>
      </c>
    </row>
    <row r="33" spans="1:9" ht="15.75" customHeight="1">
      <c r="A33" s="460">
        <v>2224</v>
      </c>
      <c r="B33" s="495" t="s">
        <v>1074</v>
      </c>
      <c r="C33" s="462">
        <f t="shared" si="5"/>
        <v>366</v>
      </c>
      <c r="D33" s="494">
        <v>80</v>
      </c>
      <c r="E33" s="494">
        <v>135</v>
      </c>
      <c r="F33" s="494">
        <v>151</v>
      </c>
      <c r="G33" s="485">
        <f>D33/D12</f>
        <v>0.008767123287671232</v>
      </c>
      <c r="H33" s="485">
        <f>E33/E12</f>
        <v>0.024657534246575342</v>
      </c>
      <c r="I33" s="486">
        <f>F33/F12</f>
        <v>0.020684931506849316</v>
      </c>
    </row>
    <row r="34" spans="1:9" ht="25.5" customHeight="1">
      <c r="A34" s="460">
        <v>2232</v>
      </c>
      <c r="B34" s="495" t="s">
        <v>1075</v>
      </c>
      <c r="C34" s="462">
        <f t="shared" si="5"/>
        <v>5955</v>
      </c>
      <c r="D34" s="494">
        <v>2414</v>
      </c>
      <c r="E34" s="494">
        <v>1589</v>
      </c>
      <c r="F34" s="494">
        <v>1952</v>
      </c>
      <c r="G34" s="485">
        <f>D34/D12</f>
        <v>0.2645479452054795</v>
      </c>
      <c r="H34" s="485">
        <f>E34/E12</f>
        <v>0.2902283105022831</v>
      </c>
      <c r="I34" s="486">
        <f>F34/F12</f>
        <v>0.2673972602739726</v>
      </c>
    </row>
    <row r="35" spans="1:9" ht="15.75" customHeight="1">
      <c r="A35" s="460">
        <v>2235</v>
      </c>
      <c r="B35" s="495" t="s">
        <v>1076</v>
      </c>
      <c r="C35" s="462">
        <f t="shared" si="5"/>
        <v>145</v>
      </c>
      <c r="D35" s="494"/>
      <c r="E35" s="494">
        <v>45</v>
      </c>
      <c r="F35" s="494">
        <v>100</v>
      </c>
      <c r="G35" s="485">
        <f>D35/D12</f>
        <v>0</v>
      </c>
      <c r="H35" s="485">
        <f>E35/E12</f>
        <v>0.00821917808219178</v>
      </c>
      <c r="I35" s="486">
        <f>F35/F12</f>
        <v>0.0136986301369863</v>
      </c>
    </row>
    <row r="36" spans="1:9" ht="15.75" customHeight="1">
      <c r="A36" s="460">
        <v>2241</v>
      </c>
      <c r="B36" s="495" t="s">
        <v>1077</v>
      </c>
      <c r="C36" s="462">
        <f t="shared" si="5"/>
        <v>0</v>
      </c>
      <c r="D36" s="494"/>
      <c r="E36" s="494"/>
      <c r="F36" s="494"/>
      <c r="G36" s="485">
        <f>D36/D12</f>
        <v>0</v>
      </c>
      <c r="H36" s="485">
        <f>E36/E12</f>
        <v>0</v>
      </c>
      <c r="I36" s="486">
        <f>F36/F12</f>
        <v>0</v>
      </c>
    </row>
    <row r="37" spans="1:9" ht="15.75" customHeight="1">
      <c r="A37" s="460">
        <v>2242</v>
      </c>
      <c r="B37" s="495" t="s">
        <v>1078</v>
      </c>
      <c r="C37" s="462">
        <f t="shared" si="5"/>
        <v>404</v>
      </c>
      <c r="D37" s="494">
        <v>134</v>
      </c>
      <c r="E37" s="494"/>
      <c r="F37" s="494">
        <v>270</v>
      </c>
      <c r="G37" s="485">
        <f>D37/D12</f>
        <v>0.014684931506849314</v>
      </c>
      <c r="H37" s="485">
        <f>E37/E12</f>
        <v>0</v>
      </c>
      <c r="I37" s="486">
        <f>F37/F12</f>
        <v>0.036986301369863014</v>
      </c>
    </row>
    <row r="38" spans="1:9" ht="15.75" customHeight="1">
      <c r="A38" s="460">
        <v>2244</v>
      </c>
      <c r="B38" s="495" t="s">
        <v>1079</v>
      </c>
      <c r="C38" s="462">
        <f t="shared" si="5"/>
        <v>528</v>
      </c>
      <c r="D38" s="494"/>
      <c r="E38" s="494">
        <v>286</v>
      </c>
      <c r="F38" s="494">
        <v>242</v>
      </c>
      <c r="G38" s="485">
        <f>D38/D12</f>
        <v>0</v>
      </c>
      <c r="H38" s="485">
        <f>E38/E12</f>
        <v>0.05223744292237443</v>
      </c>
      <c r="I38" s="486">
        <f>F38/F12</f>
        <v>0.03315068493150685</v>
      </c>
    </row>
    <row r="39" spans="1:9" ht="30" customHeight="1">
      <c r="A39" s="460">
        <v>2249</v>
      </c>
      <c r="B39" s="495" t="s">
        <v>1080</v>
      </c>
      <c r="C39" s="462">
        <f t="shared" si="5"/>
        <v>1372</v>
      </c>
      <c r="D39" s="494">
        <v>196</v>
      </c>
      <c r="E39" s="494">
        <v>637</v>
      </c>
      <c r="F39" s="494">
        <v>539</v>
      </c>
      <c r="G39" s="485">
        <f>D39/D12</f>
        <v>0.02147945205479452</v>
      </c>
      <c r="H39" s="485">
        <f>E39/E12</f>
        <v>0.11634703196347032</v>
      </c>
      <c r="I39" s="486">
        <f>F39/F12</f>
        <v>0.07383561643835616</v>
      </c>
    </row>
    <row r="40" spans="1:9" ht="26.25" customHeight="1">
      <c r="A40" s="478">
        <v>2300</v>
      </c>
      <c r="B40" s="490" t="s">
        <v>1081</v>
      </c>
      <c r="C40" s="462">
        <f t="shared" si="5"/>
        <v>31322</v>
      </c>
      <c r="D40" s="472">
        <f>SUM(D41:D49)</f>
        <v>6689</v>
      </c>
      <c r="E40" s="472">
        <f>SUM(E41:E49)</f>
        <v>9426</v>
      </c>
      <c r="F40" s="472">
        <f>SUM(F41:F49)</f>
        <v>15207</v>
      </c>
      <c r="G40" s="479">
        <f>D40/D12</f>
        <v>0.733041095890411</v>
      </c>
      <c r="H40" s="479">
        <f>E40/E12</f>
        <v>1.7216438356164383</v>
      </c>
      <c r="I40" s="480">
        <f>F40/F12</f>
        <v>2.083150684931507</v>
      </c>
    </row>
    <row r="41" spans="1:9" ht="15.75" customHeight="1">
      <c r="A41" s="460">
        <v>2321</v>
      </c>
      <c r="B41" s="495" t="s">
        <v>1082</v>
      </c>
      <c r="C41" s="484">
        <f t="shared" si="5"/>
        <v>2964</v>
      </c>
      <c r="D41" s="494">
        <v>780</v>
      </c>
      <c r="E41" s="494">
        <v>890</v>
      </c>
      <c r="F41" s="494">
        <v>1294</v>
      </c>
      <c r="G41" s="485">
        <f>D41/D12</f>
        <v>0.08547945205479453</v>
      </c>
      <c r="H41" s="485">
        <f>E41/E12</f>
        <v>0.16255707762557078</v>
      </c>
      <c r="I41" s="486">
        <f>F41/F12</f>
        <v>0.17726027397260274</v>
      </c>
    </row>
    <row r="42" spans="1:9" ht="15.75" customHeight="1">
      <c r="A42" s="460">
        <v>2322</v>
      </c>
      <c r="B42" s="495" t="s">
        <v>1083</v>
      </c>
      <c r="C42" s="484">
        <f t="shared" si="5"/>
        <v>1140</v>
      </c>
      <c r="D42" s="494">
        <v>400</v>
      </c>
      <c r="E42" s="494">
        <v>360</v>
      </c>
      <c r="F42" s="494">
        <v>380</v>
      </c>
      <c r="G42" s="485">
        <f>D42/D12</f>
        <v>0.043835616438356165</v>
      </c>
      <c r="H42" s="485">
        <f>E42/E12</f>
        <v>0.06575342465753424</v>
      </c>
      <c r="I42" s="486">
        <f>F42/F12</f>
        <v>0.052054794520547946</v>
      </c>
    </row>
    <row r="43" spans="1:9" ht="15.75" customHeight="1">
      <c r="A43" s="460">
        <v>2341</v>
      </c>
      <c r="B43" s="463" t="s">
        <v>1084</v>
      </c>
      <c r="C43" s="484">
        <f t="shared" si="5"/>
        <v>5019</v>
      </c>
      <c r="D43" s="494">
        <v>1004</v>
      </c>
      <c r="E43" s="494">
        <v>1095</v>
      </c>
      <c r="F43" s="494">
        <v>2920</v>
      </c>
      <c r="G43" s="485">
        <f>D43/D12</f>
        <v>0.11002739726027397</v>
      </c>
      <c r="H43" s="485">
        <f>E43/E12</f>
        <v>0.2</v>
      </c>
      <c r="I43" s="486">
        <f>F43/F12</f>
        <v>0.4</v>
      </c>
    </row>
    <row r="44" spans="1:9" ht="15.75" customHeight="1">
      <c r="A44" s="460">
        <v>2351</v>
      </c>
      <c r="B44" s="463" t="s">
        <v>1085</v>
      </c>
      <c r="C44" s="484">
        <f t="shared" si="5"/>
        <v>281</v>
      </c>
      <c r="D44" s="494"/>
      <c r="E44" s="494"/>
      <c r="F44" s="494">
        <v>281</v>
      </c>
      <c r="G44" s="485">
        <f>D44/D12</f>
        <v>0</v>
      </c>
      <c r="H44" s="485">
        <f>E44/E12</f>
        <v>0</v>
      </c>
      <c r="I44" s="486">
        <f>F44/F12</f>
        <v>0.038493150684931504</v>
      </c>
    </row>
    <row r="45" spans="1:9" ht="15.75" customHeight="1">
      <c r="A45" s="460">
        <v>2352</v>
      </c>
      <c r="B45" s="463" t="s">
        <v>1086</v>
      </c>
      <c r="C45" s="484">
        <f t="shared" si="5"/>
        <v>1085</v>
      </c>
      <c r="D45" s="494"/>
      <c r="E45" s="494">
        <v>421</v>
      </c>
      <c r="F45" s="494">
        <v>664</v>
      </c>
      <c r="G45" s="485">
        <f>D45/D12</f>
        <v>0</v>
      </c>
      <c r="H45" s="485">
        <f>E45/E12</f>
        <v>0.07689497716894977</v>
      </c>
      <c r="I45" s="486">
        <f>F45/F12</f>
        <v>0.09095890410958904</v>
      </c>
    </row>
    <row r="46" spans="1:9" ht="15.75" customHeight="1">
      <c r="A46" s="460">
        <v>2355</v>
      </c>
      <c r="B46" s="495" t="s">
        <v>1087</v>
      </c>
      <c r="C46" s="484">
        <f t="shared" si="5"/>
        <v>239</v>
      </c>
      <c r="D46" s="494">
        <v>59</v>
      </c>
      <c r="E46" s="494">
        <v>90</v>
      </c>
      <c r="F46" s="494">
        <v>90</v>
      </c>
      <c r="G46" s="485">
        <f>D46/D12</f>
        <v>0.006465753424657534</v>
      </c>
      <c r="H46" s="485">
        <f>E46/E12</f>
        <v>0.01643835616438356</v>
      </c>
      <c r="I46" s="486">
        <f>F46/F12</f>
        <v>0.012328767123287671</v>
      </c>
    </row>
    <row r="47" spans="1:9" ht="15.75" customHeight="1">
      <c r="A47" s="460">
        <v>2363</v>
      </c>
      <c r="B47" s="463" t="s">
        <v>1088</v>
      </c>
      <c r="C47" s="484">
        <f t="shared" si="5"/>
        <v>17976</v>
      </c>
      <c r="D47" s="494">
        <v>2646</v>
      </c>
      <c r="E47" s="494">
        <v>6570</v>
      </c>
      <c r="F47" s="494">
        <v>8760</v>
      </c>
      <c r="G47" s="485">
        <f>D47/D12</f>
        <v>0.289972602739726</v>
      </c>
      <c r="H47" s="485">
        <f>E47/E12</f>
        <v>1.2</v>
      </c>
      <c r="I47" s="486">
        <f>F47/F12</f>
        <v>1.2</v>
      </c>
    </row>
    <row r="48" spans="1:9" ht="15.75" customHeight="1">
      <c r="A48" s="460">
        <v>2366</v>
      </c>
      <c r="B48" s="463" t="s">
        <v>1089</v>
      </c>
      <c r="C48" s="484">
        <f t="shared" si="5"/>
        <v>818</v>
      </c>
      <c r="D48" s="494"/>
      <c r="E48" s="494"/>
      <c r="F48" s="494">
        <v>818</v>
      </c>
      <c r="G48" s="485">
        <f>D48/D12</f>
        <v>0</v>
      </c>
      <c r="H48" s="485">
        <f>E48/E12</f>
        <v>0</v>
      </c>
      <c r="I48" s="486">
        <f>F48/F12</f>
        <v>0.11205479452054795</v>
      </c>
    </row>
    <row r="49" spans="1:9" ht="15.75" customHeight="1">
      <c r="A49" s="460">
        <v>2368</v>
      </c>
      <c r="B49" s="463" t="s">
        <v>1090</v>
      </c>
      <c r="C49" s="484">
        <f t="shared" si="5"/>
        <v>1800</v>
      </c>
      <c r="D49" s="494">
        <v>1800</v>
      </c>
      <c r="E49" s="494"/>
      <c r="F49" s="494"/>
      <c r="G49" s="485">
        <f>D49/D12</f>
        <v>0.19726027397260273</v>
      </c>
      <c r="H49" s="485">
        <f>E49/E12</f>
        <v>0</v>
      </c>
      <c r="I49" s="486">
        <f>F49/F12</f>
        <v>0</v>
      </c>
    </row>
    <row r="50" spans="1:9" ht="15.75" customHeight="1">
      <c r="A50" s="478">
        <v>2500</v>
      </c>
      <c r="B50" s="471" t="s">
        <v>1091</v>
      </c>
      <c r="C50" s="462">
        <f t="shared" si="5"/>
        <v>82</v>
      </c>
      <c r="D50" s="472">
        <f aca="true" t="shared" si="6" ref="D50:I50">SUM(D51:D52)</f>
        <v>52</v>
      </c>
      <c r="E50" s="472">
        <f t="shared" si="6"/>
        <v>30</v>
      </c>
      <c r="F50" s="472">
        <f t="shared" si="6"/>
        <v>0</v>
      </c>
      <c r="G50" s="496">
        <f t="shared" si="6"/>
        <v>0.0012700583738367976</v>
      </c>
      <c r="H50" s="496">
        <f t="shared" si="6"/>
        <v>0.005479452054794521</v>
      </c>
      <c r="I50" s="497">
        <f t="shared" si="6"/>
        <v>0</v>
      </c>
    </row>
    <row r="51" spans="1:9" ht="15.75" customHeight="1">
      <c r="A51" s="483">
        <v>2515</v>
      </c>
      <c r="B51" s="461" t="s">
        <v>1092</v>
      </c>
      <c r="C51" s="484">
        <f t="shared" si="5"/>
        <v>52</v>
      </c>
      <c r="D51" s="494">
        <v>52</v>
      </c>
      <c r="E51" s="494"/>
      <c r="F51" s="494"/>
      <c r="G51" s="485">
        <f>D51/D16</f>
        <v>0.0012700583738367976</v>
      </c>
      <c r="H51" s="485">
        <f>E51/E16</f>
        <v>0</v>
      </c>
      <c r="I51" s="486">
        <f>F51/F16</f>
        <v>0</v>
      </c>
    </row>
    <row r="52" spans="1:9" ht="15.75" customHeight="1">
      <c r="A52" s="460">
        <v>2519</v>
      </c>
      <c r="B52" s="463" t="s">
        <v>1093</v>
      </c>
      <c r="C52" s="484">
        <f t="shared" si="5"/>
        <v>30</v>
      </c>
      <c r="D52" s="494"/>
      <c r="E52" s="494">
        <v>30</v>
      </c>
      <c r="F52" s="494"/>
      <c r="G52" s="485">
        <f>D52/D12</f>
        <v>0</v>
      </c>
      <c r="H52" s="485">
        <f>E52/E12</f>
        <v>0.005479452054794521</v>
      </c>
      <c r="I52" s="486">
        <f>F52/F12</f>
        <v>0</v>
      </c>
    </row>
    <row r="53" spans="1:9" ht="15.75" customHeight="1">
      <c r="A53" s="498"/>
      <c r="B53" s="499"/>
      <c r="C53" s="499"/>
      <c r="D53" s="500"/>
      <c r="E53" s="500"/>
      <c r="F53" s="500"/>
      <c r="G53" s="499"/>
      <c r="H53" s="499"/>
      <c r="I53" s="501"/>
    </row>
    <row r="55" spans="2:9" ht="15">
      <c r="B55" s="502"/>
      <c r="C55" s="502"/>
      <c r="D55" s="482"/>
      <c r="E55" s="482"/>
      <c r="F55" s="482"/>
      <c r="G55" s="482"/>
      <c r="H55" s="482"/>
      <c r="I55" s="482"/>
    </row>
    <row r="56" spans="2:9" ht="15">
      <c r="B56" s="502"/>
      <c r="C56" s="502"/>
      <c r="D56" s="482"/>
      <c r="E56" s="482"/>
      <c r="F56" s="482"/>
      <c r="G56" s="482"/>
      <c r="H56" s="482"/>
      <c r="I56" s="482"/>
    </row>
    <row r="57" spans="2:9" ht="15">
      <c r="B57" s="502"/>
      <c r="C57" s="502"/>
      <c r="D57" s="482"/>
      <c r="E57" s="482"/>
      <c r="F57" s="482"/>
      <c r="G57" s="482"/>
      <c r="H57" s="482"/>
      <c r="I57" s="482"/>
    </row>
    <row r="58" spans="2:9" ht="15">
      <c r="B58" s="502"/>
      <c r="C58" s="482"/>
      <c r="D58" s="482"/>
      <c r="E58" s="482"/>
      <c r="F58" s="482"/>
      <c r="G58" s="482"/>
      <c r="H58" s="482"/>
      <c r="I58" s="482"/>
    </row>
    <row r="59" spans="2:9" ht="15">
      <c r="B59" s="502"/>
      <c r="C59" s="482"/>
      <c r="D59" s="482"/>
      <c r="E59" s="482"/>
      <c r="F59" s="482"/>
      <c r="G59" s="482"/>
      <c r="H59" s="482"/>
      <c r="I59" s="482"/>
    </row>
    <row r="60" spans="2:3" ht="15">
      <c r="B60" s="503"/>
      <c r="C60" s="504"/>
    </row>
  </sheetData>
  <sheetProtection/>
  <mergeCells count="13">
    <mergeCell ref="D9:D10"/>
    <mergeCell ref="E9:E10"/>
    <mergeCell ref="F9:F10"/>
    <mergeCell ref="G9:G10"/>
    <mergeCell ref="H9:H10"/>
    <mergeCell ref="I9:I10"/>
    <mergeCell ref="A5:I5"/>
    <mergeCell ref="A6:I6"/>
    <mergeCell ref="A8:A10"/>
    <mergeCell ref="B8:B10"/>
    <mergeCell ref="C8:C10"/>
    <mergeCell ref="D8:F8"/>
    <mergeCell ref="G8:I8"/>
  </mergeCells>
  <printOptions/>
  <pageMargins left="0.3937007874015748" right="0.3937007874015748" top="0.7874015748031497" bottom="0.7874015748031497" header="0.5118110236220472" footer="0.5118110236220472"/>
  <pageSetup fitToHeight="0" fitToWidth="1" horizontalDpi="600" verticalDpi="600" orientation="portrait" paperSize="9" scale="73"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I102"/>
  <sheetViews>
    <sheetView zoomScalePageLayoutView="0" workbookViewId="0" topLeftCell="A64">
      <selection activeCell="I21" sqref="I21"/>
    </sheetView>
  </sheetViews>
  <sheetFormatPr defaultColWidth="9.140625" defaultRowHeight="15"/>
  <cols>
    <col min="1" max="1" width="6.140625" style="321" customWidth="1"/>
    <col min="2" max="2" width="24.8515625" style="321" customWidth="1"/>
    <col min="3" max="3" width="9.140625" style="321" customWidth="1"/>
    <col min="4" max="4" width="8.57421875" style="321" bestFit="1" customWidth="1"/>
    <col min="5" max="5" width="10.28125" style="321" customWidth="1"/>
    <col min="6" max="6" width="11.140625" style="321" customWidth="1"/>
    <col min="7" max="7" width="11.8515625" style="321" customWidth="1"/>
    <col min="8" max="8" width="11.140625" style="321" customWidth="1"/>
    <col min="9" max="16384" width="9.140625" style="321" customWidth="1"/>
  </cols>
  <sheetData>
    <row r="1" s="386" customFormat="1" ht="15.75">
      <c r="H1" s="723" t="s">
        <v>1650</v>
      </c>
    </row>
    <row r="2" s="386" customFormat="1" ht="15.75">
      <c r="H2" s="723" t="s">
        <v>1627</v>
      </c>
    </row>
    <row r="3" s="386" customFormat="1" ht="15.75">
      <c r="H3" s="723" t="s">
        <v>1628</v>
      </c>
    </row>
    <row r="5" spans="1:7" ht="15.75">
      <c r="A5" s="386" t="s">
        <v>476</v>
      </c>
      <c r="B5" s="387"/>
      <c r="C5" s="344" t="s">
        <v>1217</v>
      </c>
      <c r="D5" s="387"/>
      <c r="E5" s="387"/>
      <c r="F5" s="387"/>
      <c r="G5" s="387"/>
    </row>
    <row r="7" ht="15.75">
      <c r="A7" s="388" t="s">
        <v>1218</v>
      </c>
    </row>
    <row r="8" ht="12.75">
      <c r="F8" s="389" t="s">
        <v>1219</v>
      </c>
    </row>
    <row r="9" spans="1:6" ht="12.75">
      <c r="A9" s="321" t="s">
        <v>1220</v>
      </c>
      <c r="F9" s="321" t="s">
        <v>1221</v>
      </c>
    </row>
    <row r="11" spans="1:8" ht="38.25" customHeight="1">
      <c r="A11" s="1051" t="s">
        <v>7</v>
      </c>
      <c r="B11" s="1051" t="s">
        <v>8</v>
      </c>
      <c r="C11" s="1051" t="s">
        <v>9</v>
      </c>
      <c r="D11" s="1051" t="s">
        <v>1133</v>
      </c>
      <c r="E11" s="1051" t="s">
        <v>10</v>
      </c>
      <c r="F11" s="1051" t="s">
        <v>14</v>
      </c>
      <c r="G11" s="1049" t="s">
        <v>15</v>
      </c>
      <c r="H11" s="1050"/>
    </row>
    <row r="12" spans="1:8" ht="26.25" thickBot="1">
      <c r="A12" s="1052"/>
      <c r="B12" s="1052"/>
      <c r="C12" s="1052"/>
      <c r="D12" s="1052"/>
      <c r="E12" s="1052"/>
      <c r="F12" s="1052"/>
      <c r="G12" s="390" t="s">
        <v>1134</v>
      </c>
      <c r="H12" s="390" t="s">
        <v>1135</v>
      </c>
    </row>
    <row r="13" spans="1:9" ht="13.5" thickTop="1">
      <c r="A13" s="391">
        <v>1</v>
      </c>
      <c r="B13" s="391" t="s">
        <v>1222</v>
      </c>
      <c r="C13" s="415">
        <f>SUM(C14:C18)</f>
        <v>60</v>
      </c>
      <c r="D13" s="415">
        <f>SUM(D14:D18)</f>
        <v>60</v>
      </c>
      <c r="E13" s="415">
        <f>SUM(E14:E18)</f>
        <v>180</v>
      </c>
      <c r="F13" s="415"/>
      <c r="G13" s="415">
        <f>SUM(G14:G18)</f>
        <v>180</v>
      </c>
      <c r="H13" s="415">
        <f>SUM(H14:H18)</f>
        <v>0</v>
      </c>
      <c r="I13" s="392"/>
    </row>
    <row r="14" spans="1:8" ht="12.75">
      <c r="A14" s="393" t="s">
        <v>1223</v>
      </c>
      <c r="B14" s="393" t="s">
        <v>1224</v>
      </c>
      <c r="C14" s="411">
        <v>20</v>
      </c>
      <c r="D14" s="411">
        <v>20</v>
      </c>
      <c r="E14" s="411">
        <v>80</v>
      </c>
      <c r="F14" s="417">
        <v>1150</v>
      </c>
      <c r="G14" s="411">
        <v>80</v>
      </c>
      <c r="H14" s="413"/>
    </row>
    <row r="15" spans="1:8" ht="12.75">
      <c r="A15" s="393" t="s">
        <v>1225</v>
      </c>
      <c r="B15" s="393" t="s">
        <v>1226</v>
      </c>
      <c r="C15" s="411"/>
      <c r="D15" s="411"/>
      <c r="E15" s="411">
        <v>10</v>
      </c>
      <c r="F15" s="417">
        <v>2264</v>
      </c>
      <c r="G15" s="411">
        <v>10</v>
      </c>
      <c r="H15" s="413"/>
    </row>
    <row r="16" spans="1:8" ht="12.75">
      <c r="A16" s="393" t="s">
        <v>1227</v>
      </c>
      <c r="B16" s="393" t="s">
        <v>1228</v>
      </c>
      <c r="C16" s="411"/>
      <c r="D16" s="411"/>
      <c r="E16" s="411">
        <v>60</v>
      </c>
      <c r="F16" s="417">
        <v>2269</v>
      </c>
      <c r="G16" s="411">
        <v>60</v>
      </c>
      <c r="H16" s="413"/>
    </row>
    <row r="17" spans="1:8" ht="12.75">
      <c r="A17" s="393" t="s">
        <v>1229</v>
      </c>
      <c r="B17" s="393" t="s">
        <v>1230</v>
      </c>
      <c r="C17" s="411">
        <v>10</v>
      </c>
      <c r="D17" s="411">
        <v>10</v>
      </c>
      <c r="E17" s="411"/>
      <c r="F17" s="417">
        <v>2279</v>
      </c>
      <c r="G17" s="411"/>
      <c r="H17" s="413"/>
    </row>
    <row r="18" spans="1:8" ht="12.75">
      <c r="A18" s="393" t="s">
        <v>1231</v>
      </c>
      <c r="B18" s="393" t="s">
        <v>1232</v>
      </c>
      <c r="C18" s="411">
        <v>30</v>
      </c>
      <c r="D18" s="411">
        <v>30</v>
      </c>
      <c r="E18" s="411">
        <v>30</v>
      </c>
      <c r="F18" s="417">
        <v>2390</v>
      </c>
      <c r="G18" s="411">
        <v>30</v>
      </c>
      <c r="H18" s="413"/>
    </row>
    <row r="19" spans="1:8" ht="25.5">
      <c r="A19" s="395">
        <v>2</v>
      </c>
      <c r="B19" s="395" t="s">
        <v>1233</v>
      </c>
      <c r="C19" s="412">
        <f>SUM(C20:C21)</f>
        <v>0</v>
      </c>
      <c r="D19" s="412">
        <f>SUM(D20:D21)</f>
        <v>0</v>
      </c>
      <c r="E19" s="412">
        <f>SUM(E20:E21)</f>
        <v>55</v>
      </c>
      <c r="F19" s="412"/>
      <c r="G19" s="412">
        <f>SUM(G20:G21)</f>
        <v>55</v>
      </c>
      <c r="H19" s="412">
        <f>SUM(H20:H21)</f>
        <v>0</v>
      </c>
    </row>
    <row r="20" spans="1:8" ht="12.75">
      <c r="A20" s="393" t="s">
        <v>1234</v>
      </c>
      <c r="B20" s="393" t="s">
        <v>1224</v>
      </c>
      <c r="C20" s="411"/>
      <c r="D20" s="411"/>
      <c r="E20" s="411">
        <v>50</v>
      </c>
      <c r="F20" s="417">
        <v>1150</v>
      </c>
      <c r="G20" s="411">
        <v>50</v>
      </c>
      <c r="H20" s="413"/>
    </row>
    <row r="21" spans="1:8" ht="12.75">
      <c r="A21" s="393" t="s">
        <v>1235</v>
      </c>
      <c r="B21" s="393" t="s">
        <v>1236</v>
      </c>
      <c r="C21" s="411"/>
      <c r="D21" s="411"/>
      <c r="E21" s="411">
        <v>5</v>
      </c>
      <c r="F21" s="417">
        <v>2390</v>
      </c>
      <c r="G21" s="411">
        <v>5</v>
      </c>
      <c r="H21" s="413"/>
    </row>
    <row r="22" spans="1:8" ht="51">
      <c r="A22" s="395">
        <v>3</v>
      </c>
      <c r="B22" s="395" t="s">
        <v>1237</v>
      </c>
      <c r="C22" s="412">
        <f>SUM(C23:C24)</f>
        <v>0</v>
      </c>
      <c r="D22" s="412">
        <f>SUM(D23:D24)</f>
        <v>0</v>
      </c>
      <c r="E22" s="412">
        <f>SUM(E23:E24)</f>
        <v>50</v>
      </c>
      <c r="F22" s="412"/>
      <c r="G22" s="412">
        <f>SUM(G23:G24)</f>
        <v>50</v>
      </c>
      <c r="H22" s="412">
        <f>SUM(H23:H24)</f>
        <v>0</v>
      </c>
    </row>
    <row r="23" spans="1:8" ht="12.75">
      <c r="A23" s="393" t="s">
        <v>1238</v>
      </c>
      <c r="B23" s="394" t="s">
        <v>1239</v>
      </c>
      <c r="C23" s="411"/>
      <c r="D23" s="411"/>
      <c r="E23" s="411">
        <v>30</v>
      </c>
      <c r="F23" s="417">
        <v>2279</v>
      </c>
      <c r="G23" s="411">
        <v>30</v>
      </c>
      <c r="H23" s="413"/>
    </row>
    <row r="24" spans="1:8" ht="38.25">
      <c r="A24" s="393" t="s">
        <v>1240</v>
      </c>
      <c r="B24" s="393" t="s">
        <v>1241</v>
      </c>
      <c r="C24" s="411"/>
      <c r="D24" s="411"/>
      <c r="E24" s="411">
        <v>20</v>
      </c>
      <c r="F24" s="417">
        <v>2390</v>
      </c>
      <c r="G24" s="411">
        <v>20</v>
      </c>
      <c r="H24" s="413"/>
    </row>
    <row r="25" spans="1:8" ht="51">
      <c r="A25" s="395">
        <v>4</v>
      </c>
      <c r="B25" s="395" t="s">
        <v>1242</v>
      </c>
      <c r="C25" s="412">
        <f>SUM(C26:C27)</f>
        <v>0</v>
      </c>
      <c r="D25" s="412">
        <f>SUM(D26:D27)</f>
        <v>0</v>
      </c>
      <c r="E25" s="412">
        <f>SUM(E26:E27)</f>
        <v>35</v>
      </c>
      <c r="F25" s="412"/>
      <c r="G25" s="412">
        <f>SUM(G26:G27)</f>
        <v>35</v>
      </c>
      <c r="H25" s="412">
        <f>SUM(H26:H27)</f>
        <v>0</v>
      </c>
    </row>
    <row r="26" spans="1:8" ht="12.75">
      <c r="A26" s="393" t="s">
        <v>1243</v>
      </c>
      <c r="B26" s="393" t="s">
        <v>1224</v>
      </c>
      <c r="C26" s="411"/>
      <c r="D26" s="411"/>
      <c r="E26" s="411">
        <v>30</v>
      </c>
      <c r="F26" s="417">
        <v>1150</v>
      </c>
      <c r="G26" s="411">
        <v>30</v>
      </c>
      <c r="H26" s="413"/>
    </row>
    <row r="27" spans="1:8" ht="12.75">
      <c r="A27" s="393" t="s">
        <v>1243</v>
      </c>
      <c r="B27" s="393" t="s">
        <v>1236</v>
      </c>
      <c r="C27" s="411"/>
      <c r="D27" s="411"/>
      <c r="E27" s="411">
        <v>5</v>
      </c>
      <c r="F27" s="417">
        <v>2390</v>
      </c>
      <c r="G27" s="411">
        <v>5</v>
      </c>
      <c r="H27" s="413"/>
    </row>
    <row r="28" spans="1:8" ht="64.5">
      <c r="A28" s="395">
        <v>5</v>
      </c>
      <c r="B28" s="395" t="s">
        <v>1244</v>
      </c>
      <c r="C28" s="412">
        <f>SUM(C29:C31)</f>
        <v>0</v>
      </c>
      <c r="D28" s="412">
        <f>SUM(D29:D31)</f>
        <v>0</v>
      </c>
      <c r="E28" s="412">
        <f>SUM(E29:E31)</f>
        <v>280</v>
      </c>
      <c r="F28" s="412"/>
      <c r="G28" s="412">
        <f>SUM(G29:G31)</f>
        <v>280</v>
      </c>
      <c r="H28" s="412">
        <f>SUM(H29:H31)</f>
        <v>0</v>
      </c>
    </row>
    <row r="29" spans="1:8" ht="12.75">
      <c r="A29" s="393" t="s">
        <v>1245</v>
      </c>
      <c r="B29" s="393" t="s">
        <v>1224</v>
      </c>
      <c r="C29" s="411"/>
      <c r="D29" s="411"/>
      <c r="E29" s="411">
        <v>200</v>
      </c>
      <c r="F29" s="417">
        <v>1150</v>
      </c>
      <c r="G29" s="411">
        <v>200</v>
      </c>
      <c r="H29" s="413"/>
    </row>
    <row r="30" spans="1:8" ht="25.5">
      <c r="A30" s="393" t="s">
        <v>1246</v>
      </c>
      <c r="B30" s="393" t="s">
        <v>1247</v>
      </c>
      <c r="C30" s="411"/>
      <c r="D30" s="411"/>
      <c r="E30" s="411">
        <v>50</v>
      </c>
      <c r="F30" s="417">
        <v>2279</v>
      </c>
      <c r="G30" s="411">
        <v>50</v>
      </c>
      <c r="H30" s="413"/>
    </row>
    <row r="31" spans="1:8" ht="12.75">
      <c r="A31" s="393" t="s">
        <v>1248</v>
      </c>
      <c r="B31" s="393" t="s">
        <v>1236</v>
      </c>
      <c r="C31" s="411"/>
      <c r="D31" s="411"/>
      <c r="E31" s="411">
        <v>30</v>
      </c>
      <c r="F31" s="417">
        <v>2390</v>
      </c>
      <c r="G31" s="411">
        <v>30</v>
      </c>
      <c r="H31" s="413"/>
    </row>
    <row r="32" spans="1:8" ht="38.25">
      <c r="A32" s="395">
        <v>6</v>
      </c>
      <c r="B32" s="395" t="s">
        <v>1249</v>
      </c>
      <c r="C32" s="412">
        <f>SUM(C33)</f>
        <v>0</v>
      </c>
      <c r="D32" s="412">
        <f>SUM(D33)</f>
        <v>0</v>
      </c>
      <c r="E32" s="412">
        <f>SUM(E33)</f>
        <v>20</v>
      </c>
      <c r="F32" s="412"/>
      <c r="G32" s="412">
        <f>SUM(G33)</f>
        <v>20</v>
      </c>
      <c r="H32" s="412">
        <f>SUM(H33)</f>
        <v>0</v>
      </c>
    </row>
    <row r="33" spans="1:8" ht="12.75">
      <c r="A33" s="393" t="s">
        <v>1250</v>
      </c>
      <c r="B33" s="393" t="s">
        <v>1236</v>
      </c>
      <c r="C33" s="411"/>
      <c r="D33" s="411"/>
      <c r="E33" s="411">
        <v>20</v>
      </c>
      <c r="F33" s="417">
        <v>2390</v>
      </c>
      <c r="G33" s="411">
        <v>20</v>
      </c>
      <c r="H33" s="413"/>
    </row>
    <row r="34" spans="1:8" ht="38.25">
      <c r="A34" s="395">
        <v>7</v>
      </c>
      <c r="B34" s="395" t="s">
        <v>1251</v>
      </c>
      <c r="C34" s="412">
        <f>SUM(C35:C37)</f>
        <v>0</v>
      </c>
      <c r="D34" s="412">
        <f>SUM(D35:D37)</f>
        <v>0</v>
      </c>
      <c r="E34" s="412">
        <f>SUM(E35:E37)</f>
        <v>85</v>
      </c>
      <c r="F34" s="412"/>
      <c r="G34" s="412">
        <f>SUM(G35:G37)</f>
        <v>85</v>
      </c>
      <c r="H34" s="412">
        <f>SUM(H35:H37)</f>
        <v>0</v>
      </c>
    </row>
    <row r="35" spans="1:8" ht="12.75">
      <c r="A35" s="393" t="s">
        <v>1252</v>
      </c>
      <c r="B35" s="393" t="s">
        <v>1224</v>
      </c>
      <c r="C35" s="411"/>
      <c r="D35" s="411"/>
      <c r="E35" s="411">
        <v>50</v>
      </c>
      <c r="F35" s="417">
        <v>1150</v>
      </c>
      <c r="G35" s="411">
        <v>50</v>
      </c>
      <c r="H35" s="413"/>
    </row>
    <row r="36" spans="1:8" ht="12.75">
      <c r="A36" s="393" t="s">
        <v>1253</v>
      </c>
      <c r="B36" s="393" t="s">
        <v>1228</v>
      </c>
      <c r="C36" s="411"/>
      <c r="D36" s="411"/>
      <c r="E36" s="411">
        <v>30</v>
      </c>
      <c r="F36" s="417">
        <v>2269</v>
      </c>
      <c r="G36" s="411">
        <v>30</v>
      </c>
      <c r="H36" s="413"/>
    </row>
    <row r="37" spans="1:8" ht="12.75">
      <c r="A37" s="393" t="s">
        <v>1254</v>
      </c>
      <c r="B37" s="393" t="s">
        <v>1255</v>
      </c>
      <c r="C37" s="411"/>
      <c r="D37" s="411"/>
      <c r="E37" s="411">
        <v>5</v>
      </c>
      <c r="F37" s="417">
        <v>2390</v>
      </c>
      <c r="G37" s="411">
        <v>5</v>
      </c>
      <c r="H37" s="413"/>
    </row>
    <row r="38" spans="1:8" ht="12.75">
      <c r="A38" s="395">
        <v>8</v>
      </c>
      <c r="B38" s="395" t="s">
        <v>1256</v>
      </c>
      <c r="C38" s="412">
        <f>SUM(C39:C41)</f>
        <v>25</v>
      </c>
      <c r="D38" s="412">
        <f>SUM(D39:D41)</f>
        <v>25</v>
      </c>
      <c r="E38" s="412">
        <f>SUM(E39:E41)</f>
        <v>110</v>
      </c>
      <c r="F38" s="412"/>
      <c r="G38" s="412">
        <f>SUM(G39:G41)</f>
        <v>110</v>
      </c>
      <c r="H38" s="412">
        <f>SUM(H39:H41)</f>
        <v>0</v>
      </c>
    </row>
    <row r="39" spans="1:8" ht="12.75">
      <c r="A39" s="393" t="s">
        <v>1257</v>
      </c>
      <c r="B39" s="393" t="s">
        <v>1258</v>
      </c>
      <c r="C39" s="411"/>
      <c r="D39" s="411"/>
      <c r="E39" s="411">
        <v>65</v>
      </c>
      <c r="F39" s="417">
        <v>1150</v>
      </c>
      <c r="G39" s="411">
        <v>65</v>
      </c>
      <c r="H39" s="413"/>
    </row>
    <row r="40" spans="1:8" ht="12.75">
      <c r="A40" s="393" t="s">
        <v>1259</v>
      </c>
      <c r="B40" s="393" t="s">
        <v>1228</v>
      </c>
      <c r="C40" s="411"/>
      <c r="D40" s="411"/>
      <c r="E40" s="411">
        <v>20</v>
      </c>
      <c r="F40" s="417">
        <v>2269</v>
      </c>
      <c r="G40" s="411">
        <v>20</v>
      </c>
      <c r="H40" s="413"/>
    </row>
    <row r="41" spans="1:8" ht="12.75">
      <c r="A41" s="393" t="s">
        <v>1260</v>
      </c>
      <c r="B41" s="393" t="s">
        <v>1261</v>
      </c>
      <c r="C41" s="411">
        <v>25</v>
      </c>
      <c r="D41" s="411">
        <v>25</v>
      </c>
      <c r="E41" s="411">
        <v>25</v>
      </c>
      <c r="F41" s="417">
        <v>2390</v>
      </c>
      <c r="G41" s="411">
        <v>25</v>
      </c>
      <c r="H41" s="413"/>
    </row>
    <row r="42" spans="1:8" ht="38.25">
      <c r="A42" s="395">
        <v>9</v>
      </c>
      <c r="B42" s="395" t="s">
        <v>1262</v>
      </c>
      <c r="C42" s="412">
        <f>SUM(C43:C44)</f>
        <v>0</v>
      </c>
      <c r="D42" s="412">
        <f>SUM(D43:D44)</f>
        <v>0</v>
      </c>
      <c r="E42" s="412">
        <f>SUM(E43:E44)</f>
        <v>30</v>
      </c>
      <c r="F42" s="412"/>
      <c r="G42" s="412">
        <f>SUM(G43:G44)</f>
        <v>130</v>
      </c>
      <c r="H42" s="412">
        <f>SUM(H43:H44)</f>
        <v>0</v>
      </c>
    </row>
    <row r="43" spans="1:8" ht="38.25">
      <c r="A43" s="396" t="s">
        <v>1263</v>
      </c>
      <c r="B43" s="397" t="s">
        <v>1264</v>
      </c>
      <c r="C43" s="411"/>
      <c r="D43" s="411"/>
      <c r="E43" s="411"/>
      <c r="F43" s="417">
        <v>2231</v>
      </c>
      <c r="G43" s="411">
        <f>0+100</f>
        <v>100</v>
      </c>
      <c r="H43" s="413">
        <f>100-100</f>
        <v>0</v>
      </c>
    </row>
    <row r="44" spans="1:8" ht="12.75">
      <c r="A44" s="396">
        <v>9.2</v>
      </c>
      <c r="B44" s="397" t="s">
        <v>1265</v>
      </c>
      <c r="C44" s="411"/>
      <c r="D44" s="411"/>
      <c r="E44" s="411">
        <v>30</v>
      </c>
      <c r="F44" s="417">
        <v>2390</v>
      </c>
      <c r="G44" s="411">
        <v>30</v>
      </c>
      <c r="H44" s="413"/>
    </row>
    <row r="45" spans="1:8" ht="25.5">
      <c r="A45" s="395">
        <v>10</v>
      </c>
      <c r="B45" s="398" t="s">
        <v>1266</v>
      </c>
      <c r="C45" s="412">
        <f>SUM(C46:C48)</f>
        <v>0</v>
      </c>
      <c r="D45" s="412">
        <f>SUM(D46:D48)</f>
        <v>0</v>
      </c>
      <c r="E45" s="412">
        <f>SUM(E46:E48)</f>
        <v>95</v>
      </c>
      <c r="F45" s="412"/>
      <c r="G45" s="412">
        <f>SUM(G46:G48)</f>
        <v>95</v>
      </c>
      <c r="H45" s="412">
        <f>SUM(H46:H48)</f>
        <v>0</v>
      </c>
    </row>
    <row r="46" spans="1:8" ht="12.75">
      <c r="A46" s="393" t="s">
        <v>1267</v>
      </c>
      <c r="B46" s="393" t="s">
        <v>1224</v>
      </c>
      <c r="C46" s="411"/>
      <c r="D46" s="411"/>
      <c r="E46" s="411">
        <v>50</v>
      </c>
      <c r="F46" s="417">
        <v>1150</v>
      </c>
      <c r="G46" s="411">
        <v>50</v>
      </c>
      <c r="H46" s="414"/>
    </row>
    <row r="47" spans="1:8" ht="12.75">
      <c r="A47" s="393" t="s">
        <v>1268</v>
      </c>
      <c r="B47" s="397" t="s">
        <v>1230</v>
      </c>
      <c r="C47" s="411"/>
      <c r="D47" s="411"/>
      <c r="E47" s="411">
        <v>35</v>
      </c>
      <c r="F47" s="417">
        <v>2279</v>
      </c>
      <c r="G47" s="411">
        <v>35</v>
      </c>
      <c r="H47" s="413"/>
    </row>
    <row r="48" spans="1:8" ht="12.75">
      <c r="A48" s="393" t="s">
        <v>1267</v>
      </c>
      <c r="B48" s="393" t="s">
        <v>1236</v>
      </c>
      <c r="C48" s="411"/>
      <c r="D48" s="411"/>
      <c r="E48" s="411">
        <v>10</v>
      </c>
      <c r="F48" s="417">
        <v>2390</v>
      </c>
      <c r="G48" s="411">
        <v>10</v>
      </c>
      <c r="H48" s="413"/>
    </row>
    <row r="49" spans="1:8" ht="12.75">
      <c r="A49" s="395">
        <v>11</v>
      </c>
      <c r="B49" s="395" t="s">
        <v>1269</v>
      </c>
      <c r="C49" s="412">
        <f>SUM(C50:C51)</f>
        <v>20</v>
      </c>
      <c r="D49" s="412">
        <f>SUM(D50:D51)</f>
        <v>20</v>
      </c>
      <c r="E49" s="412">
        <f>SUM(E50:E51)</f>
        <v>85</v>
      </c>
      <c r="F49" s="412"/>
      <c r="G49" s="412">
        <f>SUM(G50:G51)</f>
        <v>85</v>
      </c>
      <c r="H49" s="412">
        <f>SUM(H50:H51)</f>
        <v>0</v>
      </c>
    </row>
    <row r="50" spans="1:8" ht="12.75">
      <c r="A50" s="396">
        <v>11.1</v>
      </c>
      <c r="B50" s="393" t="s">
        <v>1224</v>
      </c>
      <c r="C50" s="411">
        <v>10</v>
      </c>
      <c r="D50" s="411">
        <v>10</v>
      </c>
      <c r="E50" s="411">
        <v>50</v>
      </c>
      <c r="F50" s="417">
        <v>1150</v>
      </c>
      <c r="G50" s="411">
        <v>50</v>
      </c>
      <c r="H50" s="414"/>
    </row>
    <row r="51" spans="1:8" ht="12.75">
      <c r="A51" s="393" t="s">
        <v>1270</v>
      </c>
      <c r="B51" s="393" t="s">
        <v>1232</v>
      </c>
      <c r="C51" s="411">
        <v>10</v>
      </c>
      <c r="D51" s="411">
        <v>10</v>
      </c>
      <c r="E51" s="411">
        <v>35</v>
      </c>
      <c r="F51" s="417">
        <v>2390</v>
      </c>
      <c r="G51" s="411">
        <v>35</v>
      </c>
      <c r="H51" s="413"/>
    </row>
    <row r="52" spans="1:8" ht="25.5">
      <c r="A52" s="395">
        <v>12</v>
      </c>
      <c r="B52" s="395" t="s">
        <v>1271</v>
      </c>
      <c r="C52" s="412">
        <f>SUM(C53:C54)</f>
        <v>0</v>
      </c>
      <c r="D52" s="412">
        <f>SUM(D53:D54)</f>
        <v>0</v>
      </c>
      <c r="E52" s="412">
        <f>SUM(E53:E54)</f>
        <v>40</v>
      </c>
      <c r="F52" s="412"/>
      <c r="G52" s="412">
        <f>SUM(G53:G54)</f>
        <v>40</v>
      </c>
      <c r="H52" s="412">
        <f>SUM(H53:H54)</f>
        <v>0</v>
      </c>
    </row>
    <row r="53" spans="1:8" ht="12.75">
      <c r="A53" s="393" t="s">
        <v>1272</v>
      </c>
      <c r="B53" s="393" t="s">
        <v>1258</v>
      </c>
      <c r="C53" s="411"/>
      <c r="D53" s="411"/>
      <c r="E53" s="411">
        <v>30</v>
      </c>
      <c r="F53" s="417">
        <v>1150</v>
      </c>
      <c r="G53" s="411">
        <v>30</v>
      </c>
      <c r="H53" s="413"/>
    </row>
    <row r="54" spans="1:8" ht="12.75">
      <c r="A54" s="393" t="s">
        <v>1273</v>
      </c>
      <c r="B54" s="393" t="s">
        <v>1232</v>
      </c>
      <c r="C54" s="411"/>
      <c r="D54" s="411"/>
      <c r="E54" s="411">
        <v>10</v>
      </c>
      <c r="F54" s="417">
        <v>2390</v>
      </c>
      <c r="G54" s="411">
        <v>10</v>
      </c>
      <c r="H54" s="413"/>
    </row>
    <row r="55" spans="1:8" ht="38.25">
      <c r="A55" s="395">
        <v>13</v>
      </c>
      <c r="B55" s="395" t="s">
        <v>1274</v>
      </c>
      <c r="C55" s="412">
        <f>SUM(C56)</f>
        <v>0</v>
      </c>
      <c r="D55" s="412">
        <f>SUM(D56)</f>
        <v>0</v>
      </c>
      <c r="E55" s="412">
        <f>SUM(E56)</f>
        <v>30</v>
      </c>
      <c r="F55" s="412"/>
      <c r="G55" s="412">
        <f>SUM(G56)</f>
        <v>30</v>
      </c>
      <c r="H55" s="412">
        <f>SUM(H56)</f>
        <v>0</v>
      </c>
    </row>
    <row r="56" spans="1:8" ht="12.75">
      <c r="A56" s="393" t="s">
        <v>1275</v>
      </c>
      <c r="B56" s="393" t="s">
        <v>1276</v>
      </c>
      <c r="C56" s="411"/>
      <c r="D56" s="411"/>
      <c r="E56" s="411">
        <v>30</v>
      </c>
      <c r="F56" s="417">
        <v>2390</v>
      </c>
      <c r="G56" s="411">
        <v>30</v>
      </c>
      <c r="H56" s="413"/>
    </row>
    <row r="57" spans="1:8" ht="12.75">
      <c r="A57" s="395">
        <v>14</v>
      </c>
      <c r="B57" s="395" t="s">
        <v>1277</v>
      </c>
      <c r="C57" s="412">
        <f>SUM(C58:C59)</f>
        <v>45</v>
      </c>
      <c r="D57" s="412">
        <f>SUM(D58:D59)</f>
        <v>45</v>
      </c>
      <c r="E57" s="412">
        <f>SUM(E58:E59)</f>
        <v>90</v>
      </c>
      <c r="F57" s="412"/>
      <c r="G57" s="412">
        <f>SUM(G58:G59)</f>
        <v>90</v>
      </c>
      <c r="H57" s="412">
        <f>SUM(H58:H59)</f>
        <v>0</v>
      </c>
    </row>
    <row r="58" spans="1:8" ht="12.75">
      <c r="A58" s="393" t="s">
        <v>1278</v>
      </c>
      <c r="B58" s="393" t="s">
        <v>1258</v>
      </c>
      <c r="C58" s="411">
        <v>25</v>
      </c>
      <c r="D58" s="411">
        <v>25</v>
      </c>
      <c r="E58" s="411">
        <v>75</v>
      </c>
      <c r="F58" s="417">
        <v>1150</v>
      </c>
      <c r="G58" s="411">
        <v>75</v>
      </c>
      <c r="H58" s="413"/>
    </row>
    <row r="59" spans="1:8" ht="12.75">
      <c r="A59" s="393" t="s">
        <v>1278</v>
      </c>
      <c r="B59" s="393" t="s">
        <v>1232</v>
      </c>
      <c r="C59" s="411">
        <v>20</v>
      </c>
      <c r="D59" s="411">
        <v>20</v>
      </c>
      <c r="E59" s="411">
        <v>15</v>
      </c>
      <c r="F59" s="417">
        <v>2390</v>
      </c>
      <c r="G59" s="411">
        <v>15</v>
      </c>
      <c r="H59" s="413"/>
    </row>
    <row r="60" spans="1:8" ht="38.25">
      <c r="A60" s="395">
        <v>15</v>
      </c>
      <c r="B60" s="395" t="s">
        <v>1279</v>
      </c>
      <c r="C60" s="412">
        <f>SUM(C61)</f>
        <v>0</v>
      </c>
      <c r="D60" s="412">
        <f>SUM(D61)</f>
        <v>0</v>
      </c>
      <c r="E60" s="412">
        <f>SUM(E61)</f>
        <v>15</v>
      </c>
      <c r="F60" s="412"/>
      <c r="G60" s="412">
        <f>SUM(G61)</f>
        <v>15</v>
      </c>
      <c r="H60" s="412">
        <f>SUM(H61)</f>
        <v>0</v>
      </c>
    </row>
    <row r="61" spans="1:8" ht="12.75">
      <c r="A61" s="393" t="s">
        <v>1280</v>
      </c>
      <c r="B61" s="393" t="s">
        <v>1232</v>
      </c>
      <c r="C61" s="411"/>
      <c r="D61" s="411"/>
      <c r="E61" s="411">
        <v>15</v>
      </c>
      <c r="F61" s="417">
        <v>2390</v>
      </c>
      <c r="G61" s="411">
        <v>15</v>
      </c>
      <c r="H61" s="413"/>
    </row>
    <row r="62" spans="1:8" ht="12.75">
      <c r="A62" s="395">
        <v>16</v>
      </c>
      <c r="B62" s="395" t="s">
        <v>1281</v>
      </c>
      <c r="C62" s="412">
        <f>SUM(C63:C64)</f>
        <v>20</v>
      </c>
      <c r="D62" s="412">
        <f>SUM(D63:D64)</f>
        <v>20</v>
      </c>
      <c r="E62" s="412">
        <f>SUM(E63:E64)</f>
        <v>50</v>
      </c>
      <c r="F62" s="412"/>
      <c r="G62" s="412">
        <f>SUM(G63:G64)</f>
        <v>50</v>
      </c>
      <c r="H62" s="412">
        <f>SUM(H63:H64)</f>
        <v>0</v>
      </c>
    </row>
    <row r="63" spans="1:8" ht="25.5">
      <c r="A63" s="393" t="s">
        <v>1282</v>
      </c>
      <c r="B63" s="393" t="s">
        <v>1283</v>
      </c>
      <c r="C63" s="411"/>
      <c r="D63" s="411"/>
      <c r="E63" s="411">
        <v>35</v>
      </c>
      <c r="F63" s="417">
        <v>2279</v>
      </c>
      <c r="G63" s="411">
        <v>35</v>
      </c>
      <c r="H63" s="413"/>
    </row>
    <row r="64" spans="1:8" ht="25.5">
      <c r="A64" s="393" t="s">
        <v>1284</v>
      </c>
      <c r="B64" s="393" t="s">
        <v>1285</v>
      </c>
      <c r="C64" s="411">
        <v>20</v>
      </c>
      <c r="D64" s="411">
        <v>20</v>
      </c>
      <c r="E64" s="411">
        <v>15</v>
      </c>
      <c r="F64" s="417">
        <v>2390</v>
      </c>
      <c r="G64" s="411">
        <v>15</v>
      </c>
      <c r="H64" s="413"/>
    </row>
    <row r="65" spans="1:8" ht="25.5">
      <c r="A65" s="395">
        <v>17</v>
      </c>
      <c r="B65" s="395" t="s">
        <v>1286</v>
      </c>
      <c r="C65" s="412">
        <f>SUM(C66:C67)</f>
        <v>0</v>
      </c>
      <c r="D65" s="412">
        <f>SUM(D66:D67)</f>
        <v>0</v>
      </c>
      <c r="E65" s="412">
        <f>SUM(E66:E67)</f>
        <v>35</v>
      </c>
      <c r="F65" s="412"/>
      <c r="G65" s="412">
        <f>SUM(G66:G67)</f>
        <v>35</v>
      </c>
      <c r="H65" s="412">
        <f>SUM(H66:H67)</f>
        <v>0</v>
      </c>
    </row>
    <row r="66" spans="1:8" ht="12.75">
      <c r="A66" s="393" t="s">
        <v>1287</v>
      </c>
      <c r="B66" s="393" t="s">
        <v>1258</v>
      </c>
      <c r="C66" s="411"/>
      <c r="D66" s="411"/>
      <c r="E66" s="411">
        <v>30</v>
      </c>
      <c r="F66" s="417">
        <v>1150</v>
      </c>
      <c r="G66" s="411">
        <v>30</v>
      </c>
      <c r="H66" s="413"/>
    </row>
    <row r="67" spans="1:8" ht="12.75">
      <c r="A67" s="393" t="s">
        <v>1287</v>
      </c>
      <c r="B67" s="393" t="s">
        <v>1232</v>
      </c>
      <c r="C67" s="411"/>
      <c r="D67" s="411"/>
      <c r="E67" s="411">
        <v>5</v>
      </c>
      <c r="F67" s="417">
        <v>2390</v>
      </c>
      <c r="G67" s="411">
        <v>5</v>
      </c>
      <c r="H67" s="413"/>
    </row>
    <row r="68" spans="1:8" ht="25.5">
      <c r="A68" s="395">
        <v>18</v>
      </c>
      <c r="B68" s="395" t="s">
        <v>1288</v>
      </c>
      <c r="C68" s="412">
        <f>SUM(C69:C70)</f>
        <v>0</v>
      </c>
      <c r="D68" s="412">
        <f>SUM(D69:D70)</f>
        <v>0</v>
      </c>
      <c r="E68" s="412">
        <f>SUM(E69:E70)</f>
        <v>80</v>
      </c>
      <c r="F68" s="412"/>
      <c r="G68" s="412">
        <f>SUM(G69:G70)</f>
        <v>80</v>
      </c>
      <c r="H68" s="412">
        <f>SUM(H69:H70)</f>
        <v>0</v>
      </c>
    </row>
    <row r="69" spans="1:8" ht="12.75">
      <c r="A69" s="393" t="s">
        <v>1289</v>
      </c>
      <c r="B69" s="393" t="s">
        <v>1290</v>
      </c>
      <c r="C69" s="411"/>
      <c r="D69" s="411"/>
      <c r="E69" s="411">
        <v>65</v>
      </c>
      <c r="F69" s="417">
        <v>2279</v>
      </c>
      <c r="G69" s="411">
        <v>65</v>
      </c>
      <c r="H69" s="413"/>
    </row>
    <row r="70" spans="1:8" ht="12.75">
      <c r="A70" s="393" t="s">
        <v>1289</v>
      </c>
      <c r="B70" s="393" t="s">
        <v>1232</v>
      </c>
      <c r="C70" s="411"/>
      <c r="D70" s="411"/>
      <c r="E70" s="411">
        <v>15</v>
      </c>
      <c r="F70" s="417">
        <v>2390</v>
      </c>
      <c r="G70" s="411">
        <v>15</v>
      </c>
      <c r="H70" s="413"/>
    </row>
    <row r="71" spans="1:8" ht="14.25">
      <c r="A71" s="393"/>
      <c r="B71" s="399" t="s">
        <v>1291</v>
      </c>
      <c r="C71" s="412">
        <f>SUM(C13,C19,C22,C25,C28,C32,C34,C38,C42,C45,C49,C52,C55,C57,C60,C62,C65,C68)</f>
        <v>170</v>
      </c>
      <c r="D71" s="412">
        <f>SUM(D13,D19,D22,D25,D28,D32,D34,D38,D42,D45,D49,D52,D55,D57,D60,D62,D65,D68)</f>
        <v>170</v>
      </c>
      <c r="E71" s="412">
        <f>SUM(E13,E19,E22,E25,E28,E32,E34,E38,E42,E45,E49,E52,E55,E57,E60,E62,E65,E68)</f>
        <v>1365</v>
      </c>
      <c r="F71" s="418"/>
      <c r="G71" s="412">
        <f>SUM(G13,G19,G22,G25,G28,G32,G34,G38,G42,G45,G49,G52,G55,G57,G60,G62,G65,G68)</f>
        <v>1465</v>
      </c>
      <c r="H71" s="412">
        <f>SUM(H13,H19,H22,H25,H28,H32,H34,H38,H42,H45,H49,H52,H55,H57,H60,H62,H65,H68)</f>
        <v>0</v>
      </c>
    </row>
    <row r="72" ht="15"/>
    <row r="73" ht="15"/>
    <row r="74" ht="15"/>
    <row r="75" ht="15"/>
    <row r="76" ht="15"/>
    <row r="77" ht="15"/>
    <row r="78" ht="15"/>
    <row r="79" ht="15"/>
    <row r="80" ht="15"/>
    <row r="81" ht="15"/>
    <row r="82" ht="15"/>
    <row r="83" ht="15"/>
    <row r="84" ht="15"/>
    <row r="85" spans="3:8" ht="12.75">
      <c r="C85" s="404"/>
      <c r="D85" s="404"/>
      <c r="E85" s="404"/>
      <c r="F85" s="419"/>
      <c r="G85" s="404"/>
      <c r="H85" s="404"/>
    </row>
    <row r="86" spans="3:8" ht="12.75">
      <c r="C86" s="404"/>
      <c r="D86" s="404"/>
      <c r="E86" s="404"/>
      <c r="F86" s="419"/>
      <c r="G86" s="404"/>
      <c r="H86" s="404"/>
    </row>
    <row r="87" spans="3:8" ht="12.75">
      <c r="C87" s="404"/>
      <c r="D87" s="404"/>
      <c r="E87" s="404"/>
      <c r="F87" s="419"/>
      <c r="G87" s="404"/>
      <c r="H87" s="404"/>
    </row>
    <row r="88" spans="3:8" ht="12.75">
      <c r="C88" s="404"/>
      <c r="D88" s="404"/>
      <c r="E88" s="404"/>
      <c r="F88" s="419"/>
      <c r="G88" s="404"/>
      <c r="H88" s="404"/>
    </row>
    <row r="89" spans="3:8" ht="12.75">
      <c r="C89" s="404"/>
      <c r="D89" s="404"/>
      <c r="E89" s="404"/>
      <c r="F89" s="419"/>
      <c r="G89" s="404"/>
      <c r="H89" s="404"/>
    </row>
    <row r="90" spans="3:8" ht="12.75">
      <c r="C90" s="404"/>
      <c r="D90" s="404"/>
      <c r="E90" s="404"/>
      <c r="F90" s="419"/>
      <c r="G90" s="404"/>
      <c r="H90" s="404"/>
    </row>
    <row r="91" spans="3:8" ht="12.75">
      <c r="C91" s="404"/>
      <c r="D91" s="404"/>
      <c r="E91" s="404"/>
      <c r="F91" s="419"/>
      <c r="G91" s="404"/>
      <c r="H91" s="404"/>
    </row>
    <row r="92" spans="3:8" ht="12.75">
      <c r="C92" s="404"/>
      <c r="D92" s="404"/>
      <c r="E92" s="404"/>
      <c r="F92" s="419"/>
      <c r="G92" s="404"/>
      <c r="H92" s="404"/>
    </row>
    <row r="93" spans="3:8" ht="12.75">
      <c r="C93" s="404"/>
      <c r="D93" s="404"/>
      <c r="E93" s="404"/>
      <c r="F93" s="419"/>
      <c r="G93" s="404"/>
      <c r="H93" s="404"/>
    </row>
    <row r="94" spans="3:8" ht="12.75">
      <c r="C94" s="404"/>
      <c r="D94" s="404"/>
      <c r="E94" s="404"/>
      <c r="F94" s="419"/>
      <c r="G94" s="404"/>
      <c r="H94" s="404"/>
    </row>
    <row r="95" spans="3:8" ht="12.75">
      <c r="C95" s="404"/>
      <c r="D95" s="404"/>
      <c r="E95" s="404"/>
      <c r="F95" s="419"/>
      <c r="G95" s="404"/>
      <c r="H95" s="404"/>
    </row>
    <row r="96" spans="3:8" ht="12.75">
      <c r="C96" s="404"/>
      <c r="D96" s="404"/>
      <c r="E96" s="404"/>
      <c r="F96" s="419"/>
      <c r="G96" s="404"/>
      <c r="H96" s="404"/>
    </row>
    <row r="97" spans="3:8" ht="12.75">
      <c r="C97" s="404"/>
      <c r="D97" s="404"/>
      <c r="E97" s="404"/>
      <c r="F97" s="404"/>
      <c r="G97" s="404"/>
      <c r="H97" s="404"/>
    </row>
    <row r="98" spans="3:8" ht="12.75">
      <c r="C98" s="404"/>
      <c r="D98" s="404"/>
      <c r="E98" s="404"/>
      <c r="F98" s="404"/>
      <c r="G98" s="404"/>
      <c r="H98" s="404"/>
    </row>
    <row r="99" spans="3:8" ht="12.75">
      <c r="C99" s="404"/>
      <c r="D99" s="404"/>
      <c r="E99" s="404"/>
      <c r="F99" s="404"/>
      <c r="G99" s="404"/>
      <c r="H99" s="404"/>
    </row>
    <row r="100" spans="3:8" ht="12.75">
      <c r="C100" s="404"/>
      <c r="D100" s="404"/>
      <c r="E100" s="404"/>
      <c r="F100" s="404"/>
      <c r="G100" s="404"/>
      <c r="H100" s="404"/>
    </row>
    <row r="101" spans="3:8" ht="12.75">
      <c r="C101" s="404"/>
      <c r="D101" s="404"/>
      <c r="E101" s="404"/>
      <c r="F101" s="404"/>
      <c r="G101" s="404"/>
      <c r="H101" s="404"/>
    </row>
    <row r="102" spans="3:8" ht="12.75">
      <c r="C102" s="404"/>
      <c r="D102" s="404"/>
      <c r="E102" s="404"/>
      <c r="F102" s="404"/>
      <c r="G102" s="404"/>
      <c r="H102" s="404"/>
    </row>
  </sheetData>
  <sheetProtection/>
  <mergeCells count="7">
    <mergeCell ref="G11:H11"/>
    <mergeCell ref="A11:A12"/>
    <mergeCell ref="B11:B12"/>
    <mergeCell ref="C11:C12"/>
    <mergeCell ref="D11:D12"/>
    <mergeCell ref="E11:E12"/>
    <mergeCell ref="F11:F12"/>
  </mergeCells>
  <printOptions/>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I58"/>
  <sheetViews>
    <sheetView tabSelected="1" zoomScalePageLayoutView="0" workbookViewId="0" topLeftCell="A19">
      <selection activeCell="I21" sqref="I21"/>
    </sheetView>
  </sheetViews>
  <sheetFormatPr defaultColWidth="9.140625" defaultRowHeight="15"/>
  <cols>
    <col min="1" max="1" width="6.140625" style="321" customWidth="1"/>
    <col min="2" max="2" width="24.8515625" style="321" customWidth="1"/>
    <col min="3" max="3" width="9.140625" style="321" customWidth="1"/>
    <col min="4" max="4" width="8.57421875" style="321" bestFit="1" customWidth="1"/>
    <col min="5" max="5" width="10.28125" style="321" customWidth="1"/>
    <col min="6" max="6" width="11.140625" style="321" customWidth="1"/>
    <col min="7" max="7" width="11.8515625" style="321" customWidth="1"/>
    <col min="8" max="8" width="11.140625" style="321" customWidth="1"/>
    <col min="9" max="16384" width="9.140625" style="321" customWidth="1"/>
  </cols>
  <sheetData>
    <row r="1" s="386" customFormat="1" ht="15.75">
      <c r="H1" s="723" t="s">
        <v>1651</v>
      </c>
    </row>
    <row r="2" s="386" customFormat="1" ht="15.75">
      <c r="H2" s="723" t="s">
        <v>1627</v>
      </c>
    </row>
    <row r="3" s="386" customFormat="1" ht="15.75">
      <c r="H3" s="723" t="s">
        <v>1628</v>
      </c>
    </row>
    <row r="5" spans="1:7" ht="15.75">
      <c r="A5" s="386" t="s">
        <v>476</v>
      </c>
      <c r="B5" s="387"/>
      <c r="C5" s="344" t="s">
        <v>1217</v>
      </c>
      <c r="D5" s="387"/>
      <c r="E5" s="387"/>
      <c r="F5" s="387"/>
      <c r="G5" s="387"/>
    </row>
    <row r="7" ht="15.75">
      <c r="A7" s="388" t="s">
        <v>1292</v>
      </c>
    </row>
    <row r="8" ht="12.75">
      <c r="F8" s="389" t="s">
        <v>1219</v>
      </c>
    </row>
    <row r="9" spans="1:6" ht="12.75">
      <c r="A9" s="321" t="s">
        <v>1293</v>
      </c>
      <c r="F9" s="321" t="s">
        <v>1221</v>
      </c>
    </row>
    <row r="11" spans="1:8" ht="38.25" customHeight="1">
      <c r="A11" s="1051" t="s">
        <v>7</v>
      </c>
      <c r="B11" s="1051" t="s">
        <v>8</v>
      </c>
      <c r="C11" s="1051" t="s">
        <v>9</v>
      </c>
      <c r="D11" s="1051" t="s">
        <v>1133</v>
      </c>
      <c r="E11" s="1051" t="s">
        <v>10</v>
      </c>
      <c r="F11" s="1051" t="s">
        <v>14</v>
      </c>
      <c r="G11" s="1049" t="s">
        <v>15</v>
      </c>
      <c r="H11" s="1050"/>
    </row>
    <row r="12" spans="1:8" ht="26.25" thickBot="1">
      <c r="A12" s="1052"/>
      <c r="B12" s="1052"/>
      <c r="C12" s="1052"/>
      <c r="D12" s="1052"/>
      <c r="E12" s="1052"/>
      <c r="F12" s="1052"/>
      <c r="G12" s="390" t="s">
        <v>1134</v>
      </c>
      <c r="H12" s="390" t="s">
        <v>1135</v>
      </c>
    </row>
    <row r="13" spans="1:9" ht="13.5" thickTop="1">
      <c r="A13" s="391">
        <v>1</v>
      </c>
      <c r="B13" s="391" t="s">
        <v>1294</v>
      </c>
      <c r="C13" s="415">
        <f>SUM(C14:C17)</f>
        <v>173</v>
      </c>
      <c r="D13" s="415">
        <f>SUM(D14:D17)</f>
        <v>173</v>
      </c>
      <c r="E13" s="415">
        <f>SUM(E14:E17)</f>
        <v>405</v>
      </c>
      <c r="F13" s="415"/>
      <c r="G13" s="415">
        <f>SUM(G14:G17)</f>
        <v>405</v>
      </c>
      <c r="H13" s="415">
        <f>SUM(H14:H17)</f>
        <v>0</v>
      </c>
      <c r="I13" s="392"/>
    </row>
    <row r="14" spans="1:8" ht="12.75">
      <c r="A14" s="393" t="s">
        <v>1223</v>
      </c>
      <c r="B14" s="393" t="s">
        <v>1295</v>
      </c>
      <c r="C14" s="411">
        <v>77</v>
      </c>
      <c r="D14" s="411">
        <v>77</v>
      </c>
      <c r="E14" s="411">
        <v>150</v>
      </c>
      <c r="F14" s="417">
        <v>1150</v>
      </c>
      <c r="G14" s="411">
        <v>150</v>
      </c>
      <c r="H14" s="413"/>
    </row>
    <row r="15" spans="1:8" ht="12.75">
      <c r="A15" s="393" t="s">
        <v>1225</v>
      </c>
      <c r="B15" s="393" t="s">
        <v>1296</v>
      </c>
      <c r="C15" s="411"/>
      <c r="D15" s="411"/>
      <c r="E15" s="411">
        <v>60</v>
      </c>
      <c r="F15" s="417">
        <v>2264</v>
      </c>
      <c r="G15" s="411">
        <v>60</v>
      </c>
      <c r="H15" s="413"/>
    </row>
    <row r="16" spans="1:8" ht="12.75">
      <c r="A16" s="393" t="s">
        <v>1225</v>
      </c>
      <c r="B16" s="393" t="s">
        <v>1290</v>
      </c>
      <c r="C16" s="411">
        <v>61</v>
      </c>
      <c r="D16" s="411">
        <v>61</v>
      </c>
      <c r="E16" s="411">
        <v>120</v>
      </c>
      <c r="F16" s="417">
        <v>2279</v>
      </c>
      <c r="G16" s="411">
        <v>120</v>
      </c>
      <c r="H16" s="413"/>
    </row>
    <row r="17" spans="1:8" ht="12.75" customHeight="1">
      <c r="A17" s="393" t="s">
        <v>1227</v>
      </c>
      <c r="B17" s="393" t="s">
        <v>1297</v>
      </c>
      <c r="C17" s="411">
        <v>35</v>
      </c>
      <c r="D17" s="411">
        <v>35</v>
      </c>
      <c r="E17" s="411">
        <v>75</v>
      </c>
      <c r="F17" s="417">
        <v>2390</v>
      </c>
      <c r="G17" s="411">
        <v>75</v>
      </c>
      <c r="H17" s="413"/>
    </row>
    <row r="18" spans="1:8" ht="12.75">
      <c r="A18" s="395">
        <v>2</v>
      </c>
      <c r="B18" s="395" t="s">
        <v>1298</v>
      </c>
      <c r="C18" s="412">
        <f>SUM(C19:C22)</f>
        <v>662</v>
      </c>
      <c r="D18" s="412">
        <f>SUM(D19:D22)</f>
        <v>662</v>
      </c>
      <c r="E18" s="412">
        <f>SUM(E19:E22)</f>
        <v>850</v>
      </c>
      <c r="F18" s="412"/>
      <c r="G18" s="412">
        <f>SUM(G19:G22)</f>
        <v>850</v>
      </c>
      <c r="H18" s="412">
        <f>SUM(H19:H22)</f>
        <v>0</v>
      </c>
    </row>
    <row r="19" spans="1:8" ht="12.75">
      <c r="A19" s="393" t="s">
        <v>1234</v>
      </c>
      <c r="B19" s="393" t="s">
        <v>1299</v>
      </c>
      <c r="C19" s="411">
        <v>620</v>
      </c>
      <c r="D19" s="411">
        <v>620</v>
      </c>
      <c r="E19" s="411">
        <v>600</v>
      </c>
      <c r="F19" s="417">
        <v>1150</v>
      </c>
      <c r="G19" s="411">
        <v>600</v>
      </c>
      <c r="H19" s="413"/>
    </row>
    <row r="20" spans="1:8" ht="12.75">
      <c r="A20" s="393" t="s">
        <v>1235</v>
      </c>
      <c r="B20" s="393" t="s">
        <v>1300</v>
      </c>
      <c r="C20" s="411"/>
      <c r="D20" s="411"/>
      <c r="E20" s="411">
        <v>100</v>
      </c>
      <c r="F20" s="417">
        <v>1150</v>
      </c>
      <c r="G20" s="411">
        <v>100</v>
      </c>
      <c r="H20" s="413"/>
    </row>
    <row r="21" spans="1:8" ht="12.75">
      <c r="A21" s="393" t="s">
        <v>1301</v>
      </c>
      <c r="B21" s="393" t="s">
        <v>1296</v>
      </c>
      <c r="C21" s="411"/>
      <c r="D21" s="411"/>
      <c r="E21" s="411">
        <v>100</v>
      </c>
      <c r="F21" s="417">
        <v>2264</v>
      </c>
      <c r="G21" s="411">
        <v>100</v>
      </c>
      <c r="H21" s="413"/>
    </row>
    <row r="22" spans="1:8" ht="12.75">
      <c r="A22" s="393" t="s">
        <v>1302</v>
      </c>
      <c r="B22" s="393" t="s">
        <v>1303</v>
      </c>
      <c r="C22" s="411">
        <v>42</v>
      </c>
      <c r="D22" s="411">
        <v>42</v>
      </c>
      <c r="E22" s="411">
        <v>50</v>
      </c>
      <c r="F22" s="417">
        <v>2390</v>
      </c>
      <c r="G22" s="411">
        <v>50</v>
      </c>
      <c r="H22" s="413"/>
    </row>
    <row r="23" spans="1:9" ht="12.75">
      <c r="A23" s="395">
        <v>3</v>
      </c>
      <c r="B23" s="395" t="s">
        <v>1304</v>
      </c>
      <c r="C23" s="412">
        <f>SUM(C24:C28)</f>
        <v>0</v>
      </c>
      <c r="D23" s="412">
        <f>SUM(D24:D28)</f>
        <v>0</v>
      </c>
      <c r="E23" s="412">
        <f>SUM(E24:E28)</f>
        <v>650</v>
      </c>
      <c r="F23" s="412"/>
      <c r="G23" s="412">
        <f>SUM(G24:G28)</f>
        <v>650</v>
      </c>
      <c r="H23" s="412">
        <f>SUM(H24:H28)</f>
        <v>0</v>
      </c>
      <c r="I23" s="392"/>
    </row>
    <row r="24" spans="1:8" ht="12.75">
      <c r="A24" s="393" t="s">
        <v>1238</v>
      </c>
      <c r="B24" s="393" t="s">
        <v>1299</v>
      </c>
      <c r="C24" s="411"/>
      <c r="D24" s="411"/>
      <c r="E24" s="411">
        <v>250</v>
      </c>
      <c r="F24" s="417">
        <v>1150</v>
      </c>
      <c r="G24" s="411">
        <v>250</v>
      </c>
      <c r="H24" s="413"/>
    </row>
    <row r="25" spans="1:8" ht="12.75">
      <c r="A25" s="393" t="s">
        <v>1240</v>
      </c>
      <c r="B25" s="393" t="s">
        <v>1296</v>
      </c>
      <c r="C25" s="411"/>
      <c r="D25" s="411"/>
      <c r="E25" s="411">
        <v>80</v>
      </c>
      <c r="F25" s="417">
        <v>2264</v>
      </c>
      <c r="G25" s="411">
        <v>80</v>
      </c>
      <c r="H25" s="413"/>
    </row>
    <row r="26" spans="1:8" ht="25.5">
      <c r="A26" s="393" t="s">
        <v>1305</v>
      </c>
      <c r="B26" s="393" t="s">
        <v>1306</v>
      </c>
      <c r="C26" s="411"/>
      <c r="D26" s="411"/>
      <c r="E26" s="411">
        <v>100</v>
      </c>
      <c r="F26" s="417">
        <v>2279</v>
      </c>
      <c r="G26" s="411">
        <f>0+100</f>
        <v>100</v>
      </c>
      <c r="H26" s="413">
        <f>100-100</f>
        <v>0</v>
      </c>
    </row>
    <row r="27" spans="1:8" ht="38.25">
      <c r="A27" s="393" t="s">
        <v>1307</v>
      </c>
      <c r="B27" s="393" t="s">
        <v>1308</v>
      </c>
      <c r="C27" s="411"/>
      <c r="D27" s="411"/>
      <c r="E27" s="411">
        <v>100</v>
      </c>
      <c r="F27" s="417">
        <v>2390</v>
      </c>
      <c r="G27" s="411">
        <v>100</v>
      </c>
      <c r="H27" s="413"/>
    </row>
    <row r="28" spans="1:8" ht="12.75">
      <c r="A28" s="393" t="s">
        <v>1309</v>
      </c>
      <c r="B28" s="393" t="s">
        <v>1232</v>
      </c>
      <c r="C28" s="411"/>
      <c r="D28" s="411"/>
      <c r="E28" s="411">
        <v>120</v>
      </c>
      <c r="F28" s="417">
        <v>2390</v>
      </c>
      <c r="G28" s="411">
        <v>120</v>
      </c>
      <c r="H28" s="413"/>
    </row>
    <row r="29" spans="1:9" ht="12.75">
      <c r="A29" s="395">
        <v>4</v>
      </c>
      <c r="B29" s="395" t="s">
        <v>1310</v>
      </c>
      <c r="C29" s="412">
        <f>SUM(C30:C32)</f>
        <v>167</v>
      </c>
      <c r="D29" s="412">
        <f>SUM(D30:D32)</f>
        <v>167</v>
      </c>
      <c r="E29" s="412">
        <f>SUM(E30:E32)</f>
        <v>490</v>
      </c>
      <c r="F29" s="412"/>
      <c r="G29" s="412">
        <f>SUM(G30:G32)</f>
        <v>490</v>
      </c>
      <c r="H29" s="412">
        <f>SUM(H30:H32)</f>
        <v>0</v>
      </c>
      <c r="I29" s="392"/>
    </row>
    <row r="30" spans="1:9" ht="12.75">
      <c r="A30" s="393" t="s">
        <v>1243</v>
      </c>
      <c r="B30" s="393" t="s">
        <v>1300</v>
      </c>
      <c r="C30" s="411">
        <v>65</v>
      </c>
      <c r="D30" s="411">
        <v>65</v>
      </c>
      <c r="E30" s="411">
        <v>135</v>
      </c>
      <c r="F30" s="417">
        <v>1150</v>
      </c>
      <c r="G30" s="411">
        <v>135</v>
      </c>
      <c r="H30" s="416"/>
      <c r="I30" s="392"/>
    </row>
    <row r="31" spans="1:8" ht="12.75">
      <c r="A31" s="393" t="s">
        <v>1311</v>
      </c>
      <c r="B31" s="393" t="s">
        <v>1224</v>
      </c>
      <c r="C31" s="411">
        <v>62</v>
      </c>
      <c r="D31" s="411">
        <v>62</v>
      </c>
      <c r="E31" s="411">
        <v>300</v>
      </c>
      <c r="F31" s="417">
        <v>1150</v>
      </c>
      <c r="G31" s="411">
        <v>300</v>
      </c>
      <c r="H31" s="413"/>
    </row>
    <row r="32" spans="1:8" ht="12.75">
      <c r="A32" s="393" t="s">
        <v>1312</v>
      </c>
      <c r="B32" s="393" t="s">
        <v>1313</v>
      </c>
      <c r="C32" s="411">
        <v>40</v>
      </c>
      <c r="D32" s="411">
        <v>40</v>
      </c>
      <c r="E32" s="411">
        <v>55</v>
      </c>
      <c r="F32" s="417">
        <v>2390</v>
      </c>
      <c r="G32" s="411">
        <v>55</v>
      </c>
      <c r="H32" s="413"/>
    </row>
    <row r="33" spans="1:8" ht="12.75">
      <c r="A33" s="395">
        <v>5</v>
      </c>
      <c r="B33" s="395" t="s">
        <v>1314</v>
      </c>
      <c r="C33" s="412">
        <f>SUM(C34:C37)</f>
        <v>595</v>
      </c>
      <c r="D33" s="412">
        <f>SUM(D34:D37)</f>
        <v>595</v>
      </c>
      <c r="E33" s="412">
        <f>SUM(E34:E37)</f>
        <v>435</v>
      </c>
      <c r="F33" s="412"/>
      <c r="G33" s="412">
        <f>SUM(G34:G37)</f>
        <v>435</v>
      </c>
      <c r="H33" s="412">
        <f>SUM(H34:H37)</f>
        <v>0</v>
      </c>
    </row>
    <row r="34" spans="1:8" ht="12.75">
      <c r="A34" s="393" t="s">
        <v>1245</v>
      </c>
      <c r="B34" s="393" t="s">
        <v>1315</v>
      </c>
      <c r="C34" s="411">
        <v>390</v>
      </c>
      <c r="D34" s="411">
        <v>390</v>
      </c>
      <c r="E34" s="411">
        <v>360</v>
      </c>
      <c r="F34" s="417">
        <v>1150</v>
      </c>
      <c r="G34" s="411">
        <v>360</v>
      </c>
      <c r="H34" s="413"/>
    </row>
    <row r="35" spans="1:8" ht="12.75">
      <c r="A35" s="393" t="s">
        <v>1246</v>
      </c>
      <c r="B35" s="393" t="s">
        <v>1296</v>
      </c>
      <c r="C35" s="411">
        <v>120</v>
      </c>
      <c r="D35" s="411">
        <v>120</v>
      </c>
      <c r="E35" s="411"/>
      <c r="F35" s="417">
        <v>2264</v>
      </c>
      <c r="G35" s="411"/>
      <c r="H35" s="413"/>
    </row>
    <row r="36" spans="1:8" ht="12.75">
      <c r="A36" s="393" t="s">
        <v>1248</v>
      </c>
      <c r="B36" s="393" t="s">
        <v>1316</v>
      </c>
      <c r="C36" s="411">
        <v>75</v>
      </c>
      <c r="D36" s="411">
        <v>75</v>
      </c>
      <c r="E36" s="411">
        <v>75</v>
      </c>
      <c r="F36" s="417">
        <v>2390</v>
      </c>
      <c r="G36" s="411">
        <v>75</v>
      </c>
      <c r="H36" s="413"/>
    </row>
    <row r="37" spans="1:8" ht="12.75">
      <c r="A37" s="393" t="s">
        <v>1317</v>
      </c>
      <c r="B37" s="393" t="s">
        <v>1318</v>
      </c>
      <c r="C37" s="411">
        <v>10</v>
      </c>
      <c r="D37" s="411">
        <v>10</v>
      </c>
      <c r="E37" s="411"/>
      <c r="F37" s="417">
        <v>2279</v>
      </c>
      <c r="G37" s="411"/>
      <c r="H37" s="413"/>
    </row>
    <row r="38" spans="1:8" ht="12.75">
      <c r="A38" s="393"/>
      <c r="B38" s="400" t="s">
        <v>1291</v>
      </c>
      <c r="C38" s="412">
        <f>SUM(C13,C18,C23,C29,C33)</f>
        <v>1597</v>
      </c>
      <c r="D38" s="412">
        <f>SUM(D13,D18,D23,D29,D33)</f>
        <v>1597</v>
      </c>
      <c r="E38" s="412">
        <f>SUM(E13,E18,E23,E29,E33)</f>
        <v>2830</v>
      </c>
      <c r="F38" s="412"/>
      <c r="G38" s="412">
        <f>SUM(G13,G18,G23,G29,G33)</f>
        <v>2830</v>
      </c>
      <c r="H38" s="412">
        <f>SUM(H13,H18,H23,H29,H33)</f>
        <v>0</v>
      </c>
    </row>
    <row r="39" ht="15"/>
    <row r="40" ht="15"/>
    <row r="41" ht="15"/>
    <row r="42" ht="15"/>
    <row r="43" ht="15"/>
    <row r="44" ht="15"/>
    <row r="45" ht="15"/>
    <row r="46" ht="15"/>
    <row r="47" ht="15"/>
    <row r="48" ht="15"/>
    <row r="49" ht="12.75">
      <c r="F49" s="419"/>
    </row>
    <row r="50" ht="12.75">
      <c r="F50" s="419"/>
    </row>
    <row r="51" ht="12.75">
      <c r="F51" s="419"/>
    </row>
    <row r="52" ht="12.75">
      <c r="F52" s="419"/>
    </row>
    <row r="53" ht="12.75">
      <c r="F53" s="419"/>
    </row>
    <row r="54" ht="12.75">
      <c r="F54" s="419"/>
    </row>
    <row r="55" ht="12.75">
      <c r="F55" s="419"/>
    </row>
    <row r="56" ht="12.75">
      <c r="F56" s="419"/>
    </row>
    <row r="57" ht="12.75">
      <c r="F57" s="419"/>
    </row>
    <row r="58" ht="12.75">
      <c r="F58" s="419"/>
    </row>
  </sheetData>
  <sheetProtection/>
  <mergeCells count="7">
    <mergeCell ref="G11:H11"/>
    <mergeCell ref="A11:A12"/>
    <mergeCell ref="B11:B12"/>
    <mergeCell ref="C11:C12"/>
    <mergeCell ref="D11:D12"/>
    <mergeCell ref="E11:E12"/>
    <mergeCell ref="F11:F12"/>
  </mergeCells>
  <printOptions/>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7030A0"/>
    <pageSetUpPr fitToPage="1"/>
  </sheetPr>
  <dimension ref="A1:H60"/>
  <sheetViews>
    <sheetView zoomScalePageLayoutView="0" workbookViewId="0" topLeftCell="A33">
      <selection activeCell="K69" sqref="K69"/>
    </sheetView>
  </sheetViews>
  <sheetFormatPr defaultColWidth="9.140625" defaultRowHeight="15"/>
  <cols>
    <col min="1" max="1" width="6.140625" style="321" customWidth="1"/>
    <col min="2" max="2" width="24.8515625" style="321" customWidth="1"/>
    <col min="3" max="3" width="9.140625" style="321" customWidth="1"/>
    <col min="4" max="4" width="8.57421875" style="321" bestFit="1" customWidth="1"/>
    <col min="5" max="5" width="10.28125" style="321" customWidth="1"/>
    <col min="6" max="6" width="11.140625" style="321" customWidth="1"/>
    <col min="7" max="7" width="11.8515625" style="321" customWidth="1"/>
    <col min="8" max="8" width="11.140625" style="321" customWidth="1"/>
    <col min="9" max="16384" width="9.140625" style="321" customWidth="1"/>
  </cols>
  <sheetData>
    <row r="1" s="386" customFormat="1" ht="15.75">
      <c r="H1" s="723" t="s">
        <v>1652</v>
      </c>
    </row>
    <row r="2" s="386" customFormat="1" ht="15.75">
      <c r="H2" s="723" t="s">
        <v>1627</v>
      </c>
    </row>
    <row r="3" s="386" customFormat="1" ht="15.75">
      <c r="H3" s="723" t="s">
        <v>1628</v>
      </c>
    </row>
    <row r="5" spans="1:7" ht="15.75">
      <c r="A5" s="386" t="s">
        <v>476</v>
      </c>
      <c r="B5" s="387"/>
      <c r="C5" s="344" t="s">
        <v>1217</v>
      </c>
      <c r="D5" s="387"/>
      <c r="E5" s="387"/>
      <c r="F5" s="387"/>
      <c r="G5" s="387"/>
    </row>
    <row r="7" ht="15.75">
      <c r="A7" s="388" t="s">
        <v>1319</v>
      </c>
    </row>
    <row r="8" ht="12.75">
      <c r="F8" s="389" t="s">
        <v>1219</v>
      </c>
    </row>
    <row r="9" spans="1:6" ht="12.75">
      <c r="A9" s="321" t="s">
        <v>1320</v>
      </c>
      <c r="F9" s="321" t="s">
        <v>1221</v>
      </c>
    </row>
    <row r="11" spans="1:8" ht="38.25" customHeight="1">
      <c r="A11" s="1051" t="s">
        <v>7</v>
      </c>
      <c r="B11" s="1051" t="s">
        <v>8</v>
      </c>
      <c r="C11" s="1051" t="s">
        <v>9</v>
      </c>
      <c r="D11" s="1051" t="s">
        <v>1133</v>
      </c>
      <c r="E11" s="1051" t="s">
        <v>10</v>
      </c>
      <c r="F11" s="1051" t="s">
        <v>14</v>
      </c>
      <c r="G11" s="1049" t="s">
        <v>15</v>
      </c>
      <c r="H11" s="1050"/>
    </row>
    <row r="12" spans="1:8" ht="26.25" thickBot="1">
      <c r="A12" s="1052"/>
      <c r="B12" s="1052"/>
      <c r="C12" s="1052"/>
      <c r="D12" s="1052"/>
      <c r="E12" s="1052"/>
      <c r="F12" s="1052"/>
      <c r="G12" s="390" t="s">
        <v>1134</v>
      </c>
      <c r="H12" s="390" t="s">
        <v>1135</v>
      </c>
    </row>
    <row r="13" spans="1:8" ht="13.5" thickTop="1">
      <c r="A13" s="391">
        <v>1</v>
      </c>
      <c r="B13" s="391" t="s">
        <v>1298</v>
      </c>
      <c r="C13" s="405">
        <f>SUM(C15:C18)</f>
        <v>310</v>
      </c>
      <c r="D13" s="405">
        <f>SUM(D15:D18)</f>
        <v>310</v>
      </c>
      <c r="E13" s="405">
        <f>SUM(E15:E18)</f>
        <v>310</v>
      </c>
      <c r="F13" s="405"/>
      <c r="G13" s="405">
        <f>SUM(G15:G18)</f>
        <v>310</v>
      </c>
      <c r="H13" s="405">
        <f>SUM(H15:H18)</f>
        <v>0</v>
      </c>
    </row>
    <row r="14" spans="1:8" ht="12.75" hidden="1">
      <c r="A14" s="401"/>
      <c r="B14" s="401"/>
      <c r="C14" s="406"/>
      <c r="D14" s="406"/>
      <c r="E14" s="406"/>
      <c r="F14" s="406"/>
      <c r="G14" s="406"/>
      <c r="H14" s="407"/>
    </row>
    <row r="15" spans="1:8" ht="25.5">
      <c r="A15" s="393" t="s">
        <v>1223</v>
      </c>
      <c r="B15" s="393" t="s">
        <v>1321</v>
      </c>
      <c r="C15" s="408">
        <v>50</v>
      </c>
      <c r="D15" s="408">
        <v>50</v>
      </c>
      <c r="E15" s="408">
        <v>50</v>
      </c>
      <c r="F15" s="408">
        <v>1150</v>
      </c>
      <c r="G15" s="408">
        <v>50</v>
      </c>
      <c r="H15" s="409"/>
    </row>
    <row r="16" spans="1:8" ht="25.5">
      <c r="A16" s="393" t="s">
        <v>1225</v>
      </c>
      <c r="B16" s="393" t="s">
        <v>1322</v>
      </c>
      <c r="C16" s="408">
        <v>100</v>
      </c>
      <c r="D16" s="408">
        <v>100</v>
      </c>
      <c r="E16" s="408">
        <v>100</v>
      </c>
      <c r="F16" s="408">
        <v>2262</v>
      </c>
      <c r="G16" s="408">
        <v>100</v>
      </c>
      <c r="H16" s="409"/>
    </row>
    <row r="17" spans="1:8" ht="12.75">
      <c r="A17" s="393" t="s">
        <v>1227</v>
      </c>
      <c r="B17" s="393" t="s">
        <v>1323</v>
      </c>
      <c r="C17" s="408">
        <v>60</v>
      </c>
      <c r="D17" s="408">
        <v>60</v>
      </c>
      <c r="E17" s="408">
        <v>60</v>
      </c>
      <c r="F17" s="408">
        <v>2279</v>
      </c>
      <c r="G17" s="408">
        <v>60</v>
      </c>
      <c r="H17" s="409"/>
    </row>
    <row r="18" spans="1:8" ht="25.5">
      <c r="A18" s="393" t="s">
        <v>1229</v>
      </c>
      <c r="B18" s="393" t="s">
        <v>1324</v>
      </c>
      <c r="C18" s="408">
        <v>100</v>
      </c>
      <c r="D18" s="408">
        <v>100</v>
      </c>
      <c r="E18" s="408">
        <v>100</v>
      </c>
      <c r="F18" s="408">
        <v>2390</v>
      </c>
      <c r="G18" s="408">
        <v>100</v>
      </c>
      <c r="H18" s="409"/>
    </row>
    <row r="19" spans="1:8" ht="25.5">
      <c r="A19" s="395">
        <v>2</v>
      </c>
      <c r="B19" s="395" t="s">
        <v>1325</v>
      </c>
      <c r="C19" s="410">
        <f>SUM(C20:C24)</f>
        <v>400</v>
      </c>
      <c r="D19" s="410">
        <f>SUM(D20:D24)</f>
        <v>400</v>
      </c>
      <c r="E19" s="410">
        <f>SUM(E20:E24)</f>
        <v>630</v>
      </c>
      <c r="F19" s="410"/>
      <c r="G19" s="410">
        <f>SUM(G20:G24)</f>
        <v>630</v>
      </c>
      <c r="H19" s="410">
        <f>SUM(H20:H24)</f>
        <v>0</v>
      </c>
    </row>
    <row r="20" spans="1:8" ht="12.75">
      <c r="A20" s="396" t="s">
        <v>1234</v>
      </c>
      <c r="B20" s="393" t="s">
        <v>1326</v>
      </c>
      <c r="C20" s="408">
        <v>15</v>
      </c>
      <c r="D20" s="408">
        <v>15</v>
      </c>
      <c r="E20" s="408">
        <v>100</v>
      </c>
      <c r="F20" s="408">
        <v>1150</v>
      </c>
      <c r="G20" s="408">
        <v>100</v>
      </c>
      <c r="H20" s="409"/>
    </row>
    <row r="21" spans="1:8" ht="12.75">
      <c r="A21" s="396"/>
      <c r="B21" s="393" t="s">
        <v>1327</v>
      </c>
      <c r="C21" s="408">
        <v>250</v>
      </c>
      <c r="D21" s="408">
        <v>250</v>
      </c>
      <c r="E21" s="408">
        <v>300</v>
      </c>
      <c r="F21" s="408">
        <v>2231</v>
      </c>
      <c r="G21" s="408">
        <f>100+200</f>
        <v>300</v>
      </c>
      <c r="H21" s="409">
        <f>200-200</f>
        <v>0</v>
      </c>
    </row>
    <row r="22" spans="1:8" ht="12.75">
      <c r="A22" s="396" t="s">
        <v>1301</v>
      </c>
      <c r="B22" s="393" t="s">
        <v>1296</v>
      </c>
      <c r="C22" s="408">
        <v>40</v>
      </c>
      <c r="D22" s="408">
        <v>40</v>
      </c>
      <c r="E22" s="408"/>
      <c r="F22" s="408">
        <v>2264</v>
      </c>
      <c r="G22" s="408"/>
      <c r="H22" s="409"/>
    </row>
    <row r="23" spans="1:8" ht="12.75">
      <c r="A23" s="396" t="s">
        <v>1302</v>
      </c>
      <c r="B23" s="393" t="s">
        <v>1328</v>
      </c>
      <c r="C23" s="408">
        <v>50</v>
      </c>
      <c r="D23" s="408">
        <v>50</v>
      </c>
      <c r="E23" s="408">
        <v>150</v>
      </c>
      <c r="F23" s="408">
        <v>2390</v>
      </c>
      <c r="G23" s="408">
        <v>150</v>
      </c>
      <c r="H23" s="409"/>
    </row>
    <row r="24" spans="1:8" ht="12.75">
      <c r="A24" s="396" t="s">
        <v>1329</v>
      </c>
      <c r="B24" s="393" t="s">
        <v>1330</v>
      </c>
      <c r="C24" s="408">
        <v>45</v>
      </c>
      <c r="D24" s="408">
        <v>45</v>
      </c>
      <c r="E24" s="408">
        <v>80</v>
      </c>
      <c r="F24" s="408">
        <v>2390</v>
      </c>
      <c r="G24" s="408">
        <v>80</v>
      </c>
      <c r="H24" s="409"/>
    </row>
    <row r="25" spans="1:8" ht="25.5">
      <c r="A25" s="400">
        <v>3</v>
      </c>
      <c r="B25" s="395" t="s">
        <v>1331</v>
      </c>
      <c r="C25" s="410">
        <f>SUM(C26:C27)</f>
        <v>0</v>
      </c>
      <c r="D25" s="410">
        <f>SUM(D26:D27)</f>
        <v>0</v>
      </c>
      <c r="E25" s="410">
        <f>SUM(E26:E27)</f>
        <v>200</v>
      </c>
      <c r="F25" s="410"/>
      <c r="G25" s="410">
        <f>SUM(G26:G27)</f>
        <v>200</v>
      </c>
      <c r="H25" s="410">
        <f>SUM(H26:H27)</f>
        <v>0</v>
      </c>
    </row>
    <row r="26" spans="1:8" ht="12.75">
      <c r="A26" s="396" t="s">
        <v>1238</v>
      </c>
      <c r="B26" s="393" t="s">
        <v>1332</v>
      </c>
      <c r="C26" s="408"/>
      <c r="D26" s="408"/>
      <c r="E26" s="408">
        <v>150</v>
      </c>
      <c r="F26" s="408">
        <v>2390</v>
      </c>
      <c r="G26" s="408">
        <v>150</v>
      </c>
      <c r="H26" s="409"/>
    </row>
    <row r="27" spans="1:8" ht="12.75">
      <c r="A27" s="396" t="s">
        <v>1240</v>
      </c>
      <c r="B27" s="393" t="s">
        <v>1333</v>
      </c>
      <c r="C27" s="408"/>
      <c r="D27" s="408"/>
      <c r="E27" s="408">
        <v>50</v>
      </c>
      <c r="F27" s="408">
        <v>2390</v>
      </c>
      <c r="G27" s="408">
        <v>50</v>
      </c>
      <c r="H27" s="409"/>
    </row>
    <row r="28" spans="1:8" ht="51">
      <c r="A28" s="400">
        <v>4</v>
      </c>
      <c r="B28" s="402" t="s">
        <v>1334</v>
      </c>
      <c r="C28" s="410">
        <f>SUM(C29)</f>
        <v>0</v>
      </c>
      <c r="D28" s="410">
        <f>SUM(D29)</f>
        <v>0</v>
      </c>
      <c r="E28" s="410">
        <f>SUM(E29)</f>
        <v>60</v>
      </c>
      <c r="F28" s="410"/>
      <c r="G28" s="410">
        <f>SUM(G29)</f>
        <v>60</v>
      </c>
      <c r="H28" s="410">
        <f>SUM(H29)</f>
        <v>0</v>
      </c>
    </row>
    <row r="29" spans="1:8" ht="12.75">
      <c r="A29" s="396" t="s">
        <v>1243</v>
      </c>
      <c r="B29" s="396" t="s">
        <v>1335</v>
      </c>
      <c r="C29" s="408"/>
      <c r="D29" s="408"/>
      <c r="E29" s="408">
        <v>60</v>
      </c>
      <c r="F29" s="408">
        <v>2390</v>
      </c>
      <c r="G29" s="408">
        <v>60</v>
      </c>
      <c r="H29" s="409"/>
    </row>
    <row r="30" spans="1:8" ht="51">
      <c r="A30" s="400">
        <v>5</v>
      </c>
      <c r="B30" s="402" t="s">
        <v>1336</v>
      </c>
      <c r="C30" s="410">
        <f>SUM(C31:C36)</f>
        <v>250</v>
      </c>
      <c r="D30" s="410">
        <f>SUM(D31:D36)</f>
        <v>250</v>
      </c>
      <c r="E30" s="410">
        <f>SUM(E31:E36)</f>
        <v>1600</v>
      </c>
      <c r="F30" s="410"/>
      <c r="G30" s="410">
        <f>SUM(G31:G36)</f>
        <v>1600</v>
      </c>
      <c r="H30" s="410">
        <f>SUM(H31:H36)</f>
        <v>0</v>
      </c>
    </row>
    <row r="31" spans="1:8" ht="25.5">
      <c r="A31" s="403" t="s">
        <v>1245</v>
      </c>
      <c r="B31" s="396" t="s">
        <v>1337</v>
      </c>
      <c r="C31" s="408"/>
      <c r="D31" s="408"/>
      <c r="E31" s="408">
        <v>100</v>
      </c>
      <c r="F31" s="408">
        <v>1150</v>
      </c>
      <c r="G31" s="408">
        <v>100</v>
      </c>
      <c r="H31" s="409"/>
    </row>
    <row r="32" spans="1:8" ht="25.5">
      <c r="A32" s="403" t="s">
        <v>1245</v>
      </c>
      <c r="B32" s="396" t="s">
        <v>1338</v>
      </c>
      <c r="C32" s="408"/>
      <c r="D32" s="408"/>
      <c r="E32" s="408">
        <v>400</v>
      </c>
      <c r="F32" s="408">
        <v>1150</v>
      </c>
      <c r="G32" s="408">
        <v>400</v>
      </c>
      <c r="H32" s="409"/>
    </row>
    <row r="33" spans="1:8" ht="25.5">
      <c r="A33" s="403" t="s">
        <v>1246</v>
      </c>
      <c r="B33" s="396" t="s">
        <v>1339</v>
      </c>
      <c r="C33" s="408">
        <v>250</v>
      </c>
      <c r="D33" s="408">
        <v>250</v>
      </c>
      <c r="E33" s="408">
        <v>400</v>
      </c>
      <c r="F33" s="408">
        <v>2279</v>
      </c>
      <c r="G33" s="408">
        <v>400</v>
      </c>
      <c r="H33" s="409"/>
    </row>
    <row r="34" spans="1:8" ht="38.25">
      <c r="A34" s="403" t="s">
        <v>1248</v>
      </c>
      <c r="B34" s="396" t="s">
        <v>1340</v>
      </c>
      <c r="C34" s="408"/>
      <c r="D34" s="408"/>
      <c r="E34" s="408">
        <v>600</v>
      </c>
      <c r="F34" s="408">
        <v>2279</v>
      </c>
      <c r="G34" s="408">
        <v>600</v>
      </c>
      <c r="H34" s="409"/>
    </row>
    <row r="35" spans="1:8" ht="25.5">
      <c r="A35" s="403" t="s">
        <v>1317</v>
      </c>
      <c r="B35" s="396" t="s">
        <v>1341</v>
      </c>
      <c r="C35" s="408"/>
      <c r="D35" s="408"/>
      <c r="E35" s="408">
        <v>50</v>
      </c>
      <c r="F35" s="408">
        <v>2390</v>
      </c>
      <c r="G35" s="408">
        <v>50</v>
      </c>
      <c r="H35" s="409"/>
    </row>
    <row r="36" spans="1:8" ht="25.5">
      <c r="A36" s="403" t="s">
        <v>1342</v>
      </c>
      <c r="B36" s="396" t="s">
        <v>1343</v>
      </c>
      <c r="C36" s="408"/>
      <c r="D36" s="408"/>
      <c r="E36" s="408">
        <v>50</v>
      </c>
      <c r="F36" s="408">
        <v>2351</v>
      </c>
      <c r="G36" s="408">
        <v>50</v>
      </c>
      <c r="H36" s="409"/>
    </row>
    <row r="37" spans="1:8" ht="63.75">
      <c r="A37" s="400">
        <v>6</v>
      </c>
      <c r="B37" s="402" t="s">
        <v>1344</v>
      </c>
      <c r="C37" s="410">
        <f>SUM(C38)</f>
        <v>0</v>
      </c>
      <c r="D37" s="410">
        <f>SUM(D38)</f>
        <v>0</v>
      </c>
      <c r="E37" s="410">
        <f>SUM(E38)</f>
        <v>3000</v>
      </c>
      <c r="F37" s="410"/>
      <c r="G37" s="410">
        <f>SUM(G38)</f>
        <v>3000</v>
      </c>
      <c r="H37" s="410">
        <f>SUM(H38)</f>
        <v>0</v>
      </c>
    </row>
    <row r="38" spans="1:8" ht="12.75">
      <c r="A38" s="403" t="s">
        <v>1250</v>
      </c>
      <c r="B38" s="396" t="s">
        <v>1345</v>
      </c>
      <c r="C38" s="408"/>
      <c r="D38" s="408"/>
      <c r="E38" s="408">
        <v>3000</v>
      </c>
      <c r="F38" s="408">
        <v>2239</v>
      </c>
      <c r="G38" s="408">
        <v>3000</v>
      </c>
      <c r="H38" s="409"/>
    </row>
    <row r="39" spans="1:8" ht="25.5">
      <c r="A39" s="400">
        <v>7</v>
      </c>
      <c r="B39" s="402" t="s">
        <v>1346</v>
      </c>
      <c r="C39" s="410">
        <f>SUM(C40)</f>
        <v>0</v>
      </c>
      <c r="D39" s="410">
        <f>SUM(D40)</f>
        <v>0</v>
      </c>
      <c r="E39" s="410">
        <f>SUM(E40)</f>
        <v>1000</v>
      </c>
      <c r="F39" s="410"/>
      <c r="G39" s="410">
        <f>SUM(G40)</f>
        <v>1000</v>
      </c>
      <c r="H39" s="410">
        <f>SUM(H40)</f>
        <v>0</v>
      </c>
    </row>
    <row r="40" spans="1:8" ht="12.75">
      <c r="A40" s="403" t="s">
        <v>1252</v>
      </c>
      <c r="B40" s="396" t="s">
        <v>1347</v>
      </c>
      <c r="C40" s="408"/>
      <c r="D40" s="408"/>
      <c r="E40" s="408">
        <v>1000</v>
      </c>
      <c r="F40" s="408">
        <v>2239</v>
      </c>
      <c r="G40" s="408">
        <f>399+601</f>
        <v>1000</v>
      </c>
      <c r="H40" s="409">
        <f>601-601</f>
        <v>0</v>
      </c>
    </row>
    <row r="41" spans="1:8" ht="63.75">
      <c r="A41" s="400">
        <v>8</v>
      </c>
      <c r="B41" s="402" t="s">
        <v>1348</v>
      </c>
      <c r="C41" s="410">
        <f>SUM(C42:C45)</f>
        <v>0</v>
      </c>
      <c r="D41" s="410">
        <f>SUM(D42:D45)</f>
        <v>0</v>
      </c>
      <c r="E41" s="410">
        <f>SUM(E42:E45)</f>
        <v>600</v>
      </c>
      <c r="F41" s="410"/>
      <c r="G41" s="410">
        <f>SUM(G42:G45)</f>
        <v>600</v>
      </c>
      <c r="H41" s="410">
        <f>SUM(H42:H45)</f>
        <v>0</v>
      </c>
    </row>
    <row r="42" spans="1:8" ht="25.5">
      <c r="A42" s="403" t="s">
        <v>1257</v>
      </c>
      <c r="B42" s="396" t="s">
        <v>1349</v>
      </c>
      <c r="C42" s="408"/>
      <c r="D42" s="408"/>
      <c r="E42" s="408">
        <v>200</v>
      </c>
      <c r="F42" s="408">
        <v>2390</v>
      </c>
      <c r="G42" s="408">
        <v>200</v>
      </c>
      <c r="H42" s="409"/>
    </row>
    <row r="43" spans="1:8" ht="38.25">
      <c r="A43" s="403" t="s">
        <v>1259</v>
      </c>
      <c r="B43" s="396" t="s">
        <v>1350</v>
      </c>
      <c r="C43" s="408"/>
      <c r="D43" s="408"/>
      <c r="E43" s="408">
        <v>100</v>
      </c>
      <c r="F43" s="408">
        <v>2279</v>
      </c>
      <c r="G43" s="408">
        <v>100</v>
      </c>
      <c r="H43" s="409"/>
    </row>
    <row r="44" spans="1:8" ht="38.25">
      <c r="A44" s="403" t="s">
        <v>1260</v>
      </c>
      <c r="B44" s="396" t="s">
        <v>1351</v>
      </c>
      <c r="C44" s="408"/>
      <c r="D44" s="408"/>
      <c r="E44" s="408">
        <v>200</v>
      </c>
      <c r="F44" s="408">
        <v>2390</v>
      </c>
      <c r="G44" s="408">
        <v>200</v>
      </c>
      <c r="H44" s="409"/>
    </row>
    <row r="45" spans="1:8" ht="12.75">
      <c r="A45" s="403" t="s">
        <v>1352</v>
      </c>
      <c r="B45" s="396" t="s">
        <v>1353</v>
      </c>
      <c r="C45" s="408"/>
      <c r="D45" s="408"/>
      <c r="E45" s="408">
        <v>100</v>
      </c>
      <c r="F45" s="408">
        <v>2390</v>
      </c>
      <c r="G45" s="408">
        <v>100</v>
      </c>
      <c r="H45" s="409"/>
    </row>
    <row r="46" spans="1:8" ht="38.25">
      <c r="A46" s="400">
        <v>9</v>
      </c>
      <c r="B46" s="402" t="s">
        <v>1354</v>
      </c>
      <c r="C46" s="410">
        <f>SUM(C47:C49)</f>
        <v>0</v>
      </c>
      <c r="D46" s="410">
        <f>SUM(D47:D49)</f>
        <v>0</v>
      </c>
      <c r="E46" s="410">
        <f>SUM(E47:E49)</f>
        <v>395</v>
      </c>
      <c r="F46" s="410"/>
      <c r="G46" s="410">
        <f>SUM(G47:G49)</f>
        <v>395</v>
      </c>
      <c r="H46" s="410">
        <f>SUM(H47:H49)</f>
        <v>0</v>
      </c>
    </row>
    <row r="47" spans="1:8" ht="51">
      <c r="A47" s="403" t="s">
        <v>1263</v>
      </c>
      <c r="B47" s="396" t="s">
        <v>1355</v>
      </c>
      <c r="C47" s="408"/>
      <c r="D47" s="408"/>
      <c r="E47" s="408">
        <v>300</v>
      </c>
      <c r="F47" s="408">
        <v>2231</v>
      </c>
      <c r="G47" s="408">
        <f>200+100</f>
        <v>300</v>
      </c>
      <c r="H47" s="409">
        <f>100-100</f>
        <v>0</v>
      </c>
    </row>
    <row r="48" spans="1:8" ht="12.75">
      <c r="A48" s="403" t="s">
        <v>1356</v>
      </c>
      <c r="B48" s="396" t="s">
        <v>1357</v>
      </c>
      <c r="C48" s="408"/>
      <c r="D48" s="408"/>
      <c r="E48" s="408">
        <v>80</v>
      </c>
      <c r="F48" s="408">
        <v>2390</v>
      </c>
      <c r="G48" s="408">
        <v>80</v>
      </c>
      <c r="H48" s="409"/>
    </row>
    <row r="49" spans="1:8" ht="12.75">
      <c r="A49" s="403" t="s">
        <v>1358</v>
      </c>
      <c r="B49" s="396" t="s">
        <v>1255</v>
      </c>
      <c r="C49" s="408"/>
      <c r="D49" s="408"/>
      <c r="E49" s="408">
        <v>15</v>
      </c>
      <c r="F49" s="408">
        <v>2390</v>
      </c>
      <c r="G49" s="408">
        <v>15</v>
      </c>
      <c r="H49" s="409"/>
    </row>
    <row r="50" spans="1:8" ht="76.5">
      <c r="A50" s="400">
        <v>10</v>
      </c>
      <c r="B50" s="402" t="s">
        <v>1359</v>
      </c>
      <c r="C50" s="410">
        <f>SUM(C51:C55)</f>
        <v>0</v>
      </c>
      <c r="D50" s="410">
        <f>SUM(D51:D55)</f>
        <v>0</v>
      </c>
      <c r="E50" s="410">
        <f>SUM(E51:E55)</f>
        <v>875</v>
      </c>
      <c r="F50" s="410"/>
      <c r="G50" s="410">
        <f>SUM(G51:G55)</f>
        <v>875</v>
      </c>
      <c r="H50" s="410">
        <f>SUM(H51:H55)</f>
        <v>0</v>
      </c>
    </row>
    <row r="51" spans="1:8" ht="12.75">
      <c r="A51" s="403" t="s">
        <v>1267</v>
      </c>
      <c r="B51" s="396" t="s">
        <v>1360</v>
      </c>
      <c r="C51" s="408"/>
      <c r="D51" s="408"/>
      <c r="E51" s="408">
        <v>100</v>
      </c>
      <c r="F51" s="408">
        <v>2390</v>
      </c>
      <c r="G51" s="408">
        <v>100</v>
      </c>
      <c r="H51" s="409"/>
    </row>
    <row r="52" spans="1:8" ht="25.5">
      <c r="A52" s="403" t="s">
        <v>1268</v>
      </c>
      <c r="B52" s="396" t="s">
        <v>1361</v>
      </c>
      <c r="C52" s="408"/>
      <c r="D52" s="408"/>
      <c r="E52" s="408">
        <v>75</v>
      </c>
      <c r="F52" s="408">
        <v>2231</v>
      </c>
      <c r="G52" s="408">
        <v>75</v>
      </c>
      <c r="H52" s="409"/>
    </row>
    <row r="53" spans="1:8" ht="38.25">
      <c r="A53" s="403" t="s">
        <v>1362</v>
      </c>
      <c r="B53" s="396" t="s">
        <v>1363</v>
      </c>
      <c r="C53" s="408"/>
      <c r="D53" s="408"/>
      <c r="E53" s="408">
        <v>325</v>
      </c>
      <c r="F53" s="408">
        <v>2231</v>
      </c>
      <c r="G53" s="408">
        <f>225+100</f>
        <v>325</v>
      </c>
      <c r="H53" s="409">
        <f>100-100</f>
        <v>0</v>
      </c>
    </row>
    <row r="54" spans="1:8" ht="12.75">
      <c r="A54" s="403" t="s">
        <v>1364</v>
      </c>
      <c r="B54" s="396" t="s">
        <v>1365</v>
      </c>
      <c r="C54" s="408"/>
      <c r="D54" s="408"/>
      <c r="E54" s="408">
        <v>300</v>
      </c>
      <c r="F54" s="408">
        <v>2231</v>
      </c>
      <c r="G54" s="408">
        <f>100+200</f>
        <v>300</v>
      </c>
      <c r="H54" s="409">
        <f>200-200</f>
        <v>0</v>
      </c>
    </row>
    <row r="55" spans="1:8" ht="12.75">
      <c r="A55" s="403"/>
      <c r="B55" s="396" t="s">
        <v>1366</v>
      </c>
      <c r="C55" s="408"/>
      <c r="D55" s="408"/>
      <c r="E55" s="408">
        <v>75</v>
      </c>
      <c r="F55" s="408">
        <v>2312</v>
      </c>
      <c r="G55" s="408">
        <v>75</v>
      </c>
      <c r="H55" s="409"/>
    </row>
    <row r="56" spans="1:8" ht="51">
      <c r="A56" s="395">
        <v>11</v>
      </c>
      <c r="B56" s="395" t="s">
        <v>1367</v>
      </c>
      <c r="C56" s="410">
        <f>SUM(C57:C58)</f>
        <v>0</v>
      </c>
      <c r="D56" s="410">
        <f>SUM(D57:D58)</f>
        <v>0</v>
      </c>
      <c r="E56" s="410">
        <f>SUM(E57:E58)</f>
        <v>465</v>
      </c>
      <c r="F56" s="410"/>
      <c r="G56" s="410">
        <f>SUM(G57:G58)</f>
        <v>465</v>
      </c>
      <c r="H56" s="410">
        <f>SUM(H57:H58)</f>
        <v>0</v>
      </c>
    </row>
    <row r="57" spans="1:8" ht="12.75">
      <c r="A57" s="403" t="s">
        <v>1368</v>
      </c>
      <c r="B57" s="393" t="s">
        <v>1369</v>
      </c>
      <c r="C57" s="408"/>
      <c r="D57" s="408"/>
      <c r="E57" s="408">
        <v>65</v>
      </c>
      <c r="F57" s="408">
        <v>2279</v>
      </c>
      <c r="G57" s="408">
        <v>65</v>
      </c>
      <c r="H57" s="409"/>
    </row>
    <row r="58" spans="1:8" ht="12.75">
      <c r="A58" s="403">
        <v>11.2</v>
      </c>
      <c r="B58" s="393" t="s">
        <v>1370</v>
      </c>
      <c r="C58" s="408"/>
      <c r="D58" s="408"/>
      <c r="E58" s="408">
        <v>400</v>
      </c>
      <c r="F58" s="408">
        <v>2390</v>
      </c>
      <c r="G58" s="408">
        <v>400</v>
      </c>
      <c r="H58" s="409"/>
    </row>
    <row r="59" spans="1:8" ht="12.75">
      <c r="A59" s="393"/>
      <c r="B59" s="393"/>
      <c r="C59" s="411"/>
      <c r="D59" s="411"/>
      <c r="E59" s="411"/>
      <c r="F59" s="411"/>
      <c r="G59" s="411"/>
      <c r="H59" s="411"/>
    </row>
    <row r="60" spans="1:8" ht="14.25">
      <c r="A60" s="393"/>
      <c r="B60" s="399" t="s">
        <v>1291</v>
      </c>
      <c r="C60" s="412">
        <f>SUM(C13,C19,C25,C28,C30,C37,C39,C41,C46,C50,C56)</f>
        <v>960</v>
      </c>
      <c r="D60" s="412">
        <f>SUM(D13,D19,D25,D28,D30,D37,D39,D41,D46,D50,D56)</f>
        <v>960</v>
      </c>
      <c r="E60" s="412">
        <f>SUM(E13,E19,E25,E28,E30,E37,E39,E41,E46,E50,E56)</f>
        <v>9135</v>
      </c>
      <c r="F60" s="412"/>
      <c r="G60" s="412">
        <f>SUM(G13,G19,G25,G28,G30,G37,G39,G41,G46,G50,G56)</f>
        <v>9135</v>
      </c>
      <c r="H60" s="412">
        <f>SUM(H13,H19,H25,H28,H30,H37,H39,H41,H46,H50,H56)</f>
        <v>0</v>
      </c>
    </row>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sheetData>
  <sheetProtection/>
  <mergeCells count="7">
    <mergeCell ref="G11:H11"/>
    <mergeCell ref="A11:A12"/>
    <mergeCell ref="B11:B12"/>
    <mergeCell ref="C11:C12"/>
    <mergeCell ref="D11:D12"/>
    <mergeCell ref="E11:E12"/>
    <mergeCell ref="F11:F12"/>
  </mergeCells>
  <printOptions/>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I21" sqref="I21"/>
    </sheetView>
  </sheetViews>
  <sheetFormatPr defaultColWidth="9.140625" defaultRowHeight="15"/>
  <cols>
    <col min="1" max="1" width="6.140625" style="511" customWidth="1"/>
    <col min="2" max="2" width="44.8515625" style="511" customWidth="1"/>
    <col min="3" max="3" width="11.8515625" style="511" customWidth="1"/>
    <col min="4" max="4" width="10.7109375" style="511" customWidth="1"/>
    <col min="5" max="5" width="10.28125" style="511" customWidth="1"/>
    <col min="6" max="6" width="10.57421875" style="511" customWidth="1"/>
    <col min="7" max="7" width="9.57421875" style="511" customWidth="1"/>
    <col min="8" max="8" width="16.7109375" style="511" customWidth="1"/>
    <col min="9" max="16384" width="9.140625" style="511" customWidth="1"/>
  </cols>
  <sheetData>
    <row r="1" ht="15.75">
      <c r="H1" s="739" t="s">
        <v>1646</v>
      </c>
    </row>
    <row r="2" ht="15.75">
      <c r="H2" s="739" t="s">
        <v>1627</v>
      </c>
    </row>
    <row r="3" ht="15.75">
      <c r="H3" s="739" t="s">
        <v>1628</v>
      </c>
    </row>
    <row r="4" spans="1:8" ht="12.75">
      <c r="A4" s="518" t="s">
        <v>476</v>
      </c>
      <c r="B4" s="519"/>
      <c r="C4" s="1053"/>
      <c r="D4" s="1053"/>
      <c r="E4" s="1053"/>
      <c r="F4" s="1053"/>
      <c r="G4" s="1053"/>
      <c r="H4" s="1053"/>
    </row>
    <row r="5" spans="1:8" ht="15.75">
      <c r="A5" s="1054" t="s">
        <v>2</v>
      </c>
      <c r="B5" s="1054"/>
      <c r="C5" s="1054"/>
      <c r="D5" s="1054"/>
      <c r="E5" s="1054"/>
      <c r="F5" s="1054"/>
      <c r="G5" s="1054"/>
      <c r="H5" s="1054"/>
    </row>
    <row r="6" spans="1:8" ht="12.75">
      <c r="A6" s="518" t="s">
        <v>3</v>
      </c>
      <c r="B6" s="518"/>
      <c r="C6" s="1055" t="s">
        <v>1442</v>
      </c>
      <c r="D6" s="1055"/>
      <c r="E6" s="1055"/>
      <c r="F6" s="1055"/>
      <c r="G6" s="1055"/>
      <c r="H6" s="1055"/>
    </row>
    <row r="7" spans="1:8" ht="12.75">
      <c r="A7" s="518" t="s">
        <v>4</v>
      </c>
      <c r="B7" s="518"/>
      <c r="C7" s="520" t="s">
        <v>1472</v>
      </c>
      <c r="D7" s="520"/>
      <c r="E7" s="520"/>
      <c r="F7" s="520"/>
      <c r="G7" s="520"/>
      <c r="H7" s="520"/>
    </row>
    <row r="8" spans="1:8" ht="12.75">
      <c r="A8" s="518" t="s">
        <v>20</v>
      </c>
      <c r="B8" s="518"/>
      <c r="C8" s="1056" t="s">
        <v>1473</v>
      </c>
      <c r="D8" s="1057"/>
      <c r="E8" s="1057"/>
      <c r="F8" s="1057"/>
      <c r="G8" s="1057"/>
      <c r="H8" s="1057"/>
    </row>
    <row r="9" spans="1:8" ht="36">
      <c r="A9" s="521" t="s">
        <v>7</v>
      </c>
      <c r="B9" s="521" t="s">
        <v>8</v>
      </c>
      <c r="C9" s="521" t="s">
        <v>9</v>
      </c>
      <c r="D9" s="521" t="s">
        <v>943</v>
      </c>
      <c r="E9" s="521" t="s">
        <v>10</v>
      </c>
      <c r="F9" s="521" t="s">
        <v>14</v>
      </c>
      <c r="G9" s="521" t="s">
        <v>15</v>
      </c>
      <c r="H9" s="521" t="s">
        <v>13</v>
      </c>
    </row>
    <row r="10" spans="1:8" ht="12.75" customHeight="1">
      <c r="A10" s="1058" t="s">
        <v>16</v>
      </c>
      <c r="B10" s="1059"/>
      <c r="C10" s="522">
        <f>SUM(C11:C28)</f>
        <v>0</v>
      </c>
      <c r="D10" s="522">
        <f>SUM(D11:D28)</f>
        <v>0</v>
      </c>
      <c r="E10" s="522">
        <f>SUM(E11:E28)</f>
        <v>89687</v>
      </c>
      <c r="F10" s="522"/>
      <c r="G10" s="522">
        <f>SUM(G11:G28)</f>
        <v>80000</v>
      </c>
      <c r="H10" s="523"/>
    </row>
    <row r="11" spans="1:8" ht="24" customHeight="1">
      <c r="A11" s="524">
        <v>1</v>
      </c>
      <c r="B11" s="514" t="s">
        <v>1441</v>
      </c>
      <c r="C11" s="522"/>
      <c r="D11" s="522"/>
      <c r="E11" s="526">
        <v>2777</v>
      </c>
      <c r="F11" s="526">
        <v>2279</v>
      </c>
      <c r="G11" s="515">
        <v>2500</v>
      </c>
      <c r="H11" s="525"/>
    </row>
    <row r="12" spans="1:8" ht="24" customHeight="1">
      <c r="A12" s="524">
        <v>2</v>
      </c>
      <c r="B12" s="512" t="s">
        <v>1444</v>
      </c>
      <c r="C12" s="522"/>
      <c r="D12" s="522"/>
      <c r="E12" s="526">
        <v>2777</v>
      </c>
      <c r="F12" s="526">
        <v>2279</v>
      </c>
      <c r="G12" s="513">
        <v>2500</v>
      </c>
      <c r="H12" s="525"/>
    </row>
    <row r="13" spans="1:8" ht="24" customHeight="1">
      <c r="A13" s="524">
        <v>3</v>
      </c>
      <c r="B13" s="512" t="s">
        <v>1445</v>
      </c>
      <c r="C13" s="522"/>
      <c r="D13" s="522"/>
      <c r="E13" s="526">
        <v>2777</v>
      </c>
      <c r="F13" s="526">
        <v>2279</v>
      </c>
      <c r="G13" s="513">
        <v>2500</v>
      </c>
      <c r="H13" s="525"/>
    </row>
    <row r="14" spans="1:8" ht="24" customHeight="1">
      <c r="A14" s="524">
        <v>4</v>
      </c>
      <c r="B14" s="512" t="s">
        <v>1446</v>
      </c>
      <c r="C14" s="522"/>
      <c r="D14" s="522"/>
      <c r="E14" s="526">
        <v>2777</v>
      </c>
      <c r="F14" s="526">
        <v>2279</v>
      </c>
      <c r="G14" s="513">
        <v>2500</v>
      </c>
      <c r="H14" s="525"/>
    </row>
    <row r="15" spans="1:8" ht="24" customHeight="1">
      <c r="A15" s="524">
        <v>5</v>
      </c>
      <c r="B15" s="512" t="s">
        <v>1447</v>
      </c>
      <c r="C15" s="522"/>
      <c r="D15" s="522"/>
      <c r="E15" s="526">
        <v>2777</v>
      </c>
      <c r="F15" s="526">
        <v>2279</v>
      </c>
      <c r="G15" s="513">
        <v>2500</v>
      </c>
      <c r="H15" s="525"/>
    </row>
    <row r="16" spans="1:8" ht="24" customHeight="1">
      <c r="A16" s="524">
        <v>6</v>
      </c>
      <c r="B16" s="512" t="s">
        <v>1448</v>
      </c>
      <c r="C16" s="522"/>
      <c r="D16" s="522"/>
      <c r="E16" s="526">
        <v>5554</v>
      </c>
      <c r="F16" s="526">
        <v>2279</v>
      </c>
      <c r="G16" s="513">
        <v>5000</v>
      </c>
      <c r="H16" s="525" t="s">
        <v>1474</v>
      </c>
    </row>
    <row r="17" spans="1:8" ht="24" customHeight="1">
      <c r="A17" s="524">
        <v>7</v>
      </c>
      <c r="B17" s="512" t="s">
        <v>1449</v>
      </c>
      <c r="C17" s="522"/>
      <c r="D17" s="522"/>
      <c r="E17" s="526">
        <v>2777</v>
      </c>
      <c r="F17" s="526">
        <v>2279</v>
      </c>
      <c r="G17" s="513">
        <v>2500</v>
      </c>
      <c r="H17" s="525"/>
    </row>
    <row r="18" spans="1:8" ht="24" customHeight="1">
      <c r="A18" s="524">
        <v>8</v>
      </c>
      <c r="B18" s="512" t="s">
        <v>1450</v>
      </c>
      <c r="C18" s="522"/>
      <c r="D18" s="522"/>
      <c r="E18" s="526">
        <v>2777</v>
      </c>
      <c r="F18" s="526">
        <v>2279</v>
      </c>
      <c r="G18" s="513">
        <v>2500</v>
      </c>
      <c r="H18" s="525"/>
    </row>
    <row r="19" spans="1:8" ht="24" customHeight="1">
      <c r="A19" s="524">
        <v>9</v>
      </c>
      <c r="B19" s="512" t="s">
        <v>1451</v>
      </c>
      <c r="C19" s="522"/>
      <c r="D19" s="522"/>
      <c r="E19" s="526">
        <v>2777</v>
      </c>
      <c r="F19" s="526">
        <v>2279</v>
      </c>
      <c r="G19" s="513">
        <v>2500</v>
      </c>
      <c r="H19" s="525"/>
    </row>
    <row r="20" spans="1:8" ht="24" customHeight="1">
      <c r="A20" s="524">
        <v>10</v>
      </c>
      <c r="B20" s="512" t="s">
        <v>1452</v>
      </c>
      <c r="C20" s="522"/>
      <c r="D20" s="522"/>
      <c r="E20" s="526">
        <v>8331</v>
      </c>
      <c r="F20" s="526">
        <v>2279</v>
      </c>
      <c r="G20" s="513">
        <f>3*2500</f>
        <v>7500</v>
      </c>
      <c r="H20" s="525" t="s">
        <v>1475</v>
      </c>
    </row>
    <row r="21" spans="1:8" ht="24" customHeight="1">
      <c r="A21" s="524">
        <v>11</v>
      </c>
      <c r="B21" s="512" t="s">
        <v>1453</v>
      </c>
      <c r="C21" s="522"/>
      <c r="D21" s="522"/>
      <c r="E21" s="526">
        <f>19439+823</f>
        <v>20262</v>
      </c>
      <c r="F21" s="526">
        <v>2279</v>
      </c>
      <c r="G21" s="513">
        <f>7*2500</f>
        <v>17500</v>
      </c>
      <c r="H21" s="525" t="s">
        <v>1476</v>
      </c>
    </row>
    <row r="22" spans="1:8" ht="24" customHeight="1">
      <c r="A22" s="524">
        <v>12</v>
      </c>
      <c r="B22" s="512" t="s">
        <v>1454</v>
      </c>
      <c r="C22" s="522"/>
      <c r="D22" s="522"/>
      <c r="E22" s="526">
        <v>2777</v>
      </c>
      <c r="F22" s="526">
        <v>2279</v>
      </c>
      <c r="G22" s="513">
        <v>2500</v>
      </c>
      <c r="H22" s="525"/>
    </row>
    <row r="23" spans="1:8" ht="24" customHeight="1">
      <c r="A23" s="524">
        <v>13</v>
      </c>
      <c r="B23" s="512" t="s">
        <v>1455</v>
      </c>
      <c r="C23" s="522"/>
      <c r="D23" s="522"/>
      <c r="E23" s="526">
        <v>2777</v>
      </c>
      <c r="F23" s="526">
        <v>2279</v>
      </c>
      <c r="G23" s="513">
        <v>2500</v>
      </c>
      <c r="H23" s="525"/>
    </row>
    <row r="24" spans="1:8" ht="24" customHeight="1">
      <c r="A24" s="524">
        <v>14</v>
      </c>
      <c r="B24" s="512" t="s">
        <v>1456</v>
      </c>
      <c r="C24" s="522"/>
      <c r="D24" s="522"/>
      <c r="E24" s="526">
        <v>16662</v>
      </c>
      <c r="F24" s="526">
        <v>2279</v>
      </c>
      <c r="G24" s="513">
        <f>6*2500</f>
        <v>15000</v>
      </c>
      <c r="H24" s="525" t="s">
        <v>1477</v>
      </c>
    </row>
    <row r="25" spans="1:8" ht="24" customHeight="1">
      <c r="A25" s="524">
        <v>15</v>
      </c>
      <c r="B25" s="512" t="s">
        <v>1457</v>
      </c>
      <c r="C25" s="522"/>
      <c r="D25" s="522"/>
      <c r="E25" s="526">
        <v>2777</v>
      </c>
      <c r="F25" s="526">
        <v>2279</v>
      </c>
      <c r="G25" s="513">
        <v>2500</v>
      </c>
      <c r="H25" s="525"/>
    </row>
    <row r="26" spans="1:8" ht="24" customHeight="1">
      <c r="A26" s="524">
        <v>16</v>
      </c>
      <c r="B26" s="512" t="s">
        <v>1443</v>
      </c>
      <c r="C26" s="522"/>
      <c r="D26" s="522"/>
      <c r="E26" s="526">
        <v>2777</v>
      </c>
      <c r="F26" s="526">
        <v>2279</v>
      </c>
      <c r="G26" s="513">
        <v>2500</v>
      </c>
      <c r="H26" s="525"/>
    </row>
    <row r="27" spans="1:8" ht="24" customHeight="1">
      <c r="A27" s="524">
        <v>17</v>
      </c>
      <c r="B27" s="512" t="s">
        <v>1458</v>
      </c>
      <c r="C27" s="522"/>
      <c r="D27" s="522"/>
      <c r="E27" s="526">
        <v>2777</v>
      </c>
      <c r="F27" s="526">
        <v>2279</v>
      </c>
      <c r="G27" s="513">
        <v>2500</v>
      </c>
      <c r="H27" s="525"/>
    </row>
    <row r="28" spans="1:8" ht="24" customHeight="1">
      <c r="A28" s="524">
        <v>18</v>
      </c>
      <c r="B28" s="512" t="s">
        <v>1459</v>
      </c>
      <c r="C28" s="522"/>
      <c r="D28" s="522"/>
      <c r="E28" s="526">
        <v>2777</v>
      </c>
      <c r="F28" s="526">
        <v>2279</v>
      </c>
      <c r="G28" s="513">
        <v>2500</v>
      </c>
      <c r="H28" s="525"/>
    </row>
    <row r="29" ht="15"/>
    <row r="30" ht="15"/>
    <row r="31" ht="15"/>
    <row r="32" ht="23.25" customHeight="1"/>
    <row r="33" ht="15"/>
    <row r="34" ht="15"/>
    <row r="35" ht="15"/>
    <row r="36" ht="15"/>
    <row r="37" ht="15"/>
    <row r="38" ht="15"/>
  </sheetData>
  <sheetProtection/>
  <mergeCells count="5">
    <mergeCell ref="C4:H4"/>
    <mergeCell ref="A5:H5"/>
    <mergeCell ref="C6:H6"/>
    <mergeCell ref="C8:H8"/>
    <mergeCell ref="A10:B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22">
      <selection activeCell="I21" sqref="I21"/>
    </sheetView>
  </sheetViews>
  <sheetFormatPr defaultColWidth="9.140625" defaultRowHeight="15"/>
  <cols>
    <col min="2" max="2" width="13.00390625" style="0" customWidth="1"/>
    <col min="3" max="3" width="52.00390625" style="0" customWidth="1"/>
    <col min="4" max="4" width="12.00390625" style="0" customWidth="1"/>
  </cols>
  <sheetData>
    <row r="1" spans="2:4" s="738" customFormat="1" ht="15.75">
      <c r="B1" s="455"/>
      <c r="C1" s="455"/>
      <c r="D1" s="739" t="s">
        <v>1634</v>
      </c>
    </row>
    <row r="2" spans="2:4" s="738" customFormat="1" ht="15.75">
      <c r="B2" s="455"/>
      <c r="C2" s="455"/>
      <c r="D2" s="739" t="s">
        <v>1632</v>
      </c>
    </row>
    <row r="3" spans="2:4" s="738" customFormat="1" ht="15.75">
      <c r="B3" s="455"/>
      <c r="C3" s="455"/>
      <c r="D3" s="739" t="s">
        <v>1628</v>
      </c>
    </row>
    <row r="4" spans="2:4" ht="15">
      <c r="B4" s="454"/>
      <c r="C4" s="449"/>
      <c r="D4" s="450"/>
    </row>
    <row r="5" spans="1:4" ht="36.75" customHeight="1">
      <c r="A5" s="783" t="s">
        <v>1600</v>
      </c>
      <c r="B5" s="783"/>
      <c r="C5" s="783"/>
      <c r="D5" s="783"/>
    </row>
    <row r="6" spans="1:4" ht="39" thickBot="1">
      <c r="A6" s="527" t="s">
        <v>1440</v>
      </c>
      <c r="B6" s="528" t="s">
        <v>1460</v>
      </c>
      <c r="C6" s="528" t="s">
        <v>1461</v>
      </c>
      <c r="D6" s="529" t="s">
        <v>1462</v>
      </c>
    </row>
    <row r="7" spans="1:4" ht="21.75" customHeight="1" thickTop="1">
      <c r="A7" s="530">
        <v>1</v>
      </c>
      <c r="B7" s="516">
        <v>1119</v>
      </c>
      <c r="C7" s="514" t="s">
        <v>1463</v>
      </c>
      <c r="D7" s="573">
        <f>1100.16+140.42</f>
        <v>1240.5800000000002</v>
      </c>
    </row>
    <row r="8" spans="1:4" ht="33.75" customHeight="1">
      <c r="A8" s="531">
        <v>2</v>
      </c>
      <c r="B8" s="517">
        <v>1210</v>
      </c>
      <c r="C8" s="512" t="s">
        <v>1067</v>
      </c>
      <c r="D8" s="574">
        <f>265.03+33.83</f>
        <v>298.85999999999996</v>
      </c>
    </row>
    <row r="9" spans="1:4" ht="33.75" customHeight="1">
      <c r="A9" s="531">
        <v>3</v>
      </c>
      <c r="B9" s="517">
        <v>2212</v>
      </c>
      <c r="C9" s="512" t="s">
        <v>1464</v>
      </c>
      <c r="D9" s="574">
        <v>5.65</v>
      </c>
    </row>
    <row r="10" spans="1:4" ht="21.75" customHeight="1">
      <c r="A10" s="531">
        <v>4</v>
      </c>
      <c r="B10" s="517">
        <v>2214</v>
      </c>
      <c r="C10" s="512" t="s">
        <v>1071</v>
      </c>
      <c r="D10" s="574">
        <v>10.75</v>
      </c>
    </row>
    <row r="11" spans="1:4" ht="21.75" customHeight="1">
      <c r="A11" s="531">
        <v>5</v>
      </c>
      <c r="B11" s="517">
        <v>2222</v>
      </c>
      <c r="C11" s="512" t="s">
        <v>1072</v>
      </c>
      <c r="D11" s="574">
        <v>24.98</v>
      </c>
    </row>
    <row r="12" spans="1:4" ht="21.75" customHeight="1">
      <c r="A12" s="531">
        <v>6</v>
      </c>
      <c r="B12" s="517">
        <v>2223</v>
      </c>
      <c r="C12" s="512" t="s">
        <v>1465</v>
      </c>
      <c r="D12" s="574">
        <v>61.54</v>
      </c>
    </row>
    <row r="13" spans="1:4" ht="21.75" customHeight="1">
      <c r="A13" s="531">
        <v>7</v>
      </c>
      <c r="B13" s="517">
        <v>2224</v>
      </c>
      <c r="C13" s="512" t="s">
        <v>1074</v>
      </c>
      <c r="D13" s="574">
        <v>15.68</v>
      </c>
    </row>
    <row r="14" spans="1:4" ht="21.75" customHeight="1">
      <c r="A14" s="531">
        <v>8</v>
      </c>
      <c r="B14" s="517">
        <v>2232</v>
      </c>
      <c r="C14" s="512" t="s">
        <v>1075</v>
      </c>
      <c r="D14" s="574">
        <v>138.9</v>
      </c>
    </row>
    <row r="15" spans="1:4" ht="21.75" customHeight="1">
      <c r="A15" s="531">
        <v>9</v>
      </c>
      <c r="B15" s="517">
        <v>2244</v>
      </c>
      <c r="C15" s="512" t="s">
        <v>1079</v>
      </c>
      <c r="D15" s="574">
        <v>76.33</v>
      </c>
    </row>
    <row r="16" spans="1:4" ht="21.75" customHeight="1">
      <c r="A16" s="531">
        <v>10</v>
      </c>
      <c r="B16" s="517">
        <v>2311</v>
      </c>
      <c r="C16" s="512" t="s">
        <v>1466</v>
      </c>
      <c r="D16" s="574">
        <v>9.18</v>
      </c>
    </row>
    <row r="17" spans="1:4" ht="21.75" customHeight="1">
      <c r="A17" s="531">
        <v>11</v>
      </c>
      <c r="B17" s="517">
        <v>2351</v>
      </c>
      <c r="C17" s="512" t="s">
        <v>1085</v>
      </c>
      <c r="D17" s="574">
        <v>35.86</v>
      </c>
    </row>
    <row r="18" spans="1:4" ht="21.75" customHeight="1">
      <c r="A18" s="531">
        <v>12</v>
      </c>
      <c r="B18" s="517">
        <v>2352</v>
      </c>
      <c r="C18" s="512" t="s">
        <v>1086</v>
      </c>
      <c r="D18" s="574">
        <v>11.02</v>
      </c>
    </row>
    <row r="19" spans="1:4" ht="21.75" customHeight="1">
      <c r="A19" s="531">
        <v>13</v>
      </c>
      <c r="B19" s="517">
        <v>2513</v>
      </c>
      <c r="C19" s="512" t="s">
        <v>1467</v>
      </c>
      <c r="D19" s="574">
        <v>118.71</v>
      </c>
    </row>
    <row r="20" spans="1:4" ht="21.75" customHeight="1">
      <c r="A20" s="531">
        <v>14</v>
      </c>
      <c r="B20" s="517">
        <v>2519</v>
      </c>
      <c r="C20" s="512" t="s">
        <v>1468</v>
      </c>
      <c r="D20" s="574">
        <v>1.14</v>
      </c>
    </row>
    <row r="21" spans="1:4" ht="21.75" customHeight="1">
      <c r="A21" s="531"/>
      <c r="B21" s="517"/>
      <c r="C21" s="532" t="s">
        <v>1469</v>
      </c>
      <c r="D21" s="574">
        <f>SUM(D7:D20)</f>
        <v>2049.18</v>
      </c>
    </row>
    <row r="22" spans="1:4" ht="21.75" customHeight="1">
      <c r="A22" s="531"/>
      <c r="B22" s="517"/>
      <c r="C22" s="532" t="s">
        <v>1470</v>
      </c>
      <c r="D22" s="575">
        <f>D21*0.22</f>
        <v>450.8196</v>
      </c>
    </row>
    <row r="23" spans="1:4" ht="21.75" customHeight="1">
      <c r="A23" s="533"/>
      <c r="B23" s="534"/>
      <c r="C23" s="535" t="s">
        <v>1471</v>
      </c>
      <c r="D23" s="576">
        <f>SUM(D21:D22)</f>
        <v>2499.9995999999996</v>
      </c>
    </row>
  </sheetData>
  <sheetProtection/>
  <mergeCells count="1">
    <mergeCell ref="A5:D5"/>
  </mergeCells>
  <printOptions/>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66FF"/>
    <pageSetUpPr fitToPage="1"/>
  </sheetPr>
  <dimension ref="A1:BB273"/>
  <sheetViews>
    <sheetView zoomScalePageLayoutView="0" workbookViewId="0" topLeftCell="A250">
      <selection activeCell="I21" sqref="I21"/>
    </sheetView>
  </sheetViews>
  <sheetFormatPr defaultColWidth="9.140625" defaultRowHeight="15"/>
  <cols>
    <col min="1" max="1" width="4.140625" style="99" customWidth="1"/>
    <col min="2" max="2" width="42.140625" style="34" customWidth="1"/>
    <col min="3" max="3" width="10.00390625" style="34" customWidth="1"/>
    <col min="4" max="4" width="10.421875" style="34" customWidth="1"/>
    <col min="5" max="5" width="10.140625" style="34" customWidth="1"/>
    <col min="6" max="6" width="11.140625" style="100" customWidth="1"/>
    <col min="7" max="7" width="10.57421875" style="34" customWidth="1"/>
    <col min="8" max="8" width="22.57421875" style="34" customWidth="1"/>
    <col min="13" max="16384" width="9.140625" style="34" customWidth="1"/>
  </cols>
  <sheetData>
    <row r="1" spans="1:12" s="727" customFormat="1" ht="15.75">
      <c r="A1" s="745"/>
      <c r="F1" s="746"/>
      <c r="H1" s="728" t="s">
        <v>1629</v>
      </c>
      <c r="I1"/>
      <c r="J1"/>
      <c r="K1"/>
      <c r="L1"/>
    </row>
    <row r="2" spans="1:12" s="727" customFormat="1" ht="15.75">
      <c r="A2" s="745"/>
      <c r="F2" s="746"/>
      <c r="H2" s="728" t="s">
        <v>1627</v>
      </c>
      <c r="I2"/>
      <c r="J2"/>
      <c r="K2"/>
      <c r="L2"/>
    </row>
    <row r="3" spans="1:12" s="727" customFormat="1" ht="15.75">
      <c r="A3" s="745"/>
      <c r="F3" s="746"/>
      <c r="H3" s="728" t="s">
        <v>1628</v>
      </c>
      <c r="I3"/>
      <c r="J3"/>
      <c r="K3"/>
      <c r="L3"/>
    </row>
    <row r="4" spans="1:12" s="1" customFormat="1" ht="15">
      <c r="A4" s="1" t="s">
        <v>18</v>
      </c>
      <c r="B4" s="2"/>
      <c r="C4" s="822" t="s">
        <v>1</v>
      </c>
      <c r="D4" s="822"/>
      <c r="E4" s="822"/>
      <c r="F4" s="822"/>
      <c r="G4" s="822"/>
      <c r="H4" s="822"/>
      <c r="I4"/>
      <c r="J4"/>
      <c r="K4"/>
      <c r="L4"/>
    </row>
    <row r="5" spans="1:12" s="1" customFormat="1" ht="16.5">
      <c r="A5" s="823" t="s">
        <v>2</v>
      </c>
      <c r="B5" s="823"/>
      <c r="C5" s="823"/>
      <c r="D5" s="823"/>
      <c r="E5" s="823"/>
      <c r="F5" s="823"/>
      <c r="G5" s="823"/>
      <c r="H5" s="823"/>
      <c r="I5"/>
      <c r="J5"/>
      <c r="K5"/>
      <c r="L5"/>
    </row>
    <row r="6" spans="1:12" s="1" customFormat="1" ht="15">
      <c r="A6" s="1" t="s">
        <v>3</v>
      </c>
      <c r="C6" s="822" t="s">
        <v>23</v>
      </c>
      <c r="D6" s="822"/>
      <c r="E6" s="822"/>
      <c r="F6" s="822"/>
      <c r="G6" s="822"/>
      <c r="H6" s="822"/>
      <c r="I6"/>
      <c r="J6"/>
      <c r="K6"/>
      <c r="L6"/>
    </row>
    <row r="7" spans="1:12" s="1" customFormat="1" ht="15">
      <c r="A7" s="1" t="s">
        <v>19</v>
      </c>
      <c r="C7" s="801" t="s">
        <v>1577</v>
      </c>
      <c r="D7" s="801"/>
      <c r="E7" s="801"/>
      <c r="F7" s="801"/>
      <c r="G7" s="801"/>
      <c r="H7" s="801"/>
      <c r="I7"/>
      <c r="J7"/>
      <c r="K7"/>
      <c r="L7"/>
    </row>
    <row r="8" spans="1:12" s="1" customFormat="1" ht="15">
      <c r="A8" s="1" t="s">
        <v>20</v>
      </c>
      <c r="C8" s="806" t="s">
        <v>21</v>
      </c>
      <c r="D8" s="806"/>
      <c r="E8" s="806"/>
      <c r="F8" s="806"/>
      <c r="G8" s="806"/>
      <c r="H8" s="806"/>
      <c r="I8"/>
      <c r="J8"/>
      <c r="K8"/>
      <c r="L8"/>
    </row>
    <row r="9" spans="1:12" s="1" customFormat="1" ht="36.75">
      <c r="A9" s="803" t="s">
        <v>7</v>
      </c>
      <c r="B9" s="803" t="s">
        <v>8</v>
      </c>
      <c r="C9" s="803" t="s">
        <v>9</v>
      </c>
      <c r="D9" s="803" t="s">
        <v>936</v>
      </c>
      <c r="E9" s="803" t="s">
        <v>10</v>
      </c>
      <c r="F9" s="4" t="s">
        <v>11</v>
      </c>
      <c r="G9" s="4" t="s">
        <v>12</v>
      </c>
      <c r="H9" s="803" t="s">
        <v>1484</v>
      </c>
      <c r="I9"/>
      <c r="J9"/>
      <c r="K9"/>
      <c r="L9"/>
    </row>
    <row r="10" spans="1:12" s="1" customFormat="1" ht="37.5" customHeight="1">
      <c r="A10" s="803"/>
      <c r="B10" s="803"/>
      <c r="C10" s="803"/>
      <c r="D10" s="803"/>
      <c r="E10" s="803"/>
      <c r="F10" s="5" t="s">
        <v>14</v>
      </c>
      <c r="G10" s="5" t="s">
        <v>15</v>
      </c>
      <c r="H10" s="803"/>
      <c r="I10"/>
      <c r="J10"/>
      <c r="K10"/>
      <c r="L10"/>
    </row>
    <row r="11" spans="1:12" s="1" customFormat="1" ht="15">
      <c r="A11" s="804" t="s">
        <v>16</v>
      </c>
      <c r="B11" s="805"/>
      <c r="C11" s="6">
        <f>SUM(C12:C17)</f>
        <v>24126</v>
      </c>
      <c r="D11" s="6">
        <f>SUM(D12:D17)</f>
        <v>24123</v>
      </c>
      <c r="E11" s="6">
        <f>SUM(E12:E17)</f>
        <v>1396000</v>
      </c>
      <c r="F11" s="6"/>
      <c r="G11" s="6">
        <f>SUM(G12:G17)</f>
        <v>10500</v>
      </c>
      <c r="H11" s="537" t="s">
        <v>1485</v>
      </c>
      <c r="I11"/>
      <c r="J11"/>
      <c r="K11"/>
      <c r="L11"/>
    </row>
    <row r="12" spans="1:54" s="29" customFormat="1" ht="15">
      <c r="A12" s="23" t="s">
        <v>24</v>
      </c>
      <c r="B12" s="24" t="s">
        <v>25</v>
      </c>
      <c r="C12" s="25">
        <v>0</v>
      </c>
      <c r="D12" s="25">
        <v>0</v>
      </c>
      <c r="E12" s="25">
        <f>1086000</f>
        <v>1086000</v>
      </c>
      <c r="F12" s="26">
        <v>5240</v>
      </c>
      <c r="G12" s="25"/>
      <c r="H12" s="27"/>
      <c r="I12"/>
      <c r="J12"/>
      <c r="K12"/>
      <c r="L12"/>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row>
    <row r="13" spans="1:54" s="35" customFormat="1" ht="15">
      <c r="A13" s="820" t="s">
        <v>26</v>
      </c>
      <c r="B13" s="795" t="s">
        <v>27</v>
      </c>
      <c r="C13" s="30">
        <v>2092</v>
      </c>
      <c r="D13" s="30">
        <v>2089</v>
      </c>
      <c r="E13" s="30">
        <f>10000</f>
        <v>10000</v>
      </c>
      <c r="F13" s="31">
        <v>2241</v>
      </c>
      <c r="G13" s="30">
        <v>7000</v>
      </c>
      <c r="H13" s="33"/>
      <c r="I13"/>
      <c r="J13"/>
      <c r="K13"/>
      <c r="L13"/>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row>
    <row r="14" spans="1:54" s="35" customFormat="1" ht="15">
      <c r="A14" s="821"/>
      <c r="B14" s="797"/>
      <c r="C14" s="30">
        <v>22034</v>
      </c>
      <c r="D14" s="30">
        <v>22034</v>
      </c>
      <c r="E14" s="30">
        <v>0</v>
      </c>
      <c r="F14" s="31">
        <v>5250</v>
      </c>
      <c r="G14" s="30">
        <v>3500</v>
      </c>
      <c r="H14" s="33"/>
      <c r="I14"/>
      <c r="J14"/>
      <c r="K14"/>
      <c r="L1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row>
    <row r="15" spans="1:54" s="29" customFormat="1" ht="24.75">
      <c r="A15" s="36" t="s">
        <v>28</v>
      </c>
      <c r="B15" s="37" t="s">
        <v>29</v>
      </c>
      <c r="C15" s="30">
        <v>0</v>
      </c>
      <c r="D15" s="30">
        <v>0</v>
      </c>
      <c r="E15" s="30">
        <f>300000</f>
        <v>300000</v>
      </c>
      <c r="F15" s="31">
        <v>5250</v>
      </c>
      <c r="G15" s="30"/>
      <c r="H15" s="38"/>
      <c r="I15"/>
      <c r="J15"/>
      <c r="K15"/>
      <c r="L15"/>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s="42" customFormat="1" ht="15">
      <c r="A16" s="36" t="s">
        <v>30</v>
      </c>
      <c r="B16" s="37"/>
      <c r="C16" s="30">
        <v>0</v>
      </c>
      <c r="D16" s="30">
        <v>0</v>
      </c>
      <c r="E16" s="30"/>
      <c r="F16" s="31"/>
      <c r="G16" s="40"/>
      <c r="H16" s="38"/>
      <c r="I16"/>
      <c r="J16"/>
      <c r="K16"/>
      <c r="L16"/>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row>
    <row r="17" spans="1:8" ht="15">
      <c r="A17" s="43"/>
      <c r="B17" s="44"/>
      <c r="C17" s="44"/>
      <c r="D17" s="44"/>
      <c r="E17" s="44"/>
      <c r="F17" s="44"/>
      <c r="G17" s="439"/>
      <c r="H17" s="44"/>
    </row>
    <row r="18" spans="1:8" ht="15">
      <c r="A18" s="21"/>
      <c r="B18" s="45"/>
      <c r="C18" s="45"/>
      <c r="D18" s="45"/>
      <c r="E18" s="45"/>
      <c r="F18" s="45"/>
      <c r="G18" s="45"/>
      <c r="H18" s="45"/>
    </row>
    <row r="19" spans="1:12" s="1" customFormat="1" ht="15">
      <c r="A19" s="1" t="s">
        <v>19</v>
      </c>
      <c r="C19" s="801" t="s">
        <v>1602</v>
      </c>
      <c r="D19" s="801"/>
      <c r="E19" s="801"/>
      <c r="F19" s="801"/>
      <c r="G19" s="801"/>
      <c r="H19" s="801"/>
      <c r="I19"/>
      <c r="J19"/>
      <c r="K19"/>
      <c r="L19"/>
    </row>
    <row r="20" spans="1:12" s="1" customFormat="1" ht="15">
      <c r="A20" s="1" t="s">
        <v>20</v>
      </c>
      <c r="C20" s="806" t="s">
        <v>33</v>
      </c>
      <c r="D20" s="806"/>
      <c r="E20" s="806"/>
      <c r="F20" s="806"/>
      <c r="G20" s="806"/>
      <c r="H20" s="806"/>
      <c r="I20"/>
      <c r="J20"/>
      <c r="K20"/>
      <c r="L20"/>
    </row>
    <row r="21" spans="1:12" s="1" customFormat="1" ht="36.75">
      <c r="A21" s="803" t="s">
        <v>7</v>
      </c>
      <c r="B21" s="803" t="s">
        <v>8</v>
      </c>
      <c r="C21" s="803" t="s">
        <v>9</v>
      </c>
      <c r="D21" s="803" t="s">
        <v>936</v>
      </c>
      <c r="E21" s="803" t="s">
        <v>10</v>
      </c>
      <c r="F21" s="4" t="s">
        <v>11</v>
      </c>
      <c r="G21" s="4" t="s">
        <v>12</v>
      </c>
      <c r="H21" s="803" t="s">
        <v>13</v>
      </c>
      <c r="I21"/>
      <c r="J21"/>
      <c r="K21"/>
      <c r="L21"/>
    </row>
    <row r="22" spans="1:12" s="1" customFormat="1" ht="37.5" customHeight="1">
      <c r="A22" s="803"/>
      <c r="B22" s="803"/>
      <c r="C22" s="803"/>
      <c r="D22" s="803"/>
      <c r="E22" s="803"/>
      <c r="F22" s="5" t="s">
        <v>14</v>
      </c>
      <c r="G22" s="5" t="s">
        <v>15</v>
      </c>
      <c r="H22" s="803"/>
      <c r="I22"/>
      <c r="J22"/>
      <c r="K22"/>
      <c r="L22"/>
    </row>
    <row r="23" spans="1:12" s="1" customFormat="1" ht="15">
      <c r="A23" s="804" t="s">
        <v>16</v>
      </c>
      <c r="B23" s="805"/>
      <c r="C23" s="6">
        <f>SUM(C24:C25)</f>
        <v>7000</v>
      </c>
      <c r="D23" s="6">
        <f>SUM(D24:D25)</f>
        <v>7000</v>
      </c>
      <c r="E23" s="6">
        <f>SUM(E24:E25)</f>
        <v>8000</v>
      </c>
      <c r="F23" s="6"/>
      <c r="G23" s="6">
        <f>SUM(G24:G25)</f>
        <v>8000</v>
      </c>
      <c r="H23" s="537" t="s">
        <v>1486</v>
      </c>
      <c r="I23"/>
      <c r="J23"/>
      <c r="K23"/>
      <c r="L23"/>
    </row>
    <row r="24" spans="1:54" s="42" customFormat="1" ht="15">
      <c r="A24" s="36" t="s">
        <v>24</v>
      </c>
      <c r="B24" s="37" t="s">
        <v>34</v>
      </c>
      <c r="C24" s="30">
        <v>7000</v>
      </c>
      <c r="D24" s="30">
        <v>7000</v>
      </c>
      <c r="E24" s="30">
        <v>8000</v>
      </c>
      <c r="F24" s="31">
        <v>2241</v>
      </c>
      <c r="G24" s="30">
        <v>8000</v>
      </c>
      <c r="H24" s="38"/>
      <c r="I24"/>
      <c r="J24"/>
      <c r="K24"/>
      <c r="L24"/>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row>
    <row r="25" spans="1:54" s="35" customFormat="1" ht="15">
      <c r="A25" s="46"/>
      <c r="B25" s="37"/>
      <c r="C25" s="30"/>
      <c r="D25" s="30"/>
      <c r="E25" s="30"/>
      <c r="F25" s="31"/>
      <c r="G25" s="32"/>
      <c r="H25" s="33"/>
      <c r="I25"/>
      <c r="J25"/>
      <c r="K25"/>
      <c r="L25"/>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row>
    <row r="26" spans="1:8" ht="15">
      <c r="A26" s="21"/>
      <c r="B26" s="45"/>
      <c r="C26" s="45"/>
      <c r="D26" s="45"/>
      <c r="E26" s="45"/>
      <c r="F26" s="45"/>
      <c r="G26" s="45"/>
      <c r="H26" s="45"/>
    </row>
    <row r="27" spans="1:12" s="1" customFormat="1" ht="15">
      <c r="A27" s="1" t="s">
        <v>19</v>
      </c>
      <c r="C27" s="801" t="s">
        <v>35</v>
      </c>
      <c r="D27" s="801"/>
      <c r="E27" s="801"/>
      <c r="F27" s="801"/>
      <c r="G27" s="801"/>
      <c r="H27" s="801"/>
      <c r="I27"/>
      <c r="J27"/>
      <c r="K27"/>
      <c r="L27"/>
    </row>
    <row r="28" spans="1:12" s="1" customFormat="1" ht="15">
      <c r="A28" s="1" t="s">
        <v>20</v>
      </c>
      <c r="C28" s="806" t="s">
        <v>36</v>
      </c>
      <c r="D28" s="806"/>
      <c r="E28" s="806"/>
      <c r="F28" s="806"/>
      <c r="G28" s="806"/>
      <c r="H28" s="806"/>
      <c r="I28"/>
      <c r="J28"/>
      <c r="K28"/>
      <c r="L28"/>
    </row>
    <row r="29" spans="1:12" s="1" customFormat="1" ht="36.75">
      <c r="A29" s="803" t="s">
        <v>7</v>
      </c>
      <c r="B29" s="803" t="s">
        <v>8</v>
      </c>
      <c r="C29" s="803" t="s">
        <v>9</v>
      </c>
      <c r="D29" s="803" t="s">
        <v>936</v>
      </c>
      <c r="E29" s="803" t="s">
        <v>10</v>
      </c>
      <c r="F29" s="4" t="s">
        <v>11</v>
      </c>
      <c r="G29" s="4" t="s">
        <v>12</v>
      </c>
      <c r="H29" s="803" t="s">
        <v>13</v>
      </c>
      <c r="I29"/>
      <c r="J29"/>
      <c r="K29"/>
      <c r="L29"/>
    </row>
    <row r="30" spans="1:12" s="1" customFormat="1" ht="37.5" customHeight="1">
      <c r="A30" s="803"/>
      <c r="B30" s="803"/>
      <c r="C30" s="803"/>
      <c r="D30" s="803"/>
      <c r="E30" s="803"/>
      <c r="F30" s="5" t="s">
        <v>14</v>
      </c>
      <c r="G30" s="5" t="s">
        <v>15</v>
      </c>
      <c r="H30" s="803"/>
      <c r="I30"/>
      <c r="J30"/>
      <c r="K30"/>
      <c r="L30"/>
    </row>
    <row r="31" spans="1:12" s="1" customFormat="1" ht="15">
      <c r="A31" s="804" t="s">
        <v>16</v>
      </c>
      <c r="B31" s="805"/>
      <c r="C31" s="6">
        <f>SUM(C32:C55)</f>
        <v>959487</v>
      </c>
      <c r="D31" s="6">
        <f>SUM(D32:D55)</f>
        <v>768101</v>
      </c>
      <c r="E31" s="6">
        <f>SUM(E32:E55)</f>
        <v>3737198</v>
      </c>
      <c r="F31" s="6"/>
      <c r="G31" s="6">
        <f>SUM(G32:G55)</f>
        <v>1166698</v>
      </c>
      <c r="H31" s="537" t="s">
        <v>1606</v>
      </c>
      <c r="I31"/>
      <c r="J31"/>
      <c r="K31"/>
      <c r="L31"/>
    </row>
    <row r="32" spans="1:54" s="42" customFormat="1" ht="108.75">
      <c r="A32" s="36" t="s">
        <v>24</v>
      </c>
      <c r="B32" s="37" t="s">
        <v>37</v>
      </c>
      <c r="C32" s="30">
        <v>0</v>
      </c>
      <c r="D32" s="30">
        <v>0</v>
      </c>
      <c r="E32" s="30">
        <v>3660</v>
      </c>
      <c r="F32" s="31">
        <v>5250</v>
      </c>
      <c r="G32" s="30">
        <v>3660</v>
      </c>
      <c r="H32" s="38" t="s">
        <v>38</v>
      </c>
      <c r="I32"/>
      <c r="J32"/>
      <c r="K32"/>
      <c r="L32"/>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row>
    <row r="33" spans="1:54" s="42" customFormat="1" ht="15">
      <c r="A33" s="36" t="s">
        <v>26</v>
      </c>
      <c r="B33" s="37" t="s">
        <v>39</v>
      </c>
      <c r="C33" s="30">
        <v>0</v>
      </c>
      <c r="D33" s="30">
        <v>0</v>
      </c>
      <c r="E33" s="30">
        <f>2564000</f>
        <v>2564000</v>
      </c>
      <c r="F33" s="31">
        <v>5250</v>
      </c>
      <c r="G33" s="30"/>
      <c r="H33" s="38"/>
      <c r="I33"/>
      <c r="J33"/>
      <c r="K33"/>
      <c r="L33"/>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row>
    <row r="34" spans="1:54" s="42" customFormat="1" ht="144.75">
      <c r="A34" s="36" t="s">
        <v>28</v>
      </c>
      <c r="B34" s="37" t="s">
        <v>40</v>
      </c>
      <c r="C34" s="30">
        <v>190000</v>
      </c>
      <c r="D34" s="30">
        <v>0</v>
      </c>
      <c r="E34" s="30">
        <v>190000</v>
      </c>
      <c r="F34" s="31">
        <v>5250</v>
      </c>
      <c r="G34" s="30">
        <v>190000</v>
      </c>
      <c r="H34" s="38" t="s">
        <v>41</v>
      </c>
      <c r="I34"/>
      <c r="J34"/>
      <c r="K34"/>
      <c r="L34"/>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row>
    <row r="35" spans="1:54" s="42" customFormat="1" ht="15">
      <c r="A35" s="36" t="s">
        <v>30</v>
      </c>
      <c r="B35" s="37" t="s">
        <v>42</v>
      </c>
      <c r="C35" s="30">
        <v>0</v>
      </c>
      <c r="D35" s="30">
        <v>0</v>
      </c>
      <c r="E35" s="30">
        <f>100000</f>
        <v>100000</v>
      </c>
      <c r="F35" s="31">
        <v>5240</v>
      </c>
      <c r="G35" s="30">
        <v>50000</v>
      </c>
      <c r="H35" s="38" t="s">
        <v>43</v>
      </c>
      <c r="I35"/>
      <c r="J35"/>
      <c r="K35"/>
      <c r="L35"/>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row>
    <row r="36" spans="1:54" s="42" customFormat="1" ht="24.75">
      <c r="A36" s="36" t="s">
        <v>45</v>
      </c>
      <c r="B36" s="336" t="s">
        <v>1110</v>
      </c>
      <c r="C36" s="30">
        <v>1159</v>
      </c>
      <c r="D36" s="30"/>
      <c r="E36" s="335"/>
      <c r="F36" s="31">
        <v>5250</v>
      </c>
      <c r="G36" s="30"/>
      <c r="H36" s="38"/>
      <c r="I36"/>
      <c r="J36"/>
      <c r="K36"/>
      <c r="L36"/>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row>
    <row r="37" spans="1:54" s="42" customFormat="1" ht="24.75">
      <c r="A37" s="36" t="s">
        <v>47</v>
      </c>
      <c r="B37" s="37" t="s">
        <v>1109</v>
      </c>
      <c r="C37" s="30">
        <v>450</v>
      </c>
      <c r="D37" s="30"/>
      <c r="E37" s="335">
        <v>3538</v>
      </c>
      <c r="F37" s="31">
        <v>5250</v>
      </c>
      <c r="G37" s="30">
        <v>3538</v>
      </c>
      <c r="H37" s="38"/>
      <c r="I37"/>
      <c r="J37"/>
      <c r="K37"/>
      <c r="L37"/>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row>
    <row r="38" spans="1:54" s="42" customFormat="1" ht="36.75">
      <c r="A38" s="36" t="s">
        <v>51</v>
      </c>
      <c r="B38" s="38" t="s">
        <v>83</v>
      </c>
      <c r="C38" s="30"/>
      <c r="D38" s="30"/>
      <c r="E38" s="335"/>
      <c r="F38" s="31">
        <v>5250</v>
      </c>
      <c r="G38" s="30">
        <v>52000</v>
      </c>
      <c r="H38" s="38"/>
      <c r="I38"/>
      <c r="J38"/>
      <c r="K38"/>
      <c r="L38"/>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row>
    <row r="39" spans="1:54" s="49" customFormat="1" ht="15">
      <c r="A39" s="47"/>
      <c r="B39" s="33" t="s">
        <v>44</v>
      </c>
      <c r="C39" s="32"/>
      <c r="D39" s="32"/>
      <c r="E39" s="32"/>
      <c r="F39" s="32"/>
      <c r="G39" s="32"/>
      <c r="H39" s="33"/>
      <c r="I39"/>
      <c r="J39"/>
      <c r="K39"/>
      <c r="L39"/>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row>
    <row r="40" spans="1:54" s="42" customFormat="1" ht="15">
      <c r="A40" s="36" t="s">
        <v>45</v>
      </c>
      <c r="B40" s="37" t="s">
        <v>46</v>
      </c>
      <c r="C40" s="30">
        <v>225133</v>
      </c>
      <c r="D40" s="30">
        <v>225133</v>
      </c>
      <c r="E40" s="30">
        <f>250000</f>
        <v>250000</v>
      </c>
      <c r="F40" s="31">
        <v>5250</v>
      </c>
      <c r="G40" s="30">
        <f>225000+40000</f>
        <v>265000</v>
      </c>
      <c r="H40" s="37"/>
      <c r="I40"/>
      <c r="J40"/>
      <c r="K40"/>
      <c r="L40"/>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54" s="42" customFormat="1" ht="24.75">
      <c r="A41" s="36" t="s">
        <v>47</v>
      </c>
      <c r="B41" s="37" t="s">
        <v>48</v>
      </c>
      <c r="C41" s="30">
        <v>164167</v>
      </c>
      <c r="D41" s="30">
        <v>164165</v>
      </c>
      <c r="E41" s="30">
        <f>150000</f>
        <v>150000</v>
      </c>
      <c r="F41" s="31">
        <v>5250</v>
      </c>
      <c r="G41" s="30">
        <v>90000</v>
      </c>
      <c r="H41" s="37" t="s">
        <v>49</v>
      </c>
      <c r="I41"/>
      <c r="J41"/>
      <c r="K41"/>
      <c r="L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row>
    <row r="42" spans="1:54" s="49" customFormat="1" ht="15">
      <c r="A42" s="47"/>
      <c r="B42" s="33" t="s">
        <v>50</v>
      </c>
      <c r="C42" s="32"/>
      <c r="D42" s="32"/>
      <c r="E42" s="32"/>
      <c r="F42" s="32"/>
      <c r="G42" s="32"/>
      <c r="H42" s="33"/>
      <c r="I42"/>
      <c r="J42"/>
      <c r="K42"/>
      <c r="L42"/>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row>
    <row r="43" spans="1:54" s="42" customFormat="1" ht="15">
      <c r="A43" s="36" t="s">
        <v>51</v>
      </c>
      <c r="B43" s="38" t="s">
        <v>52</v>
      </c>
      <c r="C43" s="30">
        <v>66000</v>
      </c>
      <c r="D43" s="30">
        <v>65999</v>
      </c>
      <c r="E43" s="30">
        <v>66000</v>
      </c>
      <c r="F43" s="31">
        <v>2246</v>
      </c>
      <c r="G43" s="30">
        <v>66000</v>
      </c>
      <c r="H43" s="38"/>
      <c r="I43"/>
      <c r="J43"/>
      <c r="K43"/>
      <c r="L43"/>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row>
    <row r="44" spans="1:54" s="42" customFormat="1" ht="15">
      <c r="A44" s="36" t="s">
        <v>53</v>
      </c>
      <c r="B44" s="37" t="s">
        <v>54</v>
      </c>
      <c r="C44" s="30">
        <v>175000</v>
      </c>
      <c r="D44" s="30">
        <v>175000</v>
      </c>
      <c r="E44" s="30">
        <v>175000</v>
      </c>
      <c r="F44" s="31">
        <v>2246</v>
      </c>
      <c r="G44" s="30">
        <f>175000+60000</f>
        <v>235000</v>
      </c>
      <c r="H44" s="37"/>
      <c r="I44"/>
      <c r="J44"/>
      <c r="K44"/>
      <c r="L44"/>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row>
    <row r="45" spans="1:54" s="42" customFormat="1" ht="12.75" customHeight="1">
      <c r="A45" s="818" t="s">
        <v>55</v>
      </c>
      <c r="B45" s="816" t="s">
        <v>56</v>
      </c>
      <c r="C45" s="30">
        <v>1116</v>
      </c>
      <c r="D45" s="30"/>
      <c r="E45" s="30"/>
      <c r="F45" s="31">
        <v>5250</v>
      </c>
      <c r="G45" s="30"/>
      <c r="H45" s="37"/>
      <c r="I45"/>
      <c r="J45"/>
      <c r="K45"/>
      <c r="L45"/>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row>
    <row r="46" spans="1:54" s="42" customFormat="1" ht="12.75" customHeight="1">
      <c r="A46" s="819"/>
      <c r="B46" s="817"/>
      <c r="C46" s="30">
        <v>50000</v>
      </c>
      <c r="D46" s="30">
        <v>50000</v>
      </c>
      <c r="E46" s="30">
        <f>50000</f>
        <v>50000</v>
      </c>
      <c r="F46" s="31">
        <v>2246</v>
      </c>
      <c r="G46" s="30">
        <f>50000+10000</f>
        <v>60000</v>
      </c>
      <c r="H46" s="37"/>
      <c r="I46"/>
      <c r="J46"/>
      <c r="K46"/>
      <c r="L46"/>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row>
    <row r="47" spans="1:54" s="49" customFormat="1" ht="15">
      <c r="A47" s="47"/>
      <c r="B47" s="33" t="s">
        <v>57</v>
      </c>
      <c r="C47" s="32"/>
      <c r="D47" s="32"/>
      <c r="E47" s="32"/>
      <c r="F47" s="32"/>
      <c r="G47" s="32"/>
      <c r="H47" s="33"/>
      <c r="I47"/>
      <c r="J47"/>
      <c r="K47"/>
      <c r="L47"/>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row>
    <row r="48" spans="1:54" s="42" customFormat="1" ht="15">
      <c r="A48" s="36" t="s">
        <v>58</v>
      </c>
      <c r="B48" s="38" t="s">
        <v>59</v>
      </c>
      <c r="C48" s="30">
        <v>25175</v>
      </c>
      <c r="D48" s="30">
        <v>26000</v>
      </c>
      <c r="E48" s="30">
        <v>26000</v>
      </c>
      <c r="F48" s="31">
        <v>2246</v>
      </c>
      <c r="G48" s="30">
        <v>25000</v>
      </c>
      <c r="H48" s="50"/>
      <c r="I48"/>
      <c r="J48"/>
      <c r="K48"/>
      <c r="L48"/>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row>
    <row r="49" spans="1:54" s="42" customFormat="1" ht="15">
      <c r="A49" s="36" t="s">
        <v>60</v>
      </c>
      <c r="B49" s="38" t="s">
        <v>61</v>
      </c>
      <c r="C49" s="30">
        <v>39873</v>
      </c>
      <c r="D49" s="30">
        <v>39873</v>
      </c>
      <c r="E49" s="30">
        <v>40000</v>
      </c>
      <c r="F49" s="31">
        <v>2246</v>
      </c>
      <c r="G49" s="30">
        <v>40000</v>
      </c>
      <c r="H49" s="38"/>
      <c r="I49"/>
      <c r="J49"/>
      <c r="K49"/>
      <c r="L49"/>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row>
    <row r="50" spans="1:54" s="42" customFormat="1" ht="15">
      <c r="A50" s="36" t="s">
        <v>62</v>
      </c>
      <c r="B50" s="38" t="s">
        <v>63</v>
      </c>
      <c r="C50" s="30">
        <v>5014</v>
      </c>
      <c r="D50" s="30">
        <v>5531</v>
      </c>
      <c r="E50" s="30">
        <v>6000</v>
      </c>
      <c r="F50" s="31">
        <v>2246</v>
      </c>
      <c r="G50" s="30">
        <v>3500</v>
      </c>
      <c r="H50" s="38"/>
      <c r="I50"/>
      <c r="J50"/>
      <c r="K50"/>
      <c r="L50"/>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row>
    <row r="51" spans="1:54" s="42" customFormat="1" ht="15">
      <c r="A51" s="36" t="s">
        <v>64</v>
      </c>
      <c r="B51" s="51" t="s">
        <v>65</v>
      </c>
      <c r="C51" s="30">
        <v>1400</v>
      </c>
      <c r="D51" s="30">
        <v>1400</v>
      </c>
      <c r="E51" s="30">
        <v>0</v>
      </c>
      <c r="F51" s="31">
        <v>2243</v>
      </c>
      <c r="G51" s="30"/>
      <c r="H51" s="38"/>
      <c r="I51"/>
      <c r="J51"/>
      <c r="K51"/>
      <c r="L5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row>
    <row r="52" spans="1:54" s="54" customFormat="1" ht="15">
      <c r="A52" s="47" t="s">
        <v>66</v>
      </c>
      <c r="B52" s="52" t="s">
        <v>67</v>
      </c>
      <c r="C52" s="32">
        <v>15000</v>
      </c>
      <c r="D52" s="32">
        <v>15000</v>
      </c>
      <c r="E52" s="32">
        <v>15000</v>
      </c>
      <c r="F52" s="53">
        <v>2312</v>
      </c>
      <c r="G52" s="32">
        <v>15000</v>
      </c>
      <c r="H52" s="33"/>
      <c r="I52"/>
      <c r="J52"/>
      <c r="K52"/>
      <c r="L52"/>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row>
    <row r="53" spans="1:54" s="54" customFormat="1" ht="48.75">
      <c r="A53" s="47" t="s">
        <v>68</v>
      </c>
      <c r="B53" s="52" t="s">
        <v>69</v>
      </c>
      <c r="C53" s="32">
        <v>0</v>
      </c>
      <c r="D53" s="32">
        <v>0</v>
      </c>
      <c r="E53" s="32">
        <f>50000</f>
        <v>50000</v>
      </c>
      <c r="F53" s="53">
        <v>5250</v>
      </c>
      <c r="G53" s="32">
        <v>50000</v>
      </c>
      <c r="H53" s="38" t="s">
        <v>70</v>
      </c>
      <c r="I53"/>
      <c r="J53"/>
      <c r="K53"/>
      <c r="L53"/>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1:54" s="42" customFormat="1" ht="24.75">
      <c r="A54" s="47" t="s">
        <v>71</v>
      </c>
      <c r="B54" s="55" t="s">
        <v>72</v>
      </c>
      <c r="C54" s="32">
        <v>0</v>
      </c>
      <c r="D54" s="32">
        <v>0</v>
      </c>
      <c r="E54" s="32">
        <f>30000</f>
        <v>30000</v>
      </c>
      <c r="F54" s="53">
        <v>5240</v>
      </c>
      <c r="G54" s="32"/>
      <c r="H54" s="38" t="s">
        <v>73</v>
      </c>
      <c r="I54"/>
      <c r="J54"/>
      <c r="K54"/>
      <c r="L54"/>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row>
    <row r="55" spans="1:54" s="60" customFormat="1" ht="24">
      <c r="A55" s="337" t="s">
        <v>1114</v>
      </c>
      <c r="B55" s="56" t="s">
        <v>1115</v>
      </c>
      <c r="C55" s="57">
        <v>0</v>
      </c>
      <c r="D55" s="57">
        <v>0</v>
      </c>
      <c r="E55" s="57">
        <v>18000</v>
      </c>
      <c r="F55" s="57">
        <v>2239</v>
      </c>
      <c r="G55" s="57">
        <v>18000</v>
      </c>
      <c r="H55" s="58"/>
      <c r="I55"/>
      <c r="J55"/>
      <c r="K55"/>
      <c r="L55"/>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row>
    <row r="56" spans="1:8" ht="15">
      <c r="A56" s="720"/>
      <c r="B56" s="721"/>
      <c r="C56" s="721"/>
      <c r="D56" s="721"/>
      <c r="E56" s="721"/>
      <c r="F56" s="721"/>
      <c r="G56" s="721"/>
      <c r="H56" s="721"/>
    </row>
    <row r="57" spans="1:12" s="1" customFormat="1" ht="15">
      <c r="A57" s="1" t="s">
        <v>19</v>
      </c>
      <c r="C57" s="801" t="s">
        <v>74</v>
      </c>
      <c r="D57" s="801"/>
      <c r="E57" s="801"/>
      <c r="F57" s="801"/>
      <c r="G57" s="801"/>
      <c r="H57" s="801"/>
      <c r="I57"/>
      <c r="J57"/>
      <c r="K57"/>
      <c r="L57"/>
    </row>
    <row r="58" spans="1:12" s="1" customFormat="1" ht="15">
      <c r="A58" s="1" t="s">
        <v>20</v>
      </c>
      <c r="C58" s="806" t="s">
        <v>36</v>
      </c>
      <c r="D58" s="806"/>
      <c r="E58" s="806"/>
      <c r="F58" s="806"/>
      <c r="G58" s="806"/>
      <c r="H58" s="806"/>
      <c r="I58"/>
      <c r="J58"/>
      <c r="K58"/>
      <c r="L58"/>
    </row>
    <row r="59" spans="1:12" s="1" customFormat="1" ht="36.75">
      <c r="A59" s="803" t="s">
        <v>7</v>
      </c>
      <c r="B59" s="803" t="s">
        <v>8</v>
      </c>
      <c r="C59" s="803" t="s">
        <v>9</v>
      </c>
      <c r="D59" s="803" t="s">
        <v>936</v>
      </c>
      <c r="E59" s="803" t="s">
        <v>10</v>
      </c>
      <c r="F59" s="4" t="s">
        <v>11</v>
      </c>
      <c r="G59" s="4" t="s">
        <v>12</v>
      </c>
      <c r="H59" s="803" t="s">
        <v>13</v>
      </c>
      <c r="I59"/>
      <c r="J59"/>
      <c r="K59"/>
      <c r="L59"/>
    </row>
    <row r="60" spans="1:12" s="1" customFormat="1" ht="37.5" customHeight="1">
      <c r="A60" s="803"/>
      <c r="B60" s="803"/>
      <c r="C60" s="803"/>
      <c r="D60" s="803"/>
      <c r="E60" s="803"/>
      <c r="F60" s="5" t="s">
        <v>14</v>
      </c>
      <c r="G60" s="5" t="s">
        <v>15</v>
      </c>
      <c r="H60" s="803"/>
      <c r="I60"/>
      <c r="J60"/>
      <c r="K60"/>
      <c r="L60"/>
    </row>
    <row r="61" spans="1:12" s="1" customFormat="1" ht="15">
      <c r="A61" s="804" t="s">
        <v>16</v>
      </c>
      <c r="B61" s="805"/>
      <c r="C61" s="6">
        <f>SUM(C62:C64)</f>
        <v>742292</v>
      </c>
      <c r="D61" s="6">
        <f>SUM(D62:D64)</f>
        <v>732936</v>
      </c>
      <c r="E61" s="6">
        <f>SUM(E62:E64)</f>
        <v>715382</v>
      </c>
      <c r="F61" s="6"/>
      <c r="G61" s="6">
        <f>SUM(G62:G64)</f>
        <v>715362</v>
      </c>
      <c r="H61" s="537" t="s">
        <v>1487</v>
      </c>
      <c r="I61"/>
      <c r="J61"/>
      <c r="K61"/>
      <c r="L61"/>
    </row>
    <row r="62" spans="1:54" s="42" customFormat="1" ht="25.5" customHeight="1">
      <c r="A62" s="36" t="s">
        <v>24</v>
      </c>
      <c r="B62" s="38" t="s">
        <v>75</v>
      </c>
      <c r="C62" s="30">
        <v>741552</v>
      </c>
      <c r="D62" s="30">
        <v>732254</v>
      </c>
      <c r="E62" s="30">
        <v>714632</v>
      </c>
      <c r="F62" s="31">
        <v>3320</v>
      </c>
      <c r="G62" s="30">
        <v>714632</v>
      </c>
      <c r="H62" s="38"/>
      <c r="I62"/>
      <c r="J62"/>
      <c r="K62"/>
      <c r="L62"/>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row>
    <row r="63" spans="1:54" s="42" customFormat="1" ht="15">
      <c r="A63" s="36" t="s">
        <v>26</v>
      </c>
      <c r="B63" s="37" t="s">
        <v>76</v>
      </c>
      <c r="C63" s="30">
        <v>650</v>
      </c>
      <c r="D63" s="30">
        <v>610</v>
      </c>
      <c r="E63" s="30">
        <v>650</v>
      </c>
      <c r="F63" s="31">
        <v>2232</v>
      </c>
      <c r="G63" s="30">
        <v>650</v>
      </c>
      <c r="H63" s="38"/>
      <c r="I63"/>
      <c r="J63"/>
      <c r="K63"/>
      <c r="L63"/>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row>
    <row r="64" spans="1:54" s="42" customFormat="1" ht="15">
      <c r="A64" s="36" t="s">
        <v>28</v>
      </c>
      <c r="B64" s="37" t="s">
        <v>77</v>
      </c>
      <c r="C64" s="30">
        <v>90</v>
      </c>
      <c r="D64" s="30">
        <v>72</v>
      </c>
      <c r="E64" s="30">
        <v>100</v>
      </c>
      <c r="F64" s="31">
        <v>2312</v>
      </c>
      <c r="G64" s="30">
        <v>80</v>
      </c>
      <c r="H64" s="38"/>
      <c r="I64"/>
      <c r="J64"/>
      <c r="K64"/>
      <c r="L64"/>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row>
    <row r="65" spans="1:54" s="42" customFormat="1" ht="15">
      <c r="A65" s="36"/>
      <c r="B65" s="37"/>
      <c r="C65" s="30"/>
      <c r="D65" s="30"/>
      <c r="E65" s="30"/>
      <c r="F65" s="31"/>
      <c r="G65" s="30"/>
      <c r="H65" s="38"/>
      <c r="I65"/>
      <c r="J65"/>
      <c r="K65"/>
      <c r="L65"/>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row>
    <row r="66" spans="1:54" s="42" customFormat="1" ht="15">
      <c r="A66" s="61"/>
      <c r="B66" s="62"/>
      <c r="C66" s="63"/>
      <c r="D66" s="63"/>
      <c r="E66" s="63"/>
      <c r="F66" s="64"/>
      <c r="G66" s="63"/>
      <c r="H66" s="65"/>
      <c r="I66"/>
      <c r="J66"/>
      <c r="K66"/>
      <c r="L66"/>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row>
    <row r="67" spans="1:12" s="1" customFormat="1" ht="15">
      <c r="A67" s="1" t="s">
        <v>19</v>
      </c>
      <c r="C67" s="801" t="s">
        <v>1380</v>
      </c>
      <c r="D67" s="801"/>
      <c r="E67" s="801"/>
      <c r="F67" s="801"/>
      <c r="G67" s="801"/>
      <c r="H67" s="801"/>
      <c r="I67"/>
      <c r="J67"/>
      <c r="K67"/>
      <c r="L67"/>
    </row>
    <row r="68" spans="1:12" s="1" customFormat="1" ht="15">
      <c r="A68" s="1" t="s">
        <v>20</v>
      </c>
      <c r="C68" s="806" t="s">
        <v>78</v>
      </c>
      <c r="D68" s="806"/>
      <c r="E68" s="806"/>
      <c r="F68" s="806"/>
      <c r="G68" s="806"/>
      <c r="H68" s="806"/>
      <c r="I68"/>
      <c r="J68"/>
      <c r="K68"/>
      <c r="L68"/>
    </row>
    <row r="69" spans="1:12" s="1" customFormat="1" ht="36.75">
      <c r="A69" s="803" t="s">
        <v>7</v>
      </c>
      <c r="B69" s="803" t="s">
        <v>8</v>
      </c>
      <c r="C69" s="803" t="s">
        <v>9</v>
      </c>
      <c r="D69" s="803" t="s">
        <v>936</v>
      </c>
      <c r="E69" s="803" t="s">
        <v>10</v>
      </c>
      <c r="F69" s="4" t="s">
        <v>11</v>
      </c>
      <c r="G69" s="4" t="s">
        <v>12</v>
      </c>
      <c r="H69" s="803" t="s">
        <v>13</v>
      </c>
      <c r="I69"/>
      <c r="J69"/>
      <c r="K69"/>
      <c r="L69"/>
    </row>
    <row r="70" spans="1:12" s="1" customFormat="1" ht="37.5" customHeight="1">
      <c r="A70" s="803"/>
      <c r="B70" s="803"/>
      <c r="C70" s="803"/>
      <c r="D70" s="803"/>
      <c r="E70" s="803"/>
      <c r="F70" s="5" t="s">
        <v>14</v>
      </c>
      <c r="G70" s="5" t="s">
        <v>15</v>
      </c>
      <c r="H70" s="803"/>
      <c r="I70"/>
      <c r="J70"/>
      <c r="K70"/>
      <c r="L70"/>
    </row>
    <row r="71" spans="1:12" s="1" customFormat="1" ht="15">
      <c r="A71" s="804" t="s">
        <v>16</v>
      </c>
      <c r="B71" s="805"/>
      <c r="C71" s="6">
        <f>SUM(C72:C73)</f>
        <v>150</v>
      </c>
      <c r="D71" s="6">
        <f>SUM(D72:D73)</f>
        <v>150</v>
      </c>
      <c r="E71" s="6">
        <f>SUM(E72:E73)</f>
        <v>0</v>
      </c>
      <c r="F71" s="6"/>
      <c r="G71" s="6">
        <f>SUM(G72:G73)</f>
        <v>0</v>
      </c>
      <c r="H71" s="537" t="s">
        <v>1488</v>
      </c>
      <c r="I71"/>
      <c r="J71"/>
      <c r="K71"/>
      <c r="L71"/>
    </row>
    <row r="72" spans="1:54" s="42" customFormat="1" ht="15">
      <c r="A72" s="36" t="s">
        <v>24</v>
      </c>
      <c r="B72" s="38" t="s">
        <v>79</v>
      </c>
      <c r="C72" s="30">
        <v>150</v>
      </c>
      <c r="D72" s="30">
        <v>150</v>
      </c>
      <c r="E72" s="30">
        <v>0</v>
      </c>
      <c r="F72" s="31">
        <v>5250</v>
      </c>
      <c r="G72" s="30"/>
      <c r="H72" s="38"/>
      <c r="I72"/>
      <c r="J72"/>
      <c r="K72"/>
      <c r="L72"/>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row>
    <row r="73" spans="1:54" s="42" customFormat="1" ht="15">
      <c r="A73" s="36"/>
      <c r="B73" s="38"/>
      <c r="C73" s="30"/>
      <c r="D73" s="30"/>
      <c r="E73" s="30"/>
      <c r="F73" s="31"/>
      <c r="G73" s="30"/>
      <c r="H73" s="38"/>
      <c r="I73"/>
      <c r="J73"/>
      <c r="K73"/>
      <c r="L73"/>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row>
    <row r="74" spans="1:54" s="42" customFormat="1" ht="15">
      <c r="A74" s="61"/>
      <c r="B74" s="65"/>
      <c r="C74" s="63"/>
      <c r="D74" s="63"/>
      <c r="E74" s="63"/>
      <c r="F74" s="64"/>
      <c r="G74" s="63"/>
      <c r="H74" s="65"/>
      <c r="I74"/>
      <c r="J74"/>
      <c r="K74"/>
      <c r="L74"/>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row>
    <row r="75" spans="1:12" s="1" customFormat="1" ht="15">
      <c r="A75" s="1" t="s">
        <v>19</v>
      </c>
      <c r="C75" s="801" t="s">
        <v>1381</v>
      </c>
      <c r="D75" s="801"/>
      <c r="E75" s="801"/>
      <c r="F75" s="801"/>
      <c r="G75" s="801"/>
      <c r="H75" s="801"/>
      <c r="I75"/>
      <c r="J75"/>
      <c r="K75"/>
      <c r="L75"/>
    </row>
    <row r="76" spans="1:12" s="1" customFormat="1" ht="15">
      <c r="A76" s="1" t="s">
        <v>20</v>
      </c>
      <c r="C76" s="806" t="s">
        <v>80</v>
      </c>
      <c r="D76" s="806"/>
      <c r="E76" s="806"/>
      <c r="F76" s="806"/>
      <c r="G76" s="806"/>
      <c r="H76" s="806"/>
      <c r="I76"/>
      <c r="J76"/>
      <c r="K76"/>
      <c r="L76"/>
    </row>
    <row r="77" spans="1:12" s="1" customFormat="1" ht="36.75">
      <c r="A77" s="803" t="s">
        <v>7</v>
      </c>
      <c r="B77" s="803" t="s">
        <v>8</v>
      </c>
      <c r="C77" s="803" t="s">
        <v>9</v>
      </c>
      <c r="D77" s="803" t="s">
        <v>943</v>
      </c>
      <c r="E77" s="803" t="s">
        <v>10</v>
      </c>
      <c r="F77" s="4" t="s">
        <v>11</v>
      </c>
      <c r="G77" s="4" t="s">
        <v>12</v>
      </c>
      <c r="H77" s="803" t="s">
        <v>13</v>
      </c>
      <c r="I77"/>
      <c r="J77"/>
      <c r="K77"/>
      <c r="L77"/>
    </row>
    <row r="78" spans="1:12" s="1" customFormat="1" ht="37.5" customHeight="1">
      <c r="A78" s="803"/>
      <c r="B78" s="803"/>
      <c r="C78" s="803"/>
      <c r="D78" s="803"/>
      <c r="E78" s="803"/>
      <c r="F78" s="5" t="s">
        <v>14</v>
      </c>
      <c r="G78" s="5" t="s">
        <v>15</v>
      </c>
      <c r="H78" s="803"/>
      <c r="I78"/>
      <c r="J78"/>
      <c r="K78"/>
      <c r="L78"/>
    </row>
    <row r="79" spans="1:12" s="1" customFormat="1" ht="15">
      <c r="A79" s="804" t="s">
        <v>16</v>
      </c>
      <c r="B79" s="805"/>
      <c r="C79" s="6">
        <f>SUM(C80:C82)</f>
        <v>11018</v>
      </c>
      <c r="D79" s="6">
        <f>SUM(D80:D82)</f>
        <v>11018</v>
      </c>
      <c r="E79" s="6">
        <f>SUM(E80:E82)</f>
        <v>0</v>
      </c>
      <c r="F79" s="6"/>
      <c r="G79" s="6">
        <f>SUM(G80:G82)</f>
        <v>0</v>
      </c>
      <c r="H79" s="537" t="s">
        <v>1488</v>
      </c>
      <c r="I79"/>
      <c r="J79"/>
      <c r="K79"/>
      <c r="L79"/>
    </row>
    <row r="80" spans="1:54" s="42" customFormat="1" ht="15">
      <c r="A80" s="792" t="s">
        <v>24</v>
      </c>
      <c r="B80" s="795" t="s">
        <v>81</v>
      </c>
      <c r="C80" s="30">
        <v>280</v>
      </c>
      <c r="D80" s="30">
        <v>280</v>
      </c>
      <c r="E80" s="30">
        <v>0</v>
      </c>
      <c r="F80" s="31">
        <v>2241</v>
      </c>
      <c r="G80" s="30"/>
      <c r="H80" s="38"/>
      <c r="I80"/>
      <c r="J80"/>
      <c r="K80"/>
      <c r="L80"/>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row>
    <row r="81" spans="1:54" s="42" customFormat="1" ht="15">
      <c r="A81" s="794"/>
      <c r="B81" s="797"/>
      <c r="C81" s="30">
        <v>10738</v>
      </c>
      <c r="D81" s="30">
        <v>10738</v>
      </c>
      <c r="E81" s="30">
        <v>0</v>
      </c>
      <c r="F81" s="31">
        <v>5250</v>
      </c>
      <c r="G81" s="30"/>
      <c r="H81" s="38"/>
      <c r="I81"/>
      <c r="J81"/>
      <c r="K81"/>
      <c r="L8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row>
    <row r="82" spans="1:54" s="42" customFormat="1" ht="15">
      <c r="A82" s="36"/>
      <c r="B82" s="38"/>
      <c r="C82" s="30"/>
      <c r="D82" s="30"/>
      <c r="E82" s="30"/>
      <c r="F82" s="31"/>
      <c r="G82" s="30"/>
      <c r="H82" s="38"/>
      <c r="I82"/>
      <c r="J82"/>
      <c r="K82"/>
      <c r="L82"/>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row>
    <row r="83" spans="1:54" s="42" customFormat="1" ht="15">
      <c r="A83" s="61"/>
      <c r="B83" s="62"/>
      <c r="C83" s="63"/>
      <c r="D83" s="63"/>
      <c r="E83" s="63"/>
      <c r="F83" s="64"/>
      <c r="G83" s="63"/>
      <c r="H83" s="65"/>
      <c r="I83"/>
      <c r="J83"/>
      <c r="K83"/>
      <c r="L83"/>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row>
    <row r="84" spans="1:12" s="1" customFormat="1" ht="15">
      <c r="A84" s="1" t="s">
        <v>19</v>
      </c>
      <c r="C84" s="801" t="s">
        <v>1391</v>
      </c>
      <c r="D84" s="801"/>
      <c r="E84" s="801"/>
      <c r="F84" s="801"/>
      <c r="G84" s="801"/>
      <c r="H84" s="801"/>
      <c r="I84"/>
      <c r="J84"/>
      <c r="K84"/>
      <c r="L84"/>
    </row>
    <row r="85" spans="1:12" s="1" customFormat="1" ht="15">
      <c r="A85" s="1" t="s">
        <v>20</v>
      </c>
      <c r="C85" s="806" t="s">
        <v>82</v>
      </c>
      <c r="D85" s="806"/>
      <c r="E85" s="806"/>
      <c r="F85" s="806"/>
      <c r="G85" s="806"/>
      <c r="H85" s="806"/>
      <c r="I85"/>
      <c r="J85"/>
      <c r="K85"/>
      <c r="L85"/>
    </row>
    <row r="86" spans="1:12" s="1" customFormat="1" ht="36.75">
      <c r="A86" s="803" t="s">
        <v>7</v>
      </c>
      <c r="B86" s="803" t="s">
        <v>8</v>
      </c>
      <c r="C86" s="803" t="s">
        <v>9</v>
      </c>
      <c r="D86" s="803" t="s">
        <v>936</v>
      </c>
      <c r="E86" s="803" t="s">
        <v>10</v>
      </c>
      <c r="F86" s="4" t="s">
        <v>11</v>
      </c>
      <c r="G86" s="4" t="s">
        <v>12</v>
      </c>
      <c r="H86" s="803" t="s">
        <v>13</v>
      </c>
      <c r="I86"/>
      <c r="J86"/>
      <c r="K86"/>
      <c r="L86"/>
    </row>
    <row r="87" spans="1:12" s="1" customFormat="1" ht="37.5" customHeight="1">
      <c r="A87" s="803"/>
      <c r="B87" s="803"/>
      <c r="C87" s="803"/>
      <c r="D87" s="803"/>
      <c r="E87" s="803"/>
      <c r="F87" s="5" t="s">
        <v>14</v>
      </c>
      <c r="G87" s="5" t="s">
        <v>15</v>
      </c>
      <c r="H87" s="803"/>
      <c r="I87"/>
      <c r="J87"/>
      <c r="K87"/>
      <c r="L87"/>
    </row>
    <row r="88" spans="1:12" s="1" customFormat="1" ht="15">
      <c r="A88" s="804" t="s">
        <v>16</v>
      </c>
      <c r="B88" s="805"/>
      <c r="C88" s="6">
        <f>SUM(C89:C91)</f>
        <v>0</v>
      </c>
      <c r="D88" s="6">
        <f>SUM(D89:D91)</f>
        <v>0</v>
      </c>
      <c r="E88" s="6">
        <f>SUM(E89:E91)</f>
        <v>45000</v>
      </c>
      <c r="F88" s="6"/>
      <c r="G88" s="6">
        <f>SUM(G89:G91)</f>
        <v>10000</v>
      </c>
      <c r="H88" s="7"/>
      <c r="I88"/>
      <c r="J88"/>
      <c r="K88"/>
      <c r="L88"/>
    </row>
    <row r="89" spans="1:54" s="42" customFormat="1" ht="36.75">
      <c r="A89" s="36" t="s">
        <v>24</v>
      </c>
      <c r="B89" s="38" t="s">
        <v>83</v>
      </c>
      <c r="C89" s="30">
        <v>0</v>
      </c>
      <c r="D89" s="30">
        <v>0</v>
      </c>
      <c r="E89" s="30">
        <f>30000</f>
        <v>30000</v>
      </c>
      <c r="F89" s="31">
        <v>5250</v>
      </c>
      <c r="G89" s="30"/>
      <c r="H89" s="38"/>
      <c r="I89"/>
      <c r="J89"/>
      <c r="K89"/>
      <c r="L89"/>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row>
    <row r="90" spans="1:54" s="42" customFormat="1" ht="15">
      <c r="A90" s="36" t="s">
        <v>26</v>
      </c>
      <c r="B90" s="38" t="s">
        <v>84</v>
      </c>
      <c r="C90" s="30">
        <v>0</v>
      </c>
      <c r="D90" s="30">
        <v>0</v>
      </c>
      <c r="E90" s="30">
        <v>15000</v>
      </c>
      <c r="F90" s="31">
        <v>2244</v>
      </c>
      <c r="G90" s="30">
        <v>10000</v>
      </c>
      <c r="H90" s="38"/>
      <c r="I90"/>
      <c r="J90"/>
      <c r="K90"/>
      <c r="L9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row>
    <row r="91" spans="1:54" s="42" customFormat="1" ht="15">
      <c r="A91" s="36"/>
      <c r="B91" s="37"/>
      <c r="C91" s="30"/>
      <c r="D91" s="30"/>
      <c r="E91" s="30"/>
      <c r="F91" s="31"/>
      <c r="G91" s="30"/>
      <c r="H91" s="38"/>
      <c r="I91"/>
      <c r="J91"/>
      <c r="K91"/>
      <c r="L9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row>
    <row r="92" spans="1:8" ht="15">
      <c r="A92" s="21"/>
      <c r="B92" s="45"/>
      <c r="C92" s="45"/>
      <c r="D92" s="45"/>
      <c r="E92" s="45"/>
      <c r="F92" s="45"/>
      <c r="G92" s="45"/>
      <c r="H92" s="45"/>
    </row>
    <row r="93" spans="1:12" s="1" customFormat="1" ht="15">
      <c r="A93" s="1" t="s">
        <v>19</v>
      </c>
      <c r="C93" s="801" t="s">
        <v>1382</v>
      </c>
      <c r="D93" s="801"/>
      <c r="E93" s="801"/>
      <c r="F93" s="801"/>
      <c r="G93" s="801"/>
      <c r="H93" s="801"/>
      <c r="I93"/>
      <c r="J93"/>
      <c r="K93"/>
      <c r="L93"/>
    </row>
    <row r="94" spans="1:12" s="1" customFormat="1" ht="15">
      <c r="A94" s="1" t="s">
        <v>20</v>
      </c>
      <c r="C94" s="806" t="s">
        <v>6</v>
      </c>
      <c r="D94" s="806"/>
      <c r="E94" s="806"/>
      <c r="F94" s="806"/>
      <c r="G94" s="806"/>
      <c r="H94" s="806"/>
      <c r="I94"/>
      <c r="J94"/>
      <c r="K94"/>
      <c r="L94"/>
    </row>
    <row r="95" spans="1:12" s="1" customFormat="1" ht="36.75">
      <c r="A95" s="803" t="s">
        <v>7</v>
      </c>
      <c r="B95" s="803" t="s">
        <v>8</v>
      </c>
      <c r="C95" s="803" t="s">
        <v>9</v>
      </c>
      <c r="D95" s="803" t="s">
        <v>936</v>
      </c>
      <c r="E95" s="803" t="s">
        <v>10</v>
      </c>
      <c r="F95" s="4" t="s">
        <v>11</v>
      </c>
      <c r="G95" s="4" t="s">
        <v>12</v>
      </c>
      <c r="H95" s="803" t="s">
        <v>13</v>
      </c>
      <c r="I95"/>
      <c r="J95"/>
      <c r="K95"/>
      <c r="L95"/>
    </row>
    <row r="96" spans="1:12" s="1" customFormat="1" ht="37.5" customHeight="1">
      <c r="A96" s="803"/>
      <c r="B96" s="803"/>
      <c r="C96" s="803"/>
      <c r="D96" s="803"/>
      <c r="E96" s="803"/>
      <c r="F96" s="5" t="s">
        <v>14</v>
      </c>
      <c r="G96" s="5" t="s">
        <v>15</v>
      </c>
      <c r="H96" s="803"/>
      <c r="I96"/>
      <c r="J96"/>
      <c r="K96"/>
      <c r="L96"/>
    </row>
    <row r="97" spans="1:12" s="1" customFormat="1" ht="15">
      <c r="A97" s="804" t="s">
        <v>16</v>
      </c>
      <c r="B97" s="805"/>
      <c r="C97" s="6">
        <f>SUM(C98:C106)</f>
        <v>408875</v>
      </c>
      <c r="D97" s="6">
        <f>SUM(D98:D106)</f>
        <v>362124</v>
      </c>
      <c r="E97" s="6">
        <f>SUM(E98:E106)</f>
        <v>424881</v>
      </c>
      <c r="F97" s="6"/>
      <c r="G97" s="6">
        <f>SUM(G98:G106)</f>
        <v>443865</v>
      </c>
      <c r="H97" s="537" t="s">
        <v>1489</v>
      </c>
      <c r="I97"/>
      <c r="J97"/>
      <c r="K97"/>
      <c r="L97"/>
    </row>
    <row r="98" spans="1:54" s="29" customFormat="1" ht="72.75">
      <c r="A98" s="36" t="s">
        <v>24</v>
      </c>
      <c r="B98" s="38" t="s">
        <v>86</v>
      </c>
      <c r="C98" s="30">
        <v>268571</v>
      </c>
      <c r="D98" s="66">
        <v>267079</v>
      </c>
      <c r="E98" s="509">
        <f>300000</f>
        <v>300000</v>
      </c>
      <c r="F98" s="31">
        <v>5240</v>
      </c>
      <c r="G98" s="66">
        <v>300000</v>
      </c>
      <c r="H98" s="193" t="s">
        <v>87</v>
      </c>
      <c r="I98"/>
      <c r="J98"/>
      <c r="K98"/>
      <c r="L98"/>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s="29" customFormat="1" ht="84.75">
      <c r="A99" s="68" t="s">
        <v>26</v>
      </c>
      <c r="B99" s="69" t="s">
        <v>88</v>
      </c>
      <c r="C99" s="70">
        <v>60000</v>
      </c>
      <c r="D99" s="70">
        <v>14223</v>
      </c>
      <c r="E99" s="342">
        <v>54881</v>
      </c>
      <c r="F99" s="71">
        <v>5240</v>
      </c>
      <c r="G99" s="107">
        <v>54881</v>
      </c>
      <c r="H99" s="38" t="s">
        <v>89</v>
      </c>
      <c r="I99"/>
      <c r="J99"/>
      <c r="K99"/>
      <c r="L9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s="73" customFormat="1" ht="15">
      <c r="A100" s="36" t="s">
        <v>24</v>
      </c>
      <c r="B100" s="38" t="s">
        <v>90</v>
      </c>
      <c r="C100" s="30">
        <v>64095</v>
      </c>
      <c r="D100" s="30">
        <v>66574</v>
      </c>
      <c r="E100" s="30">
        <f>50000</f>
        <v>50000</v>
      </c>
      <c r="F100" s="31">
        <v>5250</v>
      </c>
      <c r="G100" s="30">
        <f>4984+60000+20000</f>
        <v>84984</v>
      </c>
      <c r="H100" s="33"/>
      <c r="I100"/>
      <c r="J100"/>
      <c r="K100"/>
      <c r="L100"/>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s="73" customFormat="1" ht="36.75">
      <c r="A101" s="36" t="s">
        <v>26</v>
      </c>
      <c r="B101" s="74" t="s">
        <v>91</v>
      </c>
      <c r="C101" s="30">
        <v>3121</v>
      </c>
      <c r="D101" s="30">
        <v>2456</v>
      </c>
      <c r="E101" s="30">
        <v>15000</v>
      </c>
      <c r="F101" s="31">
        <v>2241</v>
      </c>
      <c r="G101" s="30">
        <v>2500</v>
      </c>
      <c r="H101" s="38" t="s">
        <v>92</v>
      </c>
      <c r="I101"/>
      <c r="J101"/>
      <c r="K101"/>
      <c r="L101"/>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s="29" customFormat="1" ht="36.75">
      <c r="A102" s="68" t="s">
        <v>28</v>
      </c>
      <c r="B102" s="69" t="s">
        <v>93</v>
      </c>
      <c r="C102" s="70">
        <v>0</v>
      </c>
      <c r="D102" s="70">
        <v>0</v>
      </c>
      <c r="E102" s="342">
        <v>5000</v>
      </c>
      <c r="F102" s="71">
        <v>5250</v>
      </c>
      <c r="G102" s="107">
        <v>1500</v>
      </c>
      <c r="H102" s="38" t="s">
        <v>94</v>
      </c>
      <c r="I102"/>
      <c r="J102"/>
      <c r="K102"/>
      <c r="L102"/>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s="29" customFormat="1" ht="24.75">
      <c r="A103" s="68" t="s">
        <v>30</v>
      </c>
      <c r="B103" s="69" t="s">
        <v>95</v>
      </c>
      <c r="C103" s="70">
        <v>610</v>
      </c>
      <c r="D103" s="70">
        <v>610</v>
      </c>
      <c r="E103" s="70">
        <v>0</v>
      </c>
      <c r="F103" s="71">
        <v>2241</v>
      </c>
      <c r="G103" s="72"/>
      <c r="H103" s="38"/>
      <c r="I103"/>
      <c r="J103"/>
      <c r="K103"/>
      <c r="L103"/>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s="29" customFormat="1" ht="24.75">
      <c r="A104" s="68" t="s">
        <v>45</v>
      </c>
      <c r="B104" s="69" t="s">
        <v>96</v>
      </c>
      <c r="C104" s="70">
        <v>610</v>
      </c>
      <c r="D104" s="70">
        <v>610</v>
      </c>
      <c r="E104" s="70">
        <v>0</v>
      </c>
      <c r="F104" s="71">
        <v>5250</v>
      </c>
      <c r="G104" s="72"/>
      <c r="H104" s="38"/>
      <c r="I104"/>
      <c r="J104"/>
      <c r="K104"/>
      <c r="L104"/>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s="29" customFormat="1" ht="15">
      <c r="A105" s="68" t="s">
        <v>47</v>
      </c>
      <c r="B105" s="69" t="s">
        <v>97</v>
      </c>
      <c r="C105" s="70">
        <v>11868</v>
      </c>
      <c r="D105" s="70">
        <v>10572</v>
      </c>
      <c r="E105" s="70">
        <v>0</v>
      </c>
      <c r="F105" s="71">
        <v>5250</v>
      </c>
      <c r="G105" s="72"/>
      <c r="H105" s="38"/>
      <c r="I105"/>
      <c r="J105"/>
      <c r="K105"/>
      <c r="L105"/>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s="42" customFormat="1" ht="15">
      <c r="A106" s="36"/>
      <c r="B106" s="37"/>
      <c r="C106" s="30"/>
      <c r="D106" s="30"/>
      <c r="E106" s="30"/>
      <c r="F106" s="31"/>
      <c r="G106" s="30"/>
      <c r="H106" s="38"/>
      <c r="I106"/>
      <c r="J106"/>
      <c r="K106"/>
      <c r="L106"/>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row>
    <row r="107" spans="1:8" ht="15">
      <c r="A107" s="21"/>
      <c r="B107" s="45"/>
      <c r="C107" s="45"/>
      <c r="D107" s="45"/>
      <c r="E107" s="45"/>
      <c r="F107" s="45"/>
      <c r="G107" s="45"/>
      <c r="H107" s="45"/>
    </row>
    <row r="108" spans="1:12" s="1" customFormat="1" ht="15">
      <c r="A108" s="1" t="s">
        <v>19</v>
      </c>
      <c r="C108" s="801" t="s">
        <v>85</v>
      </c>
      <c r="D108" s="801"/>
      <c r="E108" s="801"/>
      <c r="F108" s="801"/>
      <c r="G108" s="801"/>
      <c r="H108" s="801"/>
      <c r="I108"/>
      <c r="J108"/>
      <c r="K108"/>
      <c r="L108"/>
    </row>
    <row r="109" spans="1:12" s="1" customFormat="1" ht="15">
      <c r="A109" s="1" t="s">
        <v>20</v>
      </c>
      <c r="C109" s="806" t="s">
        <v>98</v>
      </c>
      <c r="D109" s="806"/>
      <c r="E109" s="806"/>
      <c r="F109" s="806"/>
      <c r="G109" s="806"/>
      <c r="H109" s="806"/>
      <c r="I109"/>
      <c r="J109"/>
      <c r="K109"/>
      <c r="L109"/>
    </row>
    <row r="110" spans="1:12" s="1" customFormat="1" ht="36.75">
      <c r="A110" s="803" t="s">
        <v>7</v>
      </c>
      <c r="B110" s="803" t="s">
        <v>8</v>
      </c>
      <c r="C110" s="803" t="s">
        <v>9</v>
      </c>
      <c r="D110" s="803" t="s">
        <v>936</v>
      </c>
      <c r="E110" s="803" t="s">
        <v>10</v>
      </c>
      <c r="F110" s="4" t="s">
        <v>11</v>
      </c>
      <c r="G110" s="4" t="s">
        <v>12</v>
      </c>
      <c r="H110" s="803" t="s">
        <v>13</v>
      </c>
      <c r="I110"/>
      <c r="J110"/>
      <c r="K110"/>
      <c r="L110"/>
    </row>
    <row r="111" spans="1:12" s="1" customFormat="1" ht="37.5" customHeight="1">
      <c r="A111" s="803"/>
      <c r="B111" s="803"/>
      <c r="C111" s="803"/>
      <c r="D111" s="803"/>
      <c r="E111" s="803"/>
      <c r="F111" s="5" t="s">
        <v>14</v>
      </c>
      <c r="G111" s="5" t="s">
        <v>15</v>
      </c>
      <c r="H111" s="803"/>
      <c r="I111"/>
      <c r="J111"/>
      <c r="K111"/>
      <c r="L111"/>
    </row>
    <row r="112" spans="1:12" s="1" customFormat="1" ht="15">
      <c r="A112" s="804" t="s">
        <v>16</v>
      </c>
      <c r="B112" s="805"/>
      <c r="C112" s="6">
        <f>SUM(C113:C120)</f>
        <v>120263</v>
      </c>
      <c r="D112" s="6">
        <f>SUM(D113:D120)</f>
        <v>50386</v>
      </c>
      <c r="E112" s="6">
        <f>SUM(E113:E120)</f>
        <v>84877</v>
      </c>
      <c r="F112" s="6"/>
      <c r="G112" s="6">
        <f>SUM(G113:G120)</f>
        <v>84877</v>
      </c>
      <c r="H112" s="537" t="s">
        <v>1490</v>
      </c>
      <c r="I112"/>
      <c r="J112"/>
      <c r="K112"/>
      <c r="L112"/>
    </row>
    <row r="113" spans="1:54" s="42" customFormat="1" ht="87" customHeight="1">
      <c r="A113" s="792" t="s">
        <v>24</v>
      </c>
      <c r="B113" s="795" t="s">
        <v>99</v>
      </c>
      <c r="C113" s="30">
        <v>94411</v>
      </c>
      <c r="D113" s="30">
        <v>24534</v>
      </c>
      <c r="E113" s="30">
        <v>68612</v>
      </c>
      <c r="F113" s="31">
        <v>5240</v>
      </c>
      <c r="G113" s="30">
        <v>68612</v>
      </c>
      <c r="H113" s="795" t="s">
        <v>100</v>
      </c>
      <c r="I113"/>
      <c r="J113"/>
      <c r="K113"/>
      <c r="L113"/>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row>
    <row r="114" spans="1:54" s="42" customFormat="1" ht="15">
      <c r="A114" s="793"/>
      <c r="B114" s="796"/>
      <c r="C114" s="30">
        <v>1792</v>
      </c>
      <c r="D114" s="30">
        <v>1792</v>
      </c>
      <c r="E114" s="30">
        <v>0</v>
      </c>
      <c r="F114" s="31">
        <v>5239</v>
      </c>
      <c r="G114" s="30"/>
      <c r="H114" s="796"/>
      <c r="I114"/>
      <c r="J114"/>
      <c r="K114"/>
      <c r="L114"/>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row>
    <row r="115" spans="1:54" s="42" customFormat="1" ht="15">
      <c r="A115" s="794"/>
      <c r="B115" s="797"/>
      <c r="C115" s="30">
        <v>4197</v>
      </c>
      <c r="D115" s="30">
        <v>4197</v>
      </c>
      <c r="E115" s="30">
        <v>1265</v>
      </c>
      <c r="F115" s="31">
        <v>2241</v>
      </c>
      <c r="G115" s="30">
        <v>1265</v>
      </c>
      <c r="H115" s="797"/>
      <c r="I115"/>
      <c r="J115"/>
      <c r="K115"/>
      <c r="L115"/>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row>
    <row r="116" spans="1:54" s="42" customFormat="1" ht="60.75">
      <c r="A116" s="36" t="s">
        <v>26</v>
      </c>
      <c r="B116" s="37" t="s">
        <v>101</v>
      </c>
      <c r="C116" s="30">
        <v>0</v>
      </c>
      <c r="D116" s="30">
        <v>0</v>
      </c>
      <c r="E116" s="30">
        <f>10000</f>
        <v>10000</v>
      </c>
      <c r="F116" s="31">
        <v>5239</v>
      </c>
      <c r="G116" s="30">
        <v>10000</v>
      </c>
      <c r="H116" s="37" t="s">
        <v>1430</v>
      </c>
      <c r="I116"/>
      <c r="J116"/>
      <c r="K116"/>
      <c r="L116"/>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row>
    <row r="117" spans="1:54" s="54" customFormat="1" ht="24.75">
      <c r="A117" s="36" t="s">
        <v>28</v>
      </c>
      <c r="B117" s="75" t="s">
        <v>102</v>
      </c>
      <c r="C117" s="76">
        <v>11000</v>
      </c>
      <c r="D117" s="76">
        <v>11000</v>
      </c>
      <c r="E117" s="76">
        <v>5000</v>
      </c>
      <c r="F117" s="31">
        <v>2244</v>
      </c>
      <c r="G117" s="30">
        <v>5000</v>
      </c>
      <c r="H117" s="37" t="s">
        <v>103</v>
      </c>
      <c r="I117"/>
      <c r="J117"/>
      <c r="K117"/>
      <c r="L117"/>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row>
    <row r="118" spans="1:54" s="54" customFormat="1" ht="24.75">
      <c r="A118" s="36" t="s">
        <v>30</v>
      </c>
      <c r="B118" s="75" t="s">
        <v>104</v>
      </c>
      <c r="C118" s="76">
        <v>7363</v>
      </c>
      <c r="D118" s="76">
        <v>7363</v>
      </c>
      <c r="E118" s="76">
        <v>0</v>
      </c>
      <c r="F118" s="31">
        <v>5250</v>
      </c>
      <c r="G118" s="30"/>
      <c r="H118" s="37"/>
      <c r="I118"/>
      <c r="J118"/>
      <c r="K118"/>
      <c r="L118"/>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row>
    <row r="119" spans="1:54" s="54" customFormat="1" ht="24.75">
      <c r="A119" s="36" t="s">
        <v>45</v>
      </c>
      <c r="B119" s="75" t="s">
        <v>105</v>
      </c>
      <c r="C119" s="76">
        <v>1500</v>
      </c>
      <c r="D119" s="76">
        <v>1500</v>
      </c>
      <c r="E119" s="76">
        <v>0</v>
      </c>
      <c r="F119" s="31">
        <v>2241</v>
      </c>
      <c r="G119" s="30"/>
      <c r="H119" s="37" t="s">
        <v>106</v>
      </c>
      <c r="I119"/>
      <c r="J119"/>
      <c r="K119"/>
      <c r="L119"/>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row>
    <row r="120" spans="1:54" s="73" customFormat="1" ht="15">
      <c r="A120" s="36"/>
      <c r="B120" s="38"/>
      <c r="C120" s="30"/>
      <c r="D120" s="30"/>
      <c r="E120" s="30"/>
      <c r="F120" s="31"/>
      <c r="G120" s="30"/>
      <c r="H120" s="33"/>
      <c r="I120"/>
      <c r="J120"/>
      <c r="K120"/>
      <c r="L120"/>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8" ht="15">
      <c r="A121" s="21"/>
      <c r="B121" s="45"/>
      <c r="C121" s="45"/>
      <c r="D121" s="45"/>
      <c r="E121" s="45"/>
      <c r="F121" s="45"/>
      <c r="G121" s="45"/>
      <c r="H121" s="45"/>
    </row>
    <row r="122" spans="1:8" ht="15">
      <c r="A122" s="1" t="s">
        <v>19</v>
      </c>
      <c r="B122" s="1"/>
      <c r="C122" s="801" t="s">
        <v>1383</v>
      </c>
      <c r="D122" s="801"/>
      <c r="E122" s="801"/>
      <c r="F122" s="801"/>
      <c r="G122" s="801"/>
      <c r="H122" s="801"/>
    </row>
    <row r="123" spans="1:8" ht="15">
      <c r="A123" s="1" t="s">
        <v>20</v>
      </c>
      <c r="B123" s="1"/>
      <c r="C123" s="802" t="s">
        <v>1112</v>
      </c>
      <c r="D123" s="802"/>
      <c r="E123" s="802"/>
      <c r="F123" s="802"/>
      <c r="G123" s="802"/>
      <c r="H123" s="802"/>
    </row>
    <row r="124" spans="1:8" ht="36.75">
      <c r="A124" s="803" t="s">
        <v>7</v>
      </c>
      <c r="B124" s="803" t="s">
        <v>8</v>
      </c>
      <c r="C124" s="803" t="s">
        <v>9</v>
      </c>
      <c r="D124" s="803" t="s">
        <v>936</v>
      </c>
      <c r="E124" s="803" t="s">
        <v>10</v>
      </c>
      <c r="F124" s="4" t="s">
        <v>11</v>
      </c>
      <c r="G124" s="4" t="s">
        <v>12</v>
      </c>
      <c r="H124" s="803" t="s">
        <v>13</v>
      </c>
    </row>
    <row r="125" spans="1:8" ht="36">
      <c r="A125" s="803"/>
      <c r="B125" s="803"/>
      <c r="C125" s="803"/>
      <c r="D125" s="803"/>
      <c r="E125" s="803"/>
      <c r="F125" s="5" t="s">
        <v>14</v>
      </c>
      <c r="G125" s="5" t="s">
        <v>15</v>
      </c>
      <c r="H125" s="803"/>
    </row>
    <row r="126" spans="1:8" ht="15">
      <c r="A126" s="804" t="s">
        <v>16</v>
      </c>
      <c r="B126" s="805"/>
      <c r="C126" s="6">
        <f>SUM(C127:C128)</f>
        <v>0</v>
      </c>
      <c r="D126" s="6">
        <f>SUM(D127:D128)</f>
        <v>0</v>
      </c>
      <c r="E126" s="6">
        <f>SUM(E127:E128)</f>
        <v>20000</v>
      </c>
      <c r="F126" s="6"/>
      <c r="G126" s="6">
        <f>SUM(G127:G128)</f>
        <v>12000</v>
      </c>
      <c r="H126" s="6"/>
    </row>
    <row r="127" spans="1:8" ht="15">
      <c r="A127" s="36" t="s">
        <v>24</v>
      </c>
      <c r="B127" s="37" t="s">
        <v>1113</v>
      </c>
      <c r="C127" s="30">
        <v>0</v>
      </c>
      <c r="D127" s="30">
        <v>0</v>
      </c>
      <c r="E127" s="30">
        <f>20000</f>
        <v>20000</v>
      </c>
      <c r="F127" s="31">
        <v>5250</v>
      </c>
      <c r="G127" s="30">
        <v>12000</v>
      </c>
      <c r="H127" s="38" t="s">
        <v>1429</v>
      </c>
    </row>
    <row r="128" spans="1:8" ht="15">
      <c r="A128" s="36"/>
      <c r="B128" s="37"/>
      <c r="C128" s="30"/>
      <c r="D128" s="30"/>
      <c r="E128" s="30"/>
      <c r="F128" s="31"/>
      <c r="G128" s="30"/>
      <c r="H128" s="38"/>
    </row>
    <row r="129" spans="1:8" ht="15">
      <c r="A129" s="21"/>
      <c r="B129" s="45"/>
      <c r="C129" s="45"/>
      <c r="D129" s="45"/>
      <c r="E129" s="45"/>
      <c r="F129" s="45"/>
      <c r="G129" s="45"/>
      <c r="H129" s="45"/>
    </row>
    <row r="130" spans="1:8" ht="15">
      <c r="A130" s="21"/>
      <c r="B130" s="45"/>
      <c r="C130" s="45"/>
      <c r="D130" s="45"/>
      <c r="E130" s="45"/>
      <c r="F130" s="45"/>
      <c r="G130" s="45"/>
      <c r="H130" s="45"/>
    </row>
    <row r="131" spans="1:12" s="1" customFormat="1" ht="15">
      <c r="A131" s="1" t="s">
        <v>19</v>
      </c>
      <c r="C131" s="801" t="s">
        <v>1384</v>
      </c>
      <c r="D131" s="801"/>
      <c r="E131" s="801"/>
      <c r="F131" s="801"/>
      <c r="G131" s="801"/>
      <c r="H131" s="801"/>
      <c r="I131"/>
      <c r="J131"/>
      <c r="K131"/>
      <c r="L131"/>
    </row>
    <row r="132" spans="1:12" s="1" customFormat="1" ht="15">
      <c r="A132" s="1" t="s">
        <v>20</v>
      </c>
      <c r="C132" s="806" t="s">
        <v>107</v>
      </c>
      <c r="D132" s="806"/>
      <c r="E132" s="806"/>
      <c r="F132" s="806"/>
      <c r="G132" s="806"/>
      <c r="H132" s="806"/>
      <c r="I132"/>
      <c r="J132"/>
      <c r="K132"/>
      <c r="L132"/>
    </row>
    <row r="133" spans="1:12" s="1" customFormat="1" ht="36.75">
      <c r="A133" s="803" t="s">
        <v>7</v>
      </c>
      <c r="B133" s="803" t="s">
        <v>8</v>
      </c>
      <c r="C133" s="803" t="s">
        <v>9</v>
      </c>
      <c r="D133" s="803" t="s">
        <v>936</v>
      </c>
      <c r="E133" s="803" t="s">
        <v>10</v>
      </c>
      <c r="F133" s="4" t="s">
        <v>11</v>
      </c>
      <c r="G133" s="4" t="s">
        <v>12</v>
      </c>
      <c r="H133" s="803" t="s">
        <v>13</v>
      </c>
      <c r="I133"/>
      <c r="J133"/>
      <c r="K133"/>
      <c r="L133"/>
    </row>
    <row r="134" spans="1:12" s="1" customFormat="1" ht="37.5" customHeight="1">
      <c r="A134" s="803"/>
      <c r="B134" s="803"/>
      <c r="C134" s="803"/>
      <c r="D134" s="803"/>
      <c r="E134" s="803"/>
      <c r="F134" s="5" t="s">
        <v>14</v>
      </c>
      <c r="G134" s="5" t="s">
        <v>15</v>
      </c>
      <c r="H134" s="803"/>
      <c r="I134"/>
      <c r="J134"/>
      <c r="K134"/>
      <c r="L134"/>
    </row>
    <row r="135" spans="1:12" s="1" customFormat="1" ht="15">
      <c r="A135" s="804" t="s">
        <v>16</v>
      </c>
      <c r="B135" s="805"/>
      <c r="C135" s="6">
        <f>SUM(C136:C138)</f>
        <v>4000</v>
      </c>
      <c r="D135" s="6">
        <f>SUM(D136:D138)</f>
        <v>4000</v>
      </c>
      <c r="E135" s="6">
        <f>SUM(E136:E138)</f>
        <v>15000</v>
      </c>
      <c r="F135" s="6"/>
      <c r="G135" s="6">
        <f>SUM(G136:G138)</f>
        <v>15000</v>
      </c>
      <c r="H135" s="537" t="s">
        <v>1491</v>
      </c>
      <c r="I135"/>
      <c r="J135"/>
      <c r="K135"/>
      <c r="L135"/>
    </row>
    <row r="136" spans="1:54" s="54" customFormat="1" ht="64.5" customHeight="1">
      <c r="A136" s="792" t="s">
        <v>24</v>
      </c>
      <c r="B136" s="795" t="s">
        <v>108</v>
      </c>
      <c r="C136" s="77">
        <v>0</v>
      </c>
      <c r="D136" s="78">
        <v>0</v>
      </c>
      <c r="E136" s="510">
        <f>15000</f>
        <v>15000</v>
      </c>
      <c r="F136" s="71">
        <v>5250</v>
      </c>
      <c r="G136" s="79">
        <v>15000</v>
      </c>
      <c r="H136" s="795" t="s">
        <v>109</v>
      </c>
      <c r="I136"/>
      <c r="J136"/>
      <c r="K136"/>
      <c r="L136"/>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row>
    <row r="137" spans="1:54" s="54" customFormat="1" ht="64.5" customHeight="1">
      <c r="A137" s="794"/>
      <c r="B137" s="797"/>
      <c r="C137" s="77">
        <v>4000</v>
      </c>
      <c r="D137" s="78">
        <v>4000</v>
      </c>
      <c r="E137" s="71">
        <v>0</v>
      </c>
      <c r="F137" s="71">
        <v>2241</v>
      </c>
      <c r="G137" s="79"/>
      <c r="H137" s="797"/>
      <c r="I137"/>
      <c r="J137"/>
      <c r="K137"/>
      <c r="L137"/>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row>
    <row r="138" spans="1:54" s="73" customFormat="1" ht="15">
      <c r="A138" s="36"/>
      <c r="B138" s="38"/>
      <c r="C138" s="30"/>
      <c r="D138" s="30"/>
      <c r="E138" s="30"/>
      <c r="F138" s="31"/>
      <c r="G138" s="30"/>
      <c r="H138" s="33"/>
      <c r="I138"/>
      <c r="J138"/>
      <c r="K138"/>
      <c r="L138"/>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s="73" customFormat="1" ht="15">
      <c r="A139" s="61"/>
      <c r="B139" s="65"/>
      <c r="C139" s="63"/>
      <c r="D139" s="63"/>
      <c r="E139" s="63"/>
      <c r="F139" s="64"/>
      <c r="G139" s="63"/>
      <c r="H139" s="80"/>
      <c r="I139"/>
      <c r="J139"/>
      <c r="K139"/>
      <c r="L1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12" s="1" customFormat="1" ht="15">
      <c r="A140" s="1" t="s">
        <v>19</v>
      </c>
      <c r="C140" s="801" t="s">
        <v>1383</v>
      </c>
      <c r="D140" s="801"/>
      <c r="E140" s="801"/>
      <c r="F140" s="801"/>
      <c r="G140" s="801"/>
      <c r="H140" s="801"/>
      <c r="I140"/>
      <c r="J140"/>
      <c r="K140"/>
      <c r="L140"/>
    </row>
    <row r="141" spans="1:12" s="1" customFormat="1" ht="15">
      <c r="A141" s="1" t="s">
        <v>20</v>
      </c>
      <c r="C141" s="806" t="s">
        <v>110</v>
      </c>
      <c r="D141" s="806"/>
      <c r="E141" s="806"/>
      <c r="F141" s="806"/>
      <c r="G141" s="806"/>
      <c r="H141" s="806"/>
      <c r="I141"/>
      <c r="J141"/>
      <c r="K141"/>
      <c r="L141"/>
    </row>
    <row r="142" spans="1:12" s="1" customFormat="1" ht="36.75">
      <c r="A142" s="803" t="s">
        <v>7</v>
      </c>
      <c r="B142" s="803" t="s">
        <v>8</v>
      </c>
      <c r="C142" s="803" t="s">
        <v>9</v>
      </c>
      <c r="D142" s="803" t="s">
        <v>943</v>
      </c>
      <c r="E142" s="803" t="s">
        <v>10</v>
      </c>
      <c r="F142" s="4" t="s">
        <v>11</v>
      </c>
      <c r="G142" s="4" t="s">
        <v>12</v>
      </c>
      <c r="H142" s="803" t="s">
        <v>13</v>
      </c>
      <c r="I142"/>
      <c r="J142"/>
      <c r="K142"/>
      <c r="L142"/>
    </row>
    <row r="143" spans="1:12" s="1" customFormat="1" ht="37.5" customHeight="1">
      <c r="A143" s="803"/>
      <c r="B143" s="803"/>
      <c r="C143" s="803"/>
      <c r="D143" s="803"/>
      <c r="E143" s="803"/>
      <c r="F143" s="5" t="s">
        <v>14</v>
      </c>
      <c r="G143" s="5" t="s">
        <v>15</v>
      </c>
      <c r="H143" s="803"/>
      <c r="I143"/>
      <c r="J143"/>
      <c r="K143"/>
      <c r="L143"/>
    </row>
    <row r="144" spans="1:12" s="1" customFormat="1" ht="15">
      <c r="A144" s="804" t="s">
        <v>16</v>
      </c>
      <c r="B144" s="805"/>
      <c r="C144" s="6">
        <f>SUM(C145:C146)</f>
        <v>10000</v>
      </c>
      <c r="D144" s="6">
        <f>SUM(D145:D146)</f>
        <v>3878</v>
      </c>
      <c r="E144" s="6">
        <f>SUM(E145:E146)</f>
        <v>15509</v>
      </c>
      <c r="F144" s="6"/>
      <c r="G144" s="6">
        <f>SUM(G145:G146)</f>
        <v>15509</v>
      </c>
      <c r="H144" s="537" t="s">
        <v>1492</v>
      </c>
      <c r="I144"/>
      <c r="J144"/>
      <c r="K144"/>
      <c r="L144"/>
    </row>
    <row r="145" spans="1:54" s="54" customFormat="1" ht="84.75">
      <c r="A145" s="36" t="s">
        <v>24</v>
      </c>
      <c r="B145" s="69" t="s">
        <v>111</v>
      </c>
      <c r="C145" s="70">
        <v>10000</v>
      </c>
      <c r="D145" s="70">
        <v>3878</v>
      </c>
      <c r="E145" s="70">
        <f>15509</f>
        <v>15509</v>
      </c>
      <c r="F145" s="31">
        <v>5250</v>
      </c>
      <c r="G145" s="70">
        <v>15509</v>
      </c>
      <c r="H145" s="37" t="s">
        <v>112</v>
      </c>
      <c r="I145"/>
      <c r="J145"/>
      <c r="K145"/>
      <c r="L145"/>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row>
    <row r="146" spans="1:54" s="73" customFormat="1" ht="15">
      <c r="A146" s="36"/>
      <c r="B146" s="38"/>
      <c r="C146" s="30"/>
      <c r="D146" s="30"/>
      <c r="E146" s="30"/>
      <c r="F146" s="31"/>
      <c r="G146" s="30"/>
      <c r="H146" s="33"/>
      <c r="I146"/>
      <c r="J146"/>
      <c r="K146"/>
      <c r="L146"/>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s="73" customFormat="1" ht="15">
      <c r="A147" s="61"/>
      <c r="B147" s="65"/>
      <c r="C147" s="63"/>
      <c r="D147" s="63"/>
      <c r="E147" s="63"/>
      <c r="F147" s="64"/>
      <c r="G147" s="63"/>
      <c r="H147" s="80"/>
      <c r="I147"/>
      <c r="J147"/>
      <c r="K147"/>
      <c r="L147"/>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12" s="1" customFormat="1" ht="15">
      <c r="A148" s="1" t="s">
        <v>19</v>
      </c>
      <c r="C148" s="801" t="s">
        <v>1385</v>
      </c>
      <c r="D148" s="801"/>
      <c r="E148" s="801"/>
      <c r="F148" s="801"/>
      <c r="G148" s="801"/>
      <c r="H148" s="801"/>
      <c r="I148"/>
      <c r="J148"/>
      <c r="K148"/>
      <c r="L148"/>
    </row>
    <row r="149" spans="1:12" s="1" customFormat="1" ht="15">
      <c r="A149" s="1" t="s">
        <v>20</v>
      </c>
      <c r="C149" s="806" t="s">
        <v>113</v>
      </c>
      <c r="D149" s="806"/>
      <c r="E149" s="806"/>
      <c r="F149" s="806"/>
      <c r="G149" s="806"/>
      <c r="H149" s="806"/>
      <c r="I149"/>
      <c r="J149"/>
      <c r="K149"/>
      <c r="L149"/>
    </row>
    <row r="150" spans="1:12" s="1" customFormat="1" ht="36.75">
      <c r="A150" s="803" t="s">
        <v>7</v>
      </c>
      <c r="B150" s="803" t="s">
        <v>8</v>
      </c>
      <c r="C150" s="803" t="s">
        <v>9</v>
      </c>
      <c r="D150" s="803" t="s">
        <v>936</v>
      </c>
      <c r="E150" s="803" t="s">
        <v>10</v>
      </c>
      <c r="F150" s="4" t="s">
        <v>11</v>
      </c>
      <c r="G150" s="4" t="s">
        <v>12</v>
      </c>
      <c r="H150" s="803" t="s">
        <v>13</v>
      </c>
      <c r="I150"/>
      <c r="J150"/>
      <c r="K150"/>
      <c r="L150"/>
    </row>
    <row r="151" spans="1:12" s="1" customFormat="1" ht="37.5" customHeight="1">
      <c r="A151" s="803"/>
      <c r="B151" s="803"/>
      <c r="C151" s="803"/>
      <c r="D151" s="803"/>
      <c r="E151" s="803"/>
      <c r="F151" s="5" t="s">
        <v>14</v>
      </c>
      <c r="G151" s="5" t="s">
        <v>15</v>
      </c>
      <c r="H151" s="803"/>
      <c r="I151"/>
      <c r="J151"/>
      <c r="K151"/>
      <c r="L151"/>
    </row>
    <row r="152" spans="1:12" s="1" customFormat="1" ht="15">
      <c r="A152" s="804" t="s">
        <v>16</v>
      </c>
      <c r="B152" s="805"/>
      <c r="C152" s="6">
        <f>SUM(C153:C161)</f>
        <v>170286</v>
      </c>
      <c r="D152" s="6">
        <f>SUM(D153:D161)</f>
        <v>166078</v>
      </c>
      <c r="E152" s="6">
        <f>SUM(E153:E161)</f>
        <v>480000</v>
      </c>
      <c r="F152" s="6"/>
      <c r="G152" s="6">
        <f>SUM(G153:G161)</f>
        <v>488957</v>
      </c>
      <c r="H152" s="537" t="s">
        <v>1493</v>
      </c>
      <c r="I152"/>
      <c r="J152"/>
      <c r="K152"/>
      <c r="L152"/>
    </row>
    <row r="153" spans="1:54" s="73" customFormat="1" ht="15">
      <c r="A153" s="792" t="s">
        <v>24</v>
      </c>
      <c r="B153" s="795" t="s">
        <v>114</v>
      </c>
      <c r="C153" s="81">
        <v>141241</v>
      </c>
      <c r="D153" s="81">
        <v>137033</v>
      </c>
      <c r="E153" s="81">
        <f>450000</f>
        <v>450000</v>
      </c>
      <c r="F153" s="26">
        <v>5250</v>
      </c>
      <c r="G153" s="81">
        <f>3957+450000</f>
        <v>453957</v>
      </c>
      <c r="H153" s="82"/>
      <c r="I153"/>
      <c r="J153"/>
      <c r="K153"/>
      <c r="L153"/>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s="73" customFormat="1" ht="15">
      <c r="A154" s="793"/>
      <c r="B154" s="796"/>
      <c r="C154" s="83">
        <v>870</v>
      </c>
      <c r="D154" s="83">
        <v>870</v>
      </c>
      <c r="E154" s="81">
        <v>0</v>
      </c>
      <c r="F154" s="84">
        <v>1150</v>
      </c>
      <c r="G154" s="83"/>
      <c r="H154" s="24"/>
      <c r="I154"/>
      <c r="J154"/>
      <c r="K154"/>
      <c r="L154"/>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s="73" customFormat="1" ht="15">
      <c r="A155" s="794"/>
      <c r="B155" s="797"/>
      <c r="C155" s="83">
        <v>176</v>
      </c>
      <c r="D155" s="83">
        <v>176</v>
      </c>
      <c r="E155" s="81">
        <v>0</v>
      </c>
      <c r="F155" s="84">
        <v>1210</v>
      </c>
      <c r="G155" s="83"/>
      <c r="H155" s="85"/>
      <c r="I155"/>
      <c r="J155"/>
      <c r="K155"/>
      <c r="L155"/>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s="73" customFormat="1" ht="48.75">
      <c r="A156" s="792" t="s">
        <v>26</v>
      </c>
      <c r="B156" s="795" t="s">
        <v>115</v>
      </c>
      <c r="C156" s="798">
        <v>27999</v>
      </c>
      <c r="D156" s="798">
        <v>27999</v>
      </c>
      <c r="E156" s="810">
        <f>9000</f>
        <v>9000</v>
      </c>
      <c r="F156" s="813">
        <v>5250</v>
      </c>
      <c r="G156" s="810">
        <f>20000+15000-11656</f>
        <v>23344</v>
      </c>
      <c r="H156" s="37" t="s">
        <v>116</v>
      </c>
      <c r="I156"/>
      <c r="J156"/>
      <c r="K156"/>
      <c r="L156"/>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s="73" customFormat="1" ht="36.75" customHeight="1">
      <c r="A157" s="793"/>
      <c r="B157" s="796"/>
      <c r="C157" s="799"/>
      <c r="D157" s="799"/>
      <c r="E157" s="812"/>
      <c r="F157" s="814"/>
      <c r="G157" s="812"/>
      <c r="H157" s="37" t="s">
        <v>117</v>
      </c>
      <c r="I157"/>
      <c r="J157"/>
      <c r="K157"/>
      <c r="L157"/>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s="73" customFormat="1" ht="60.75">
      <c r="A158" s="793"/>
      <c r="B158" s="796"/>
      <c r="C158" s="799"/>
      <c r="D158" s="799"/>
      <c r="E158" s="811"/>
      <c r="F158" s="815"/>
      <c r="G158" s="811"/>
      <c r="H158" s="37" t="s">
        <v>1428</v>
      </c>
      <c r="I158"/>
      <c r="J158"/>
      <c r="K158"/>
      <c r="L158"/>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s="73" customFormat="1" ht="48.75">
      <c r="A159" s="793"/>
      <c r="B159" s="796"/>
      <c r="C159" s="799"/>
      <c r="D159" s="799"/>
      <c r="E159" s="809">
        <v>21000</v>
      </c>
      <c r="F159" s="786">
        <v>2241</v>
      </c>
      <c r="G159" s="810">
        <v>11656</v>
      </c>
      <c r="H159" s="37" t="s">
        <v>118</v>
      </c>
      <c r="I159"/>
      <c r="J159"/>
      <c r="K159"/>
      <c r="L15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s="73" customFormat="1" ht="24.75">
      <c r="A160" s="794"/>
      <c r="B160" s="797"/>
      <c r="C160" s="800"/>
      <c r="D160" s="800"/>
      <c r="E160" s="809"/>
      <c r="F160" s="788"/>
      <c r="G160" s="811"/>
      <c r="H160" s="37" t="s">
        <v>119</v>
      </c>
      <c r="I160"/>
      <c r="J160"/>
      <c r="K160"/>
      <c r="L160"/>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s="73" customFormat="1" ht="15">
      <c r="A161" s="36"/>
      <c r="B161" s="38"/>
      <c r="C161" s="30"/>
      <c r="D161" s="30"/>
      <c r="E161" s="30"/>
      <c r="F161" s="31"/>
      <c r="G161" s="30"/>
      <c r="H161" s="33"/>
      <c r="I161"/>
      <c r="J161"/>
      <c r="K161"/>
      <c r="L161"/>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s="73" customFormat="1" ht="15">
      <c r="A162" s="61"/>
      <c r="B162" s="65"/>
      <c r="C162" s="63"/>
      <c r="D162" s="63"/>
      <c r="E162" s="63"/>
      <c r="F162" s="64"/>
      <c r="G162" s="63"/>
      <c r="H162" s="80"/>
      <c r="I162"/>
      <c r="J162"/>
      <c r="K162"/>
      <c r="L162"/>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12" s="1" customFormat="1" ht="15">
      <c r="A163" s="1" t="s">
        <v>19</v>
      </c>
      <c r="C163" s="801" t="s">
        <v>1386</v>
      </c>
      <c r="D163" s="801"/>
      <c r="E163" s="801"/>
      <c r="F163" s="801"/>
      <c r="G163" s="801"/>
      <c r="H163" s="801"/>
      <c r="I163"/>
      <c r="J163"/>
      <c r="K163"/>
      <c r="L163"/>
    </row>
    <row r="164" spans="1:12" s="1" customFormat="1" ht="15">
      <c r="A164" s="1" t="s">
        <v>20</v>
      </c>
      <c r="C164" s="806" t="s">
        <v>120</v>
      </c>
      <c r="D164" s="806"/>
      <c r="E164" s="806"/>
      <c r="F164" s="806"/>
      <c r="G164" s="806"/>
      <c r="H164" s="806"/>
      <c r="I164"/>
      <c r="J164"/>
      <c r="K164"/>
      <c r="L164"/>
    </row>
    <row r="165" spans="1:12" s="1" customFormat="1" ht="36.75">
      <c r="A165" s="803" t="s">
        <v>7</v>
      </c>
      <c r="B165" s="803" t="s">
        <v>8</v>
      </c>
      <c r="C165" s="803" t="s">
        <v>9</v>
      </c>
      <c r="D165" s="803" t="s">
        <v>936</v>
      </c>
      <c r="E165" s="803" t="s">
        <v>10</v>
      </c>
      <c r="F165" s="4" t="s">
        <v>11</v>
      </c>
      <c r="G165" s="4" t="s">
        <v>12</v>
      </c>
      <c r="H165" s="803" t="s">
        <v>13</v>
      </c>
      <c r="I165"/>
      <c r="J165"/>
      <c r="K165"/>
      <c r="L165"/>
    </row>
    <row r="166" spans="1:12" s="1" customFormat="1" ht="37.5" customHeight="1">
      <c r="A166" s="803"/>
      <c r="B166" s="803"/>
      <c r="C166" s="803"/>
      <c r="D166" s="803"/>
      <c r="E166" s="803"/>
      <c r="F166" s="5" t="s">
        <v>14</v>
      </c>
      <c r="G166" s="5" t="s">
        <v>15</v>
      </c>
      <c r="H166" s="803"/>
      <c r="I166"/>
      <c r="J166"/>
      <c r="K166"/>
      <c r="L166"/>
    </row>
    <row r="167" spans="1:12" s="1" customFormat="1" ht="15">
      <c r="A167" s="804" t="s">
        <v>16</v>
      </c>
      <c r="B167" s="805"/>
      <c r="C167" s="6">
        <f>SUM(C168:C171)</f>
        <v>18098</v>
      </c>
      <c r="D167" s="6">
        <f>SUM(D168:D171)</f>
        <v>14712</v>
      </c>
      <c r="E167" s="6">
        <f>SUM(E168:E171)</f>
        <v>2056385</v>
      </c>
      <c r="F167" s="6"/>
      <c r="G167" s="6">
        <f>SUM(G168:G171)</f>
        <v>53385</v>
      </c>
      <c r="H167" s="537" t="s">
        <v>1494</v>
      </c>
      <c r="I167"/>
      <c r="J167"/>
      <c r="K167"/>
      <c r="L167"/>
    </row>
    <row r="168" spans="1:54" s="29" customFormat="1" ht="24.75">
      <c r="A168" s="36" t="s">
        <v>24</v>
      </c>
      <c r="B168" s="37" t="s">
        <v>121</v>
      </c>
      <c r="C168" s="30">
        <v>0</v>
      </c>
      <c r="D168" s="30">
        <v>0</v>
      </c>
      <c r="E168" s="30">
        <f>2000000</f>
        <v>2000000</v>
      </c>
      <c r="F168" s="86">
        <v>5250</v>
      </c>
      <c r="G168" s="30"/>
      <c r="H168" s="37"/>
      <c r="I168"/>
      <c r="J168"/>
      <c r="K168"/>
      <c r="L168"/>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s="73" customFormat="1" ht="108.75">
      <c r="A169" s="36" t="s">
        <v>26</v>
      </c>
      <c r="B169" s="38" t="s">
        <v>122</v>
      </c>
      <c r="C169" s="67">
        <v>18098</v>
      </c>
      <c r="D169" s="87">
        <v>14712</v>
      </c>
      <c r="E169" s="86">
        <f>53385</f>
        <v>53385</v>
      </c>
      <c r="F169" s="86">
        <v>5250</v>
      </c>
      <c r="G169" s="20">
        <f>3385+50000</f>
        <v>53385</v>
      </c>
      <c r="H169" s="37" t="s">
        <v>123</v>
      </c>
      <c r="I169"/>
      <c r="J169"/>
      <c r="K169"/>
      <c r="L16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s="73" customFormat="1" ht="24.75">
      <c r="A170" s="36" t="s">
        <v>28</v>
      </c>
      <c r="B170" s="37" t="s">
        <v>124</v>
      </c>
      <c r="C170" s="30">
        <v>0</v>
      </c>
      <c r="D170" s="30">
        <v>0</v>
      </c>
      <c r="E170" s="30">
        <v>3000</v>
      </c>
      <c r="F170" s="86">
        <v>2244</v>
      </c>
      <c r="G170" s="30"/>
      <c r="H170" s="37"/>
      <c r="I170"/>
      <c r="J170"/>
      <c r="K170"/>
      <c r="L170"/>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s="73" customFormat="1" ht="15">
      <c r="A171" s="36"/>
      <c r="B171" s="38"/>
      <c r="C171" s="30"/>
      <c r="D171" s="30"/>
      <c r="E171" s="30"/>
      <c r="F171" s="31"/>
      <c r="G171" s="30"/>
      <c r="H171" s="33"/>
      <c r="I171"/>
      <c r="J171"/>
      <c r="K171"/>
      <c r="L171"/>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s="73" customFormat="1" ht="15">
      <c r="A172" s="61"/>
      <c r="B172" s="65"/>
      <c r="C172" s="63"/>
      <c r="D172" s="63"/>
      <c r="E172" s="63"/>
      <c r="F172" s="64"/>
      <c r="G172" s="63"/>
      <c r="H172" s="80"/>
      <c r="I172"/>
      <c r="J172"/>
      <c r="K172"/>
      <c r="L172"/>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12" s="1" customFormat="1" ht="15">
      <c r="A173" s="1" t="s">
        <v>19</v>
      </c>
      <c r="C173" s="801" t="s">
        <v>1387</v>
      </c>
      <c r="D173" s="801"/>
      <c r="E173" s="801"/>
      <c r="F173" s="801"/>
      <c r="G173" s="801"/>
      <c r="H173" s="801"/>
      <c r="I173"/>
      <c r="J173"/>
      <c r="K173"/>
      <c r="L173"/>
    </row>
    <row r="174" spans="1:12" s="1" customFormat="1" ht="15">
      <c r="A174" s="1" t="s">
        <v>20</v>
      </c>
      <c r="C174" s="806" t="s">
        <v>125</v>
      </c>
      <c r="D174" s="806"/>
      <c r="E174" s="806"/>
      <c r="F174" s="806"/>
      <c r="G174" s="806"/>
      <c r="H174" s="806"/>
      <c r="I174"/>
      <c r="J174"/>
      <c r="K174"/>
      <c r="L174"/>
    </row>
    <row r="175" spans="1:12" s="1" customFormat="1" ht="36.75">
      <c r="A175" s="803" t="s">
        <v>7</v>
      </c>
      <c r="B175" s="803" t="s">
        <v>8</v>
      </c>
      <c r="C175" s="803" t="s">
        <v>9</v>
      </c>
      <c r="D175" s="803" t="s">
        <v>936</v>
      </c>
      <c r="E175" s="803" t="s">
        <v>10</v>
      </c>
      <c r="F175" s="4" t="s">
        <v>11</v>
      </c>
      <c r="G175" s="4" t="s">
        <v>12</v>
      </c>
      <c r="H175" s="803" t="s">
        <v>13</v>
      </c>
      <c r="I175"/>
      <c r="J175"/>
      <c r="K175"/>
      <c r="L175"/>
    </row>
    <row r="176" spans="1:12" s="1" customFormat="1" ht="37.5" customHeight="1">
      <c r="A176" s="803"/>
      <c r="B176" s="803"/>
      <c r="C176" s="803"/>
      <c r="D176" s="803"/>
      <c r="E176" s="803"/>
      <c r="F176" s="5" t="s">
        <v>14</v>
      </c>
      <c r="G176" s="5" t="s">
        <v>15</v>
      </c>
      <c r="H176" s="803"/>
      <c r="I176"/>
      <c r="J176"/>
      <c r="K176"/>
      <c r="L176"/>
    </row>
    <row r="177" spans="1:12" s="1" customFormat="1" ht="15">
      <c r="A177" s="804" t="s">
        <v>16</v>
      </c>
      <c r="B177" s="805"/>
      <c r="C177" s="6">
        <f>SUM(C178:C183)</f>
        <v>216260</v>
      </c>
      <c r="D177" s="6">
        <f>SUM(D178:D183)</f>
        <v>216259</v>
      </c>
      <c r="E177" s="6">
        <f>SUM(E178:E183)</f>
        <v>2369000</v>
      </c>
      <c r="F177" s="6"/>
      <c r="G177" s="6">
        <f>SUM(G178:G183)</f>
        <v>400000</v>
      </c>
      <c r="H177" s="537" t="s">
        <v>1495</v>
      </c>
      <c r="I177"/>
      <c r="J177"/>
      <c r="K177"/>
      <c r="L177"/>
    </row>
    <row r="178" spans="1:54" s="29" customFormat="1" ht="24.75">
      <c r="A178" s="36" t="s">
        <v>24</v>
      </c>
      <c r="B178" s="37" t="s">
        <v>126</v>
      </c>
      <c r="C178" s="30">
        <v>0</v>
      </c>
      <c r="D178" s="30">
        <v>0</v>
      </c>
      <c r="E178" s="30">
        <f>2300000</f>
        <v>2300000</v>
      </c>
      <c r="F178" s="31">
        <v>5240</v>
      </c>
      <c r="G178" s="30">
        <v>400000</v>
      </c>
      <c r="H178" s="37"/>
      <c r="I178"/>
      <c r="J178"/>
      <c r="K178"/>
      <c r="L178"/>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s="73" customFormat="1" ht="15">
      <c r="A179" s="89" t="s">
        <v>28</v>
      </c>
      <c r="B179" s="37" t="s">
        <v>127</v>
      </c>
      <c r="C179" s="76">
        <v>12408</v>
      </c>
      <c r="D179" s="76">
        <v>12407</v>
      </c>
      <c r="E179" s="76">
        <v>0</v>
      </c>
      <c r="F179" s="31">
        <v>5250</v>
      </c>
      <c r="G179" s="30"/>
      <c r="H179" s="38"/>
      <c r="I179"/>
      <c r="J179"/>
      <c r="K179"/>
      <c r="L17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s="73" customFormat="1" ht="15">
      <c r="A180" s="89" t="s">
        <v>30</v>
      </c>
      <c r="B180" s="37" t="s">
        <v>128</v>
      </c>
      <c r="C180" s="76">
        <v>151687</v>
      </c>
      <c r="D180" s="76">
        <v>151687</v>
      </c>
      <c r="E180" s="76">
        <v>0</v>
      </c>
      <c r="F180" s="31">
        <v>5240</v>
      </c>
      <c r="G180" s="30"/>
      <c r="H180" s="38"/>
      <c r="I180"/>
      <c r="J180"/>
      <c r="K180"/>
      <c r="L180"/>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s="73" customFormat="1" ht="15">
      <c r="A181" s="89" t="s">
        <v>45</v>
      </c>
      <c r="B181" s="37" t="s">
        <v>129</v>
      </c>
      <c r="C181" s="76">
        <v>20437</v>
      </c>
      <c r="D181" s="76">
        <v>20437</v>
      </c>
      <c r="E181" s="76">
        <v>0</v>
      </c>
      <c r="F181" s="31">
        <v>5240</v>
      </c>
      <c r="G181" s="30"/>
      <c r="H181" s="38"/>
      <c r="I181"/>
      <c r="J181"/>
      <c r="K181"/>
      <c r="L181"/>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s="73" customFormat="1" ht="48.75">
      <c r="A182" s="89" t="s">
        <v>47</v>
      </c>
      <c r="B182" s="37" t="s">
        <v>130</v>
      </c>
      <c r="C182" s="76">
        <v>30760</v>
      </c>
      <c r="D182" s="76">
        <v>30760</v>
      </c>
      <c r="E182" s="76">
        <f>69000</f>
        <v>69000</v>
      </c>
      <c r="F182" s="31">
        <v>5250</v>
      </c>
      <c r="G182" s="30"/>
      <c r="H182" s="38" t="s">
        <v>131</v>
      </c>
      <c r="I182"/>
      <c r="J182"/>
      <c r="K182"/>
      <c r="L182"/>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s="73" customFormat="1" ht="15">
      <c r="A183" s="36" t="s">
        <v>51</v>
      </c>
      <c r="B183" s="38" t="s">
        <v>1111</v>
      </c>
      <c r="C183" s="30">
        <v>968</v>
      </c>
      <c r="D183" s="30">
        <v>968</v>
      </c>
      <c r="E183" s="30">
        <v>0</v>
      </c>
      <c r="F183" s="31">
        <v>5250</v>
      </c>
      <c r="G183" s="30"/>
      <c r="H183" s="33"/>
      <c r="I183"/>
      <c r="J183"/>
      <c r="K183"/>
      <c r="L183"/>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s="73" customFormat="1" ht="15">
      <c r="A184" s="61"/>
      <c r="B184" s="65"/>
      <c r="C184" s="63"/>
      <c r="D184" s="63"/>
      <c r="E184" s="63"/>
      <c r="F184" s="64"/>
      <c r="G184" s="63"/>
      <c r="H184" s="80"/>
      <c r="I184"/>
      <c r="J184"/>
      <c r="K184"/>
      <c r="L184"/>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12" s="1" customFormat="1" ht="15">
      <c r="A185" s="1" t="s">
        <v>19</v>
      </c>
      <c r="C185" s="801" t="s">
        <v>1388</v>
      </c>
      <c r="D185" s="801"/>
      <c r="E185" s="801"/>
      <c r="F185" s="801"/>
      <c r="G185" s="801"/>
      <c r="H185" s="801"/>
      <c r="I185"/>
      <c r="J185"/>
      <c r="K185"/>
      <c r="L185"/>
    </row>
    <row r="186" spans="1:12" s="1" customFormat="1" ht="15">
      <c r="A186" s="1" t="s">
        <v>20</v>
      </c>
      <c r="C186" s="806" t="s">
        <v>132</v>
      </c>
      <c r="D186" s="806"/>
      <c r="E186" s="806"/>
      <c r="F186" s="806"/>
      <c r="G186" s="806"/>
      <c r="H186" s="806"/>
      <c r="I186"/>
      <c r="J186"/>
      <c r="K186"/>
      <c r="L186"/>
    </row>
    <row r="187" spans="1:12" s="1" customFormat="1" ht="36.75">
      <c r="A187" s="803" t="s">
        <v>7</v>
      </c>
      <c r="B187" s="803" t="s">
        <v>8</v>
      </c>
      <c r="C187" s="803" t="s">
        <v>9</v>
      </c>
      <c r="D187" s="803" t="s">
        <v>936</v>
      </c>
      <c r="E187" s="803" t="s">
        <v>10</v>
      </c>
      <c r="F187" s="4" t="s">
        <v>11</v>
      </c>
      <c r="G187" s="4" t="s">
        <v>12</v>
      </c>
      <c r="H187" s="803" t="s">
        <v>13</v>
      </c>
      <c r="I187"/>
      <c r="J187"/>
      <c r="K187"/>
      <c r="L187"/>
    </row>
    <row r="188" spans="1:12" s="1" customFormat="1" ht="37.5" customHeight="1">
      <c r="A188" s="803"/>
      <c r="B188" s="803"/>
      <c r="C188" s="803"/>
      <c r="D188" s="803"/>
      <c r="E188" s="803"/>
      <c r="F188" s="5" t="s">
        <v>14</v>
      </c>
      <c r="G188" s="5" t="s">
        <v>15</v>
      </c>
      <c r="H188" s="803"/>
      <c r="I188"/>
      <c r="J188"/>
      <c r="K188"/>
      <c r="L188"/>
    </row>
    <row r="189" spans="1:12" s="1" customFormat="1" ht="15">
      <c r="A189" s="804" t="s">
        <v>16</v>
      </c>
      <c r="B189" s="805"/>
      <c r="C189" s="6">
        <f>SUM(C190:C203)</f>
        <v>720703</v>
      </c>
      <c r="D189" s="6">
        <f>SUM(D190:D203)</f>
        <v>720692</v>
      </c>
      <c r="E189" s="6">
        <f>SUM(E190:E203)</f>
        <v>6369592</v>
      </c>
      <c r="F189" s="6"/>
      <c r="G189" s="6">
        <f>SUM(G190:G203)</f>
        <v>1407800</v>
      </c>
      <c r="H189" s="537" t="s">
        <v>1496</v>
      </c>
      <c r="I189"/>
      <c r="J189"/>
      <c r="K189"/>
      <c r="L189"/>
    </row>
    <row r="190" spans="1:54" s="42" customFormat="1" ht="48.75">
      <c r="A190" s="36" t="s">
        <v>24</v>
      </c>
      <c r="B190" s="37" t="s">
        <v>142</v>
      </c>
      <c r="C190" s="30">
        <v>0</v>
      </c>
      <c r="D190" s="30">
        <v>0</v>
      </c>
      <c r="E190" s="30">
        <f>138592</f>
        <v>138592</v>
      </c>
      <c r="F190" s="31">
        <v>5250</v>
      </c>
      <c r="G190" s="30">
        <v>25000</v>
      </c>
      <c r="H190" s="38" t="s">
        <v>133</v>
      </c>
      <c r="I190"/>
      <c r="J190"/>
      <c r="K190"/>
      <c r="L190"/>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row>
    <row r="191" spans="1:54" s="54" customFormat="1" ht="36.75" customHeight="1">
      <c r="A191" s="36" t="s">
        <v>26</v>
      </c>
      <c r="B191" s="38" t="s">
        <v>134</v>
      </c>
      <c r="C191" s="30">
        <v>400000</v>
      </c>
      <c r="D191" s="30">
        <v>400000</v>
      </c>
      <c r="E191" s="30">
        <f>570000</f>
        <v>570000</v>
      </c>
      <c r="F191" s="31">
        <v>5250</v>
      </c>
      <c r="G191" s="30">
        <v>570000</v>
      </c>
      <c r="H191" s="38" t="s">
        <v>135</v>
      </c>
      <c r="I191"/>
      <c r="J191"/>
      <c r="K191"/>
      <c r="L19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row>
    <row r="192" spans="1:54" s="42" customFormat="1" ht="72.75">
      <c r="A192" s="36" t="s">
        <v>28</v>
      </c>
      <c r="B192" s="37" t="s">
        <v>136</v>
      </c>
      <c r="C192" s="30">
        <v>0</v>
      </c>
      <c r="D192" s="30">
        <v>0</v>
      </c>
      <c r="E192" s="30">
        <f>1920000</f>
        <v>1920000</v>
      </c>
      <c r="F192" s="31">
        <v>5250</v>
      </c>
      <c r="G192" s="30">
        <v>35000</v>
      </c>
      <c r="H192" s="38" t="s">
        <v>1431</v>
      </c>
      <c r="I192"/>
      <c r="J192"/>
      <c r="K192"/>
      <c r="L192"/>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row>
    <row r="193" spans="1:54" s="42" customFormat="1" ht="72.75">
      <c r="A193" s="88" t="s">
        <v>30</v>
      </c>
      <c r="B193" s="37" t="s">
        <v>137</v>
      </c>
      <c r="C193" s="90">
        <v>0</v>
      </c>
      <c r="D193" s="30">
        <v>0</v>
      </c>
      <c r="E193" s="30">
        <f>3310000</f>
        <v>3310000</v>
      </c>
      <c r="F193" s="31">
        <v>5250</v>
      </c>
      <c r="G193" s="30">
        <f>10000+600000</f>
        <v>610000</v>
      </c>
      <c r="H193" s="38" t="s">
        <v>1434</v>
      </c>
      <c r="I193"/>
      <c r="J193"/>
      <c r="K193"/>
      <c r="L193"/>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row>
    <row r="194" spans="1:54" s="73" customFormat="1" ht="15">
      <c r="A194" s="792" t="s">
        <v>45</v>
      </c>
      <c r="B194" s="808" t="s">
        <v>138</v>
      </c>
      <c r="C194" s="809">
        <v>0</v>
      </c>
      <c r="D194" s="809">
        <v>0</v>
      </c>
      <c r="E194" s="809">
        <f>431000</f>
        <v>431000</v>
      </c>
      <c r="F194" s="786">
        <v>5250</v>
      </c>
      <c r="G194" s="81"/>
      <c r="H194" s="27" t="s">
        <v>139</v>
      </c>
      <c r="I194"/>
      <c r="J194"/>
      <c r="K194"/>
      <c r="L194"/>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s="73" customFormat="1" ht="24">
      <c r="A195" s="793"/>
      <c r="B195" s="808"/>
      <c r="C195" s="809"/>
      <c r="D195" s="809"/>
      <c r="E195" s="809"/>
      <c r="F195" s="787"/>
      <c r="G195" s="81"/>
      <c r="H195" s="27" t="s">
        <v>140</v>
      </c>
      <c r="I195"/>
      <c r="J195"/>
      <c r="K195"/>
      <c r="L195"/>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s="73" customFormat="1" ht="24">
      <c r="A196" s="794"/>
      <c r="B196" s="808"/>
      <c r="C196" s="809"/>
      <c r="D196" s="809"/>
      <c r="E196" s="809"/>
      <c r="F196" s="788"/>
      <c r="G196" s="81"/>
      <c r="H196" s="27" t="s">
        <v>141</v>
      </c>
      <c r="I196"/>
      <c r="J196"/>
      <c r="K196"/>
      <c r="L196"/>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s="94" customFormat="1" ht="15">
      <c r="A197" s="89" t="s">
        <v>47</v>
      </c>
      <c r="B197" s="37" t="s">
        <v>142</v>
      </c>
      <c r="C197" s="30">
        <v>100484</v>
      </c>
      <c r="D197" s="30">
        <v>100473</v>
      </c>
      <c r="E197" s="30">
        <v>0</v>
      </c>
      <c r="F197" s="92">
        <v>5250</v>
      </c>
      <c r="G197" s="30"/>
      <c r="H197" s="38"/>
      <c r="I197"/>
      <c r="J197"/>
      <c r="K197"/>
      <c r="L197"/>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row>
    <row r="198" spans="1:54" s="94" customFormat="1" ht="24.75">
      <c r="A198" s="89" t="s">
        <v>51</v>
      </c>
      <c r="B198" s="37" t="s">
        <v>143</v>
      </c>
      <c r="C198" s="30">
        <v>208943</v>
      </c>
      <c r="D198" s="30">
        <v>208943</v>
      </c>
      <c r="E198" s="30">
        <v>0</v>
      </c>
      <c r="F198" s="92">
        <v>5250</v>
      </c>
      <c r="G198" s="30">
        <v>16000</v>
      </c>
      <c r="H198" s="38" t="s">
        <v>1433</v>
      </c>
      <c r="I198"/>
      <c r="J198"/>
      <c r="K198"/>
      <c r="L198"/>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row>
    <row r="199" spans="1:54" s="94" customFormat="1" ht="15">
      <c r="A199" s="89" t="s">
        <v>53</v>
      </c>
      <c r="B199" s="37" t="s">
        <v>144</v>
      </c>
      <c r="C199" s="30">
        <v>8618</v>
      </c>
      <c r="D199" s="30">
        <v>8618</v>
      </c>
      <c r="E199" s="30">
        <v>0</v>
      </c>
      <c r="F199" s="92">
        <v>5250</v>
      </c>
      <c r="G199" s="30"/>
      <c r="H199" s="38"/>
      <c r="I199"/>
      <c r="J199"/>
      <c r="K199"/>
      <c r="L199"/>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row>
    <row r="200" spans="1:54" s="94" customFormat="1" ht="15">
      <c r="A200" s="89" t="s">
        <v>55</v>
      </c>
      <c r="B200" s="37" t="s">
        <v>1435</v>
      </c>
      <c r="C200" s="30">
        <v>0</v>
      </c>
      <c r="D200" s="30">
        <v>0</v>
      </c>
      <c r="E200" s="30">
        <v>0</v>
      </c>
      <c r="F200" s="92">
        <v>5250</v>
      </c>
      <c r="G200" s="30">
        <v>150000</v>
      </c>
      <c r="H200" s="38" t="s">
        <v>1433</v>
      </c>
      <c r="I200"/>
      <c r="J200"/>
      <c r="K200"/>
      <c r="L200"/>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row>
    <row r="201" spans="1:54" s="94" customFormat="1" ht="15">
      <c r="A201" s="89" t="s">
        <v>58</v>
      </c>
      <c r="B201" s="37" t="s">
        <v>145</v>
      </c>
      <c r="C201" s="30">
        <v>793</v>
      </c>
      <c r="D201" s="30">
        <v>793</v>
      </c>
      <c r="E201" s="30">
        <v>0</v>
      </c>
      <c r="F201" s="92">
        <v>5250</v>
      </c>
      <c r="G201" s="30"/>
      <c r="H201" s="38"/>
      <c r="I201"/>
      <c r="J201"/>
      <c r="K201"/>
      <c r="L201"/>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row>
    <row r="202" spans="1:54" s="94" customFormat="1" ht="15">
      <c r="A202" s="89" t="s">
        <v>60</v>
      </c>
      <c r="B202" s="37" t="s">
        <v>146</v>
      </c>
      <c r="C202" s="30">
        <v>1865</v>
      </c>
      <c r="D202" s="30">
        <v>1865</v>
      </c>
      <c r="E202" s="30">
        <v>0</v>
      </c>
      <c r="F202" s="92">
        <v>2241</v>
      </c>
      <c r="G202" s="30">
        <v>1800</v>
      </c>
      <c r="H202" s="38"/>
      <c r="I202"/>
      <c r="J202"/>
      <c r="K202"/>
      <c r="L202"/>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row>
    <row r="203" spans="1:54" s="73" customFormat="1" ht="15">
      <c r="A203" s="36"/>
      <c r="B203" s="38"/>
      <c r="C203" s="30"/>
      <c r="D203" s="30"/>
      <c r="E203" s="30"/>
      <c r="F203" s="31"/>
      <c r="G203" s="30"/>
      <c r="H203" s="33"/>
      <c r="I203"/>
      <c r="J203"/>
      <c r="K203"/>
      <c r="L203"/>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s="73" customFormat="1" ht="15">
      <c r="A204" s="61"/>
      <c r="B204" s="65"/>
      <c r="C204" s="63"/>
      <c r="D204" s="63"/>
      <c r="E204" s="63"/>
      <c r="F204" s="64"/>
      <c r="G204" s="63"/>
      <c r="H204" s="80"/>
      <c r="I204"/>
      <c r="J204"/>
      <c r="K204"/>
      <c r="L204"/>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12" s="1" customFormat="1" ht="15">
      <c r="A205" s="1" t="s">
        <v>19</v>
      </c>
      <c r="C205" s="801" t="s">
        <v>1389</v>
      </c>
      <c r="D205" s="801"/>
      <c r="E205" s="801"/>
      <c r="F205" s="801"/>
      <c r="G205" s="801"/>
      <c r="H205" s="801"/>
      <c r="I205"/>
      <c r="J205"/>
      <c r="K205"/>
      <c r="L205"/>
    </row>
    <row r="206" spans="1:12" s="1" customFormat="1" ht="15">
      <c r="A206" s="1" t="s">
        <v>20</v>
      </c>
      <c r="C206" s="806" t="s">
        <v>147</v>
      </c>
      <c r="D206" s="806"/>
      <c r="E206" s="806"/>
      <c r="F206" s="806"/>
      <c r="G206" s="806"/>
      <c r="H206" s="806"/>
      <c r="I206"/>
      <c r="J206"/>
      <c r="K206"/>
      <c r="L206"/>
    </row>
    <row r="207" spans="1:12" s="1" customFormat="1" ht="36.75">
      <c r="A207" s="803" t="s">
        <v>7</v>
      </c>
      <c r="B207" s="803" t="s">
        <v>8</v>
      </c>
      <c r="C207" s="803" t="s">
        <v>9</v>
      </c>
      <c r="D207" s="803" t="s">
        <v>936</v>
      </c>
      <c r="E207" s="803" t="s">
        <v>10</v>
      </c>
      <c r="F207" s="4" t="s">
        <v>11</v>
      </c>
      <c r="G207" s="4" t="s">
        <v>12</v>
      </c>
      <c r="H207" s="803" t="s">
        <v>13</v>
      </c>
      <c r="I207"/>
      <c r="J207"/>
      <c r="K207"/>
      <c r="L207"/>
    </row>
    <row r="208" spans="1:12" s="1" customFormat="1" ht="37.5" customHeight="1">
      <c r="A208" s="803"/>
      <c r="B208" s="803"/>
      <c r="C208" s="803"/>
      <c r="D208" s="803"/>
      <c r="E208" s="803"/>
      <c r="F208" s="5" t="s">
        <v>14</v>
      </c>
      <c r="G208" s="5" t="s">
        <v>15</v>
      </c>
      <c r="H208" s="803"/>
      <c r="I208"/>
      <c r="J208"/>
      <c r="K208"/>
      <c r="L208"/>
    </row>
    <row r="209" spans="1:12" s="1" customFormat="1" ht="15">
      <c r="A209" s="804" t="s">
        <v>16</v>
      </c>
      <c r="B209" s="805"/>
      <c r="C209" s="6">
        <f>SUM(C210:C211)</f>
        <v>4300</v>
      </c>
      <c r="D209" s="6">
        <f>SUM(D210:D211)</f>
        <v>4300</v>
      </c>
      <c r="E209" s="6">
        <f>SUM(E210:E211)</f>
        <v>0</v>
      </c>
      <c r="F209" s="6"/>
      <c r="G209" s="6">
        <f>SUM(G210:G211)</f>
        <v>0</v>
      </c>
      <c r="H209" s="537" t="s">
        <v>1497</v>
      </c>
      <c r="I209"/>
      <c r="J209"/>
      <c r="K209"/>
      <c r="L209"/>
    </row>
    <row r="210" spans="1:54" s="42" customFormat="1" ht="24.75">
      <c r="A210" s="36" t="s">
        <v>24</v>
      </c>
      <c r="B210" s="37" t="s">
        <v>148</v>
      </c>
      <c r="C210" s="30">
        <v>4300</v>
      </c>
      <c r="D210" s="30">
        <v>4300</v>
      </c>
      <c r="E210" s="30">
        <v>0</v>
      </c>
      <c r="F210" s="31">
        <v>5250</v>
      </c>
      <c r="G210" s="30"/>
      <c r="H210" s="38"/>
      <c r="I210"/>
      <c r="J210"/>
      <c r="K210"/>
      <c r="L210"/>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row>
    <row r="211" spans="1:54" s="42" customFormat="1" ht="15">
      <c r="A211" s="36"/>
      <c r="B211" s="37"/>
      <c r="C211" s="30"/>
      <c r="D211" s="30"/>
      <c r="E211" s="30"/>
      <c r="F211" s="31"/>
      <c r="G211" s="30"/>
      <c r="H211" s="38"/>
      <c r="I211"/>
      <c r="J211"/>
      <c r="K211"/>
      <c r="L21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row>
    <row r="212" spans="1:54" s="42" customFormat="1" ht="15">
      <c r="A212" s="61"/>
      <c r="B212" s="62"/>
      <c r="C212" s="63"/>
      <c r="D212" s="63"/>
      <c r="E212" s="63"/>
      <c r="F212" s="64"/>
      <c r="G212" s="63"/>
      <c r="H212" s="65"/>
      <c r="I212"/>
      <c r="J212"/>
      <c r="K212"/>
      <c r="L212"/>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row>
    <row r="213" spans="1:12" s="1" customFormat="1" ht="15">
      <c r="A213" s="1" t="s">
        <v>19</v>
      </c>
      <c r="C213" s="801" t="s">
        <v>957</v>
      </c>
      <c r="D213" s="801"/>
      <c r="E213" s="801"/>
      <c r="F213" s="801"/>
      <c r="G213" s="801"/>
      <c r="H213" s="801"/>
      <c r="I213"/>
      <c r="J213"/>
      <c r="K213"/>
      <c r="L213"/>
    </row>
    <row r="214" spans="1:12" s="1" customFormat="1" ht="15">
      <c r="A214" s="1" t="s">
        <v>20</v>
      </c>
      <c r="C214" s="806" t="s">
        <v>149</v>
      </c>
      <c r="D214" s="806"/>
      <c r="E214" s="806"/>
      <c r="F214" s="806"/>
      <c r="G214" s="806"/>
      <c r="H214" s="806"/>
      <c r="I214"/>
      <c r="J214"/>
      <c r="K214"/>
      <c r="L214"/>
    </row>
    <row r="215" spans="1:12" s="1" customFormat="1" ht="36.75">
      <c r="A215" s="803" t="s">
        <v>7</v>
      </c>
      <c r="B215" s="803" t="s">
        <v>8</v>
      </c>
      <c r="C215" s="803" t="s">
        <v>9</v>
      </c>
      <c r="D215" s="803" t="s">
        <v>936</v>
      </c>
      <c r="E215" s="803" t="s">
        <v>10</v>
      </c>
      <c r="F215" s="4" t="s">
        <v>11</v>
      </c>
      <c r="G215" s="4" t="s">
        <v>12</v>
      </c>
      <c r="H215" s="803" t="s">
        <v>13</v>
      </c>
      <c r="I215"/>
      <c r="J215"/>
      <c r="K215"/>
      <c r="L215"/>
    </row>
    <row r="216" spans="1:12" s="1" customFormat="1" ht="37.5" customHeight="1">
      <c r="A216" s="803"/>
      <c r="B216" s="803"/>
      <c r="C216" s="803"/>
      <c r="D216" s="803"/>
      <c r="E216" s="803"/>
      <c r="F216" s="5" t="s">
        <v>14</v>
      </c>
      <c r="G216" s="5" t="s">
        <v>15</v>
      </c>
      <c r="H216" s="803"/>
      <c r="I216"/>
      <c r="J216"/>
      <c r="K216"/>
      <c r="L216"/>
    </row>
    <row r="217" spans="1:12" s="1" customFormat="1" ht="15">
      <c r="A217" s="804" t="s">
        <v>16</v>
      </c>
      <c r="B217" s="805"/>
      <c r="C217" s="6">
        <f>SUM(C218:C219)</f>
        <v>0</v>
      </c>
      <c r="D217" s="6">
        <f>SUM(D218:D219)</f>
        <v>0</v>
      </c>
      <c r="E217" s="6">
        <f>SUM(E218:E219)</f>
        <v>25000</v>
      </c>
      <c r="F217" s="6"/>
      <c r="G217" s="6">
        <f>SUM(G218:G219)</f>
        <v>0</v>
      </c>
      <c r="H217" s="537" t="s">
        <v>1497</v>
      </c>
      <c r="I217"/>
      <c r="J217"/>
      <c r="K217"/>
      <c r="L217"/>
    </row>
    <row r="218" spans="1:54" s="42" customFormat="1" ht="24.75">
      <c r="A218" s="95" t="s">
        <v>24</v>
      </c>
      <c r="B218" s="38" t="s">
        <v>150</v>
      </c>
      <c r="C218" s="30">
        <v>0</v>
      </c>
      <c r="D218" s="30">
        <v>0</v>
      </c>
      <c r="E218" s="30">
        <f>25000</f>
        <v>25000</v>
      </c>
      <c r="F218" s="31">
        <v>5240</v>
      </c>
      <c r="G218" s="30"/>
      <c r="H218" s="38"/>
      <c r="I218"/>
      <c r="J218"/>
      <c r="K218"/>
      <c r="L218"/>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row>
    <row r="219" spans="1:54" s="73" customFormat="1" ht="15">
      <c r="A219" s="36"/>
      <c r="B219" s="38"/>
      <c r="C219" s="30"/>
      <c r="D219" s="30"/>
      <c r="E219" s="30"/>
      <c r="F219" s="31"/>
      <c r="G219" s="30"/>
      <c r="H219" s="33"/>
      <c r="I219"/>
      <c r="J219"/>
      <c r="K219"/>
      <c r="L21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s="73" customFormat="1" ht="15">
      <c r="A220" s="61"/>
      <c r="B220" s="65"/>
      <c r="C220" s="63"/>
      <c r="D220" s="63"/>
      <c r="E220" s="63"/>
      <c r="F220" s="64"/>
      <c r="G220" s="63"/>
      <c r="H220" s="80"/>
      <c r="I220"/>
      <c r="J220"/>
      <c r="K220"/>
      <c r="L220"/>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12" s="1" customFormat="1" ht="15">
      <c r="A221" s="1" t="s">
        <v>19</v>
      </c>
      <c r="C221" s="801" t="s">
        <v>1605</v>
      </c>
      <c r="D221" s="801"/>
      <c r="E221" s="801"/>
      <c r="F221" s="801"/>
      <c r="G221" s="801"/>
      <c r="H221" s="801"/>
      <c r="I221"/>
      <c r="J221"/>
      <c r="K221"/>
      <c r="L221"/>
    </row>
    <row r="222" spans="1:12" s="1" customFormat="1" ht="15">
      <c r="A222" s="1" t="s">
        <v>20</v>
      </c>
      <c r="C222" s="806" t="s">
        <v>151</v>
      </c>
      <c r="D222" s="806"/>
      <c r="E222" s="806"/>
      <c r="F222" s="806"/>
      <c r="G222" s="806"/>
      <c r="H222" s="806"/>
      <c r="I222"/>
      <c r="J222"/>
      <c r="K222"/>
      <c r="L222"/>
    </row>
    <row r="223" spans="1:12" s="1" customFormat="1" ht="36.75">
      <c r="A223" s="803" t="s">
        <v>7</v>
      </c>
      <c r="B223" s="803" t="s">
        <v>8</v>
      </c>
      <c r="C223" s="803" t="s">
        <v>9</v>
      </c>
      <c r="D223" s="803" t="s">
        <v>943</v>
      </c>
      <c r="E223" s="803" t="s">
        <v>10</v>
      </c>
      <c r="F223" s="4" t="s">
        <v>11</v>
      </c>
      <c r="G223" s="4" t="s">
        <v>12</v>
      </c>
      <c r="H223" s="803" t="s">
        <v>13</v>
      </c>
      <c r="I223"/>
      <c r="J223"/>
      <c r="K223"/>
      <c r="L223"/>
    </row>
    <row r="224" spans="1:12" s="1" customFormat="1" ht="37.5" customHeight="1">
      <c r="A224" s="803"/>
      <c r="B224" s="803"/>
      <c r="C224" s="803"/>
      <c r="D224" s="803"/>
      <c r="E224" s="803"/>
      <c r="F224" s="5" t="s">
        <v>14</v>
      </c>
      <c r="G224" s="5" t="s">
        <v>15</v>
      </c>
      <c r="H224" s="803"/>
      <c r="I224"/>
      <c r="J224"/>
      <c r="K224"/>
      <c r="L224"/>
    </row>
    <row r="225" spans="1:12" s="1" customFormat="1" ht="22.5">
      <c r="A225" s="804" t="s">
        <v>16</v>
      </c>
      <c r="B225" s="805"/>
      <c r="C225" s="6">
        <f>SUM(C226:C229)</f>
        <v>23033</v>
      </c>
      <c r="D225" s="6">
        <f>SUM(D226:D229)</f>
        <v>22975</v>
      </c>
      <c r="E225" s="6">
        <f>SUM(E226:E229)</f>
        <v>2005184</v>
      </c>
      <c r="F225" s="6"/>
      <c r="G225" s="6">
        <f>SUM(G226:G229)</f>
        <v>2002284</v>
      </c>
      <c r="H225" s="538" t="s">
        <v>1498</v>
      </c>
      <c r="I225"/>
      <c r="J225"/>
      <c r="K225"/>
      <c r="L225"/>
    </row>
    <row r="226" spans="1:54" s="42" customFormat="1" ht="15">
      <c r="A226" s="36" t="s">
        <v>24</v>
      </c>
      <c r="B226" s="37" t="s">
        <v>152</v>
      </c>
      <c r="C226" s="30">
        <v>2788</v>
      </c>
      <c r="D226" s="30">
        <v>2778</v>
      </c>
      <c r="E226" s="30">
        <v>5000</v>
      </c>
      <c r="F226" s="31">
        <v>2241</v>
      </c>
      <c r="G226" s="30">
        <v>2100</v>
      </c>
      <c r="H226" s="38"/>
      <c r="I226"/>
      <c r="J226"/>
      <c r="K226"/>
      <c r="L226"/>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row>
    <row r="227" spans="1:54" s="42" customFormat="1" ht="15">
      <c r="A227" s="36" t="s">
        <v>26</v>
      </c>
      <c r="B227" s="37" t="s">
        <v>153</v>
      </c>
      <c r="C227" s="30">
        <v>500</v>
      </c>
      <c r="D227" s="30">
        <v>500</v>
      </c>
      <c r="E227" s="30">
        <v>0</v>
      </c>
      <c r="F227" s="31">
        <v>5239</v>
      </c>
      <c r="G227" s="259"/>
      <c r="H227" s="38"/>
      <c r="I227"/>
      <c r="J227"/>
      <c r="K227"/>
      <c r="L227"/>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row>
    <row r="228" spans="1:54" s="42" customFormat="1" ht="15">
      <c r="A228" s="68" t="s">
        <v>28</v>
      </c>
      <c r="B228" s="69" t="s">
        <v>1478</v>
      </c>
      <c r="C228" s="70"/>
      <c r="D228" s="70"/>
      <c r="E228" s="70">
        <v>60000</v>
      </c>
      <c r="F228" s="71">
        <v>5250</v>
      </c>
      <c r="G228" s="70">
        <v>60000</v>
      </c>
      <c r="H228" s="38"/>
      <c r="I228"/>
      <c r="J228"/>
      <c r="K228"/>
      <c r="L228"/>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row>
    <row r="229" spans="1:54" s="29" customFormat="1" ht="36.75">
      <c r="A229" s="68" t="s">
        <v>30</v>
      </c>
      <c r="B229" s="69" t="s">
        <v>1439</v>
      </c>
      <c r="C229" s="70">
        <v>19745</v>
      </c>
      <c r="D229" s="70">
        <v>19697</v>
      </c>
      <c r="E229" s="70">
        <f>1940184</f>
        <v>1940184</v>
      </c>
      <c r="F229" s="71">
        <v>5250</v>
      </c>
      <c r="G229" s="70">
        <v>1940184</v>
      </c>
      <c r="H229" s="38"/>
      <c r="I229"/>
      <c r="J229"/>
      <c r="K229"/>
      <c r="L22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s="73" customFormat="1" ht="15">
      <c r="A230" s="61"/>
      <c r="B230" s="65"/>
      <c r="C230" s="63"/>
      <c r="D230" s="63"/>
      <c r="E230" s="63"/>
      <c r="F230" s="64"/>
      <c r="G230" s="63"/>
      <c r="H230" s="80"/>
      <c r="I230"/>
      <c r="J230"/>
      <c r="K230"/>
      <c r="L230"/>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12" s="1" customFormat="1" ht="26.25" customHeight="1">
      <c r="A231" s="1" t="s">
        <v>19</v>
      </c>
      <c r="C231" s="807" t="s">
        <v>1604</v>
      </c>
      <c r="D231" s="807"/>
      <c r="E231" s="807"/>
      <c r="F231" s="807"/>
      <c r="G231" s="807"/>
      <c r="H231" s="807"/>
      <c r="I231"/>
      <c r="J231"/>
      <c r="K231"/>
      <c r="L231"/>
    </row>
    <row r="232" spans="1:12" s="1" customFormat="1" ht="15">
      <c r="A232" s="1" t="s">
        <v>20</v>
      </c>
      <c r="C232" s="806" t="s">
        <v>154</v>
      </c>
      <c r="D232" s="806"/>
      <c r="E232" s="806"/>
      <c r="F232" s="806"/>
      <c r="G232" s="806"/>
      <c r="H232" s="806"/>
      <c r="I232"/>
      <c r="J232"/>
      <c r="K232"/>
      <c r="L232"/>
    </row>
    <row r="233" spans="1:12" s="1" customFormat="1" ht="36.75">
      <c r="A233" s="803" t="s">
        <v>7</v>
      </c>
      <c r="B233" s="803" t="s">
        <v>8</v>
      </c>
      <c r="C233" s="803" t="s">
        <v>9</v>
      </c>
      <c r="D233" s="803" t="s">
        <v>936</v>
      </c>
      <c r="E233" s="803" t="s">
        <v>10</v>
      </c>
      <c r="F233" s="4" t="s">
        <v>11</v>
      </c>
      <c r="G233" s="4" t="s">
        <v>12</v>
      </c>
      <c r="H233" s="803" t="s">
        <v>13</v>
      </c>
      <c r="I233"/>
      <c r="J233"/>
      <c r="K233"/>
      <c r="L233"/>
    </row>
    <row r="234" spans="1:12" s="1" customFormat="1" ht="37.5" customHeight="1">
      <c r="A234" s="803"/>
      <c r="B234" s="803"/>
      <c r="C234" s="803"/>
      <c r="D234" s="803"/>
      <c r="E234" s="803"/>
      <c r="F234" s="5" t="s">
        <v>14</v>
      </c>
      <c r="G234" s="5" t="s">
        <v>15</v>
      </c>
      <c r="H234" s="803"/>
      <c r="I234"/>
      <c r="J234"/>
      <c r="K234"/>
      <c r="L234"/>
    </row>
    <row r="235" spans="1:12" s="1" customFormat="1" ht="22.5">
      <c r="A235" s="804" t="s">
        <v>16</v>
      </c>
      <c r="B235" s="805"/>
      <c r="C235" s="6">
        <f>SUM(C236:C246)</f>
        <v>9649</v>
      </c>
      <c r="D235" s="6">
        <f>SUM(D236:D246)</f>
        <v>9640</v>
      </c>
      <c r="E235" s="6">
        <f>SUM(E236:E246)</f>
        <v>874300</v>
      </c>
      <c r="F235" s="6"/>
      <c r="G235" s="6">
        <f>SUM(G236:G246)</f>
        <v>154000</v>
      </c>
      <c r="H235" s="538" t="s">
        <v>1499</v>
      </c>
      <c r="I235"/>
      <c r="J235"/>
      <c r="K235"/>
      <c r="L235"/>
    </row>
    <row r="236" spans="1:54" s="96" customFormat="1" ht="24">
      <c r="A236" s="792" t="s">
        <v>24</v>
      </c>
      <c r="B236" s="795" t="s">
        <v>1437</v>
      </c>
      <c r="C236" s="798">
        <v>0</v>
      </c>
      <c r="D236" s="798">
        <v>0</v>
      </c>
      <c r="E236" s="798">
        <f>218300</f>
        <v>218300</v>
      </c>
      <c r="F236" s="786">
        <v>5250</v>
      </c>
      <c r="G236" s="789">
        <v>124000</v>
      </c>
      <c r="H236" s="24" t="s">
        <v>155</v>
      </c>
      <c r="I236"/>
      <c r="J236"/>
      <c r="K236"/>
      <c r="L236"/>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row>
    <row r="237" spans="1:54" s="96" customFormat="1" ht="24">
      <c r="A237" s="793"/>
      <c r="B237" s="796"/>
      <c r="C237" s="799"/>
      <c r="D237" s="799"/>
      <c r="E237" s="799"/>
      <c r="F237" s="787"/>
      <c r="G237" s="790"/>
      <c r="H237" s="24" t="s">
        <v>156</v>
      </c>
      <c r="I237"/>
      <c r="J237"/>
      <c r="K237"/>
      <c r="L237"/>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row>
    <row r="238" spans="1:54" s="96" customFormat="1" ht="36">
      <c r="A238" s="793"/>
      <c r="B238" s="796"/>
      <c r="C238" s="799"/>
      <c r="D238" s="799"/>
      <c r="E238" s="799"/>
      <c r="F238" s="787"/>
      <c r="G238" s="790"/>
      <c r="H238" s="24" t="s">
        <v>157</v>
      </c>
      <c r="I238"/>
      <c r="J238"/>
      <c r="K238"/>
      <c r="L238"/>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row>
    <row r="239" spans="1:54" s="96" customFormat="1" ht="24">
      <c r="A239" s="793"/>
      <c r="B239" s="796"/>
      <c r="C239" s="799"/>
      <c r="D239" s="799"/>
      <c r="E239" s="799"/>
      <c r="F239" s="787"/>
      <c r="G239" s="790"/>
      <c r="H239" s="24" t="s">
        <v>158</v>
      </c>
      <c r="I239"/>
      <c r="J239"/>
      <c r="K239"/>
      <c r="L23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row>
    <row r="240" spans="1:54" s="96" customFormat="1" ht="24">
      <c r="A240" s="793"/>
      <c r="B240" s="796"/>
      <c r="C240" s="799"/>
      <c r="D240" s="799"/>
      <c r="E240" s="799"/>
      <c r="F240" s="787"/>
      <c r="G240" s="790"/>
      <c r="H240" s="24" t="s">
        <v>159</v>
      </c>
      <c r="I240"/>
      <c r="J240"/>
      <c r="K240"/>
      <c r="L240"/>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row>
    <row r="241" spans="1:54" s="96" customFormat="1" ht="48">
      <c r="A241" s="793"/>
      <c r="B241" s="796"/>
      <c r="C241" s="799"/>
      <c r="D241" s="799"/>
      <c r="E241" s="799"/>
      <c r="F241" s="788"/>
      <c r="G241" s="791"/>
      <c r="H241" s="24" t="s">
        <v>1438</v>
      </c>
      <c r="I241"/>
      <c r="J241"/>
      <c r="K241"/>
      <c r="L241"/>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row>
    <row r="242" spans="1:54" s="42" customFormat="1" ht="24.75">
      <c r="A242" s="36" t="s">
        <v>26</v>
      </c>
      <c r="B242" s="37" t="s">
        <v>160</v>
      </c>
      <c r="C242" s="30">
        <v>9649</v>
      </c>
      <c r="D242" s="30">
        <v>9640</v>
      </c>
      <c r="E242" s="30">
        <v>0</v>
      </c>
      <c r="F242" s="97">
        <v>5250</v>
      </c>
      <c r="G242" s="98"/>
      <c r="H242" s="38"/>
      <c r="I242"/>
      <c r="J242"/>
      <c r="K242"/>
      <c r="L242"/>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row>
    <row r="243" spans="1:54" s="96" customFormat="1" ht="36">
      <c r="A243" s="792" t="s">
        <v>28</v>
      </c>
      <c r="B243" s="795" t="s">
        <v>1436</v>
      </c>
      <c r="C243" s="798">
        <v>0</v>
      </c>
      <c r="D243" s="798">
        <v>0</v>
      </c>
      <c r="E243" s="798">
        <f>656000</f>
        <v>656000</v>
      </c>
      <c r="F243" s="786">
        <v>5250</v>
      </c>
      <c r="G243" s="789">
        <v>30000</v>
      </c>
      <c r="H243" s="24" t="s">
        <v>161</v>
      </c>
      <c r="I243"/>
      <c r="J243"/>
      <c r="K243"/>
      <c r="L243"/>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row>
    <row r="244" spans="1:54" s="96" customFormat="1" ht="24.75" customHeight="1">
      <c r="A244" s="793"/>
      <c r="B244" s="796"/>
      <c r="C244" s="799"/>
      <c r="D244" s="799"/>
      <c r="E244" s="799"/>
      <c r="F244" s="787"/>
      <c r="G244" s="790"/>
      <c r="H244" s="24" t="s">
        <v>162</v>
      </c>
      <c r="I244"/>
      <c r="J244"/>
      <c r="K244"/>
      <c r="L244"/>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row>
    <row r="245" spans="1:54" s="96" customFormat="1" ht="24.75" customHeight="1">
      <c r="A245" s="793"/>
      <c r="B245" s="796"/>
      <c r="C245" s="799"/>
      <c r="D245" s="799"/>
      <c r="E245" s="799"/>
      <c r="F245" s="787"/>
      <c r="G245" s="790"/>
      <c r="H245" s="24" t="s">
        <v>163</v>
      </c>
      <c r="I245"/>
      <c r="J245"/>
      <c r="K245"/>
      <c r="L245"/>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row>
    <row r="246" spans="1:54" s="96" customFormat="1" ht="15">
      <c r="A246" s="794"/>
      <c r="B246" s="797"/>
      <c r="C246" s="800"/>
      <c r="D246" s="800"/>
      <c r="E246" s="800"/>
      <c r="F246" s="788"/>
      <c r="G246" s="791"/>
      <c r="H246" s="24" t="s">
        <v>1433</v>
      </c>
      <c r="I246"/>
      <c r="J246"/>
      <c r="K246"/>
      <c r="L246"/>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row>
    <row r="247" spans="1:54" s="96" customFormat="1" ht="15">
      <c r="A247" s="329"/>
      <c r="B247" s="330"/>
      <c r="C247" s="331"/>
      <c r="D247" s="331"/>
      <c r="E247" s="331"/>
      <c r="F247" s="332"/>
      <c r="G247" s="333"/>
      <c r="H247" s="334"/>
      <c r="I247"/>
      <c r="J247"/>
      <c r="K247"/>
      <c r="L247"/>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row>
    <row r="248" spans="1:54" s="96" customFormat="1" ht="15">
      <c r="A248" s="1" t="s">
        <v>19</v>
      </c>
      <c r="B248" s="1"/>
      <c r="C248" s="801" t="s">
        <v>1603</v>
      </c>
      <c r="D248" s="801"/>
      <c r="E248" s="801"/>
      <c r="F248" s="801"/>
      <c r="G248" s="801"/>
      <c r="H248" s="801"/>
      <c r="I248"/>
      <c r="J248"/>
      <c r="K248"/>
      <c r="L248"/>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row>
    <row r="249" spans="1:54" s="96" customFormat="1" ht="15">
      <c r="A249" s="1" t="s">
        <v>20</v>
      </c>
      <c r="B249" s="1"/>
      <c r="C249" s="802" t="s">
        <v>1108</v>
      </c>
      <c r="D249" s="802"/>
      <c r="E249" s="802"/>
      <c r="F249" s="802"/>
      <c r="G249" s="802"/>
      <c r="H249" s="802"/>
      <c r="I249"/>
      <c r="J249"/>
      <c r="K249"/>
      <c r="L24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row>
    <row r="250" spans="1:54" s="96" customFormat="1" ht="36.75">
      <c r="A250" s="803" t="s">
        <v>7</v>
      </c>
      <c r="B250" s="803" t="s">
        <v>8</v>
      </c>
      <c r="C250" s="803" t="s">
        <v>9</v>
      </c>
      <c r="D250" s="803" t="s">
        <v>936</v>
      </c>
      <c r="E250" s="803" t="s">
        <v>10</v>
      </c>
      <c r="F250" s="4" t="s">
        <v>11</v>
      </c>
      <c r="G250" s="4" t="s">
        <v>12</v>
      </c>
      <c r="H250" s="803" t="s">
        <v>13</v>
      </c>
      <c r="I250"/>
      <c r="J250"/>
      <c r="K250"/>
      <c r="L250"/>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row>
    <row r="251" spans="1:54" s="96" customFormat="1" ht="36">
      <c r="A251" s="803"/>
      <c r="B251" s="803"/>
      <c r="C251" s="803"/>
      <c r="D251" s="803"/>
      <c r="E251" s="803"/>
      <c r="F251" s="5" t="s">
        <v>14</v>
      </c>
      <c r="G251" s="5" t="s">
        <v>15</v>
      </c>
      <c r="H251" s="803"/>
      <c r="I251"/>
      <c r="J251"/>
      <c r="K251"/>
      <c r="L251"/>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row>
    <row r="252" spans="1:54" s="96" customFormat="1" ht="15">
      <c r="A252" s="804" t="s">
        <v>16</v>
      </c>
      <c r="B252" s="805"/>
      <c r="C252" s="6">
        <f>SUM(C253:C254)</f>
        <v>0</v>
      </c>
      <c r="D252" s="6">
        <f>SUM(D253:D254)</f>
        <v>0</v>
      </c>
      <c r="E252" s="6">
        <f>SUM(E253:E254)</f>
        <v>3000</v>
      </c>
      <c r="F252" s="6"/>
      <c r="G252" s="6">
        <f>SUM(G253:G254)</f>
        <v>3000</v>
      </c>
      <c r="H252" s="6"/>
      <c r="I252"/>
      <c r="J252"/>
      <c r="K252"/>
      <c r="L252"/>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row>
    <row r="253" spans="1:54" s="96" customFormat="1" ht="15">
      <c r="A253" s="36" t="s">
        <v>24</v>
      </c>
      <c r="B253" s="37" t="s">
        <v>31</v>
      </c>
      <c r="C253" s="30">
        <v>0</v>
      </c>
      <c r="D253" s="30">
        <v>0</v>
      </c>
      <c r="E253" s="30">
        <f>3000</f>
        <v>3000</v>
      </c>
      <c r="F253" s="31">
        <v>2241</v>
      </c>
      <c r="G253" s="30">
        <v>3000</v>
      </c>
      <c r="H253" s="38" t="s">
        <v>32</v>
      </c>
      <c r="I253"/>
      <c r="J253"/>
      <c r="K253"/>
      <c r="L253"/>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row>
    <row r="254" spans="1:54" s="96" customFormat="1" ht="15">
      <c r="A254" s="36"/>
      <c r="B254" s="37"/>
      <c r="C254" s="30"/>
      <c r="D254" s="30"/>
      <c r="E254" s="30"/>
      <c r="F254" s="31"/>
      <c r="G254" s="30"/>
      <c r="H254" s="38"/>
      <c r="I254"/>
      <c r="J254"/>
      <c r="K254"/>
      <c r="L254"/>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row>
    <row r="255" spans="1:54" s="96" customFormat="1" ht="15">
      <c r="A255" s="329"/>
      <c r="B255" s="330"/>
      <c r="C255" s="331"/>
      <c r="D255" s="331"/>
      <c r="E255" s="340"/>
      <c r="F255" s="332"/>
      <c r="G255" s="333"/>
      <c r="H255" s="334"/>
      <c r="I255"/>
      <c r="J255"/>
      <c r="K255"/>
      <c r="L255"/>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row>
    <row r="256" spans="1:12" s="1" customFormat="1" ht="15">
      <c r="A256" s="784" t="s">
        <v>17</v>
      </c>
      <c r="B256" s="785"/>
      <c r="C256" s="13">
        <f>SUM(C11,C23,C31,C61,C71,C79,C88,C97,C112,C126,C135,C144,C152,C167,C177,C189,C209,C217,C225,C235,C252)</f>
        <v>3449540</v>
      </c>
      <c r="D256" s="13">
        <f>SUM(D11,D23,D31,D61,D71,D79,D88,D97,D112,D126,D135,D144,D152,D167,D177,D189,D209,D217,D225,D235,D252)</f>
        <v>3118372</v>
      </c>
      <c r="E256" s="13">
        <f>SUM(E11,E23,E31,E61,E71,E79,E88,E97,E112,E126,E135,E144,E152,E167,E177,E189,E209,E217,E225,E235,E252)</f>
        <v>20644308</v>
      </c>
      <c r="F256" s="13"/>
      <c r="G256" s="13">
        <f>SUM(G11,G23,G31,G61,G71,G79,G88,G97,G112,G126,G135,G144,G152,G167,G177,G189,G209,G217,G225,G235,G252)</f>
        <v>6991237</v>
      </c>
      <c r="H256" s="537" t="s">
        <v>1500</v>
      </c>
      <c r="I256"/>
      <c r="J256"/>
      <c r="K256"/>
      <c r="L256"/>
    </row>
    <row r="257" ht="15"/>
    <row r="258" ht="15"/>
    <row r="259" ht="14.25" customHeight="1"/>
    <row r="260" ht="14.25" customHeight="1"/>
    <row r="261" ht="14.25" customHeight="1"/>
    <row r="262" ht="15"/>
    <row r="263" ht="15"/>
    <row r="264" ht="15"/>
    <row r="265" ht="15"/>
    <row r="266" ht="15"/>
    <row r="267" ht="15"/>
    <row r="268" ht="15"/>
    <row r="270" spans="1:5" ht="15">
      <c r="A270" s="101"/>
      <c r="B270" s="39"/>
      <c r="C270" s="39"/>
      <c r="D270" s="39"/>
      <c r="E270" s="39"/>
    </row>
    <row r="271" spans="1:5" ht="15">
      <c r="A271" s="101"/>
      <c r="B271" s="39"/>
      <c r="C271" s="39"/>
      <c r="D271" s="39"/>
      <c r="E271" s="39"/>
    </row>
    <row r="272" spans="1:5" ht="15">
      <c r="A272" s="101"/>
      <c r="B272" s="39"/>
      <c r="C272" s="39"/>
      <c r="D272" s="39"/>
      <c r="E272" s="39"/>
    </row>
    <row r="273" spans="1:5" ht="15">
      <c r="A273" s="101"/>
      <c r="B273" s="39"/>
      <c r="C273" s="39"/>
      <c r="D273" s="39"/>
      <c r="E273" s="39"/>
    </row>
  </sheetData>
  <sheetProtection/>
  <mergeCells count="237">
    <mergeCell ref="C4:H4"/>
    <mergeCell ref="A5:H5"/>
    <mergeCell ref="C6:H6"/>
    <mergeCell ref="C7:H7"/>
    <mergeCell ref="C8:H8"/>
    <mergeCell ref="A9:A10"/>
    <mergeCell ref="B9:B10"/>
    <mergeCell ref="C9:C10"/>
    <mergeCell ref="D9:D10"/>
    <mergeCell ref="E9:E10"/>
    <mergeCell ref="H9:H10"/>
    <mergeCell ref="A11:B11"/>
    <mergeCell ref="A13:A14"/>
    <mergeCell ref="B13:B14"/>
    <mergeCell ref="C19:H19"/>
    <mergeCell ref="C20:H20"/>
    <mergeCell ref="E29:E30"/>
    <mergeCell ref="H29:H30"/>
    <mergeCell ref="A21:A22"/>
    <mergeCell ref="B21:B22"/>
    <mergeCell ref="C21:C22"/>
    <mergeCell ref="D21:D22"/>
    <mergeCell ref="E21:E22"/>
    <mergeCell ref="H21:H22"/>
    <mergeCell ref="H59:H60"/>
    <mergeCell ref="B45:B46"/>
    <mergeCell ref="A45:A46"/>
    <mergeCell ref="A23:B23"/>
    <mergeCell ref="C27:H27"/>
    <mergeCell ref="C28:H28"/>
    <mergeCell ref="A29:A30"/>
    <mergeCell ref="B29:B30"/>
    <mergeCell ref="C29:C30"/>
    <mergeCell ref="D29:D30"/>
    <mergeCell ref="E69:E70"/>
    <mergeCell ref="H69:H70"/>
    <mergeCell ref="A31:B31"/>
    <mergeCell ref="C57:H57"/>
    <mergeCell ref="C58:H58"/>
    <mergeCell ref="A59:A60"/>
    <mergeCell ref="B59:B60"/>
    <mergeCell ref="C59:C60"/>
    <mergeCell ref="D59:D60"/>
    <mergeCell ref="E59:E60"/>
    <mergeCell ref="D77:D78"/>
    <mergeCell ref="E77:E78"/>
    <mergeCell ref="H77:H78"/>
    <mergeCell ref="A61:B61"/>
    <mergeCell ref="C67:H67"/>
    <mergeCell ref="C68:H68"/>
    <mergeCell ref="A69:A70"/>
    <mergeCell ref="B69:B70"/>
    <mergeCell ref="C69:C70"/>
    <mergeCell ref="D69:D70"/>
    <mergeCell ref="C86:C87"/>
    <mergeCell ref="D86:D87"/>
    <mergeCell ref="E86:E87"/>
    <mergeCell ref="H86:H87"/>
    <mergeCell ref="A71:B71"/>
    <mergeCell ref="C75:H75"/>
    <mergeCell ref="C76:H76"/>
    <mergeCell ref="A77:A78"/>
    <mergeCell ref="B77:B78"/>
    <mergeCell ref="C77:C78"/>
    <mergeCell ref="D95:D96"/>
    <mergeCell ref="E95:E96"/>
    <mergeCell ref="H95:H96"/>
    <mergeCell ref="A79:B79"/>
    <mergeCell ref="A80:A81"/>
    <mergeCell ref="B80:B81"/>
    <mergeCell ref="C84:H84"/>
    <mergeCell ref="C85:H85"/>
    <mergeCell ref="A86:A87"/>
    <mergeCell ref="B86:B87"/>
    <mergeCell ref="C110:C111"/>
    <mergeCell ref="D110:D111"/>
    <mergeCell ref="E110:E111"/>
    <mergeCell ref="H110:H111"/>
    <mergeCell ref="A88:B88"/>
    <mergeCell ref="C93:H93"/>
    <mergeCell ref="C94:H94"/>
    <mergeCell ref="A95:A96"/>
    <mergeCell ref="B95:B96"/>
    <mergeCell ref="C95:C96"/>
    <mergeCell ref="C124:C125"/>
    <mergeCell ref="D124:D125"/>
    <mergeCell ref="E124:E125"/>
    <mergeCell ref="H124:H125"/>
    <mergeCell ref="A126:B126"/>
    <mergeCell ref="A97:B97"/>
    <mergeCell ref="C108:H108"/>
    <mergeCell ref="C109:H109"/>
    <mergeCell ref="A110:A111"/>
    <mergeCell ref="B110:B111"/>
    <mergeCell ref="A112:B112"/>
    <mergeCell ref="A113:A115"/>
    <mergeCell ref="B113:B115"/>
    <mergeCell ref="H113:H115"/>
    <mergeCell ref="C131:H131"/>
    <mergeCell ref="C132:H132"/>
    <mergeCell ref="C122:H122"/>
    <mergeCell ref="C123:H123"/>
    <mergeCell ref="A124:A125"/>
    <mergeCell ref="B124:B125"/>
    <mergeCell ref="A133:A134"/>
    <mergeCell ref="B133:B134"/>
    <mergeCell ref="C133:C134"/>
    <mergeCell ref="D133:D134"/>
    <mergeCell ref="E133:E134"/>
    <mergeCell ref="H133:H134"/>
    <mergeCell ref="H142:H143"/>
    <mergeCell ref="A135:B135"/>
    <mergeCell ref="A136:A137"/>
    <mergeCell ref="B136:B137"/>
    <mergeCell ref="H136:H137"/>
    <mergeCell ref="C140:H140"/>
    <mergeCell ref="C141:H141"/>
    <mergeCell ref="E156:E158"/>
    <mergeCell ref="F156:F158"/>
    <mergeCell ref="G156:G158"/>
    <mergeCell ref="A142:A143"/>
    <mergeCell ref="B142:B143"/>
    <mergeCell ref="C142:C143"/>
    <mergeCell ref="D142:D143"/>
    <mergeCell ref="E142:E143"/>
    <mergeCell ref="A144:B144"/>
    <mergeCell ref="C148:H148"/>
    <mergeCell ref="C149:H149"/>
    <mergeCell ref="A150:A151"/>
    <mergeCell ref="B150:B151"/>
    <mergeCell ref="C150:C151"/>
    <mergeCell ref="D150:D151"/>
    <mergeCell ref="E150:E151"/>
    <mergeCell ref="H150:H151"/>
    <mergeCell ref="D156:D160"/>
    <mergeCell ref="E159:E160"/>
    <mergeCell ref="F159:F160"/>
    <mergeCell ref="G159:G160"/>
    <mergeCell ref="A152:B152"/>
    <mergeCell ref="A153:A155"/>
    <mergeCell ref="B153:B155"/>
    <mergeCell ref="A156:A160"/>
    <mergeCell ref="B156:B160"/>
    <mergeCell ref="C156:C160"/>
    <mergeCell ref="C163:H163"/>
    <mergeCell ref="C164:H164"/>
    <mergeCell ref="A165:A166"/>
    <mergeCell ref="B165:B166"/>
    <mergeCell ref="C165:C166"/>
    <mergeCell ref="D165:D166"/>
    <mergeCell ref="E165:E166"/>
    <mergeCell ref="H165:H166"/>
    <mergeCell ref="F194:F196"/>
    <mergeCell ref="A167:B167"/>
    <mergeCell ref="C173:H173"/>
    <mergeCell ref="C174:H174"/>
    <mergeCell ref="A175:A176"/>
    <mergeCell ref="B175:B176"/>
    <mergeCell ref="C175:C176"/>
    <mergeCell ref="D175:D176"/>
    <mergeCell ref="E175:E176"/>
    <mergeCell ref="H175:H176"/>
    <mergeCell ref="A177:B177"/>
    <mergeCell ref="C185:H185"/>
    <mergeCell ref="C186:H186"/>
    <mergeCell ref="A187:A188"/>
    <mergeCell ref="B187:B188"/>
    <mergeCell ref="C187:C188"/>
    <mergeCell ref="D187:D188"/>
    <mergeCell ref="E187:E188"/>
    <mergeCell ref="H187:H188"/>
    <mergeCell ref="A189:B189"/>
    <mergeCell ref="A194:A196"/>
    <mergeCell ref="B194:B196"/>
    <mergeCell ref="C194:C196"/>
    <mergeCell ref="D194:D196"/>
    <mergeCell ref="E194:E196"/>
    <mergeCell ref="A217:B217"/>
    <mergeCell ref="C205:H205"/>
    <mergeCell ref="C206:H206"/>
    <mergeCell ref="A207:A208"/>
    <mergeCell ref="B207:B208"/>
    <mergeCell ref="C207:C208"/>
    <mergeCell ref="D207:D208"/>
    <mergeCell ref="E207:E208"/>
    <mergeCell ref="H207:H208"/>
    <mergeCell ref="A209:B209"/>
    <mergeCell ref="C213:H213"/>
    <mergeCell ref="C214:H214"/>
    <mergeCell ref="A215:A216"/>
    <mergeCell ref="B215:B216"/>
    <mergeCell ref="C215:C216"/>
    <mergeCell ref="D215:D216"/>
    <mergeCell ref="E215:E216"/>
    <mergeCell ref="H215:H216"/>
    <mergeCell ref="A225:B225"/>
    <mergeCell ref="C231:H231"/>
    <mergeCell ref="C232:H232"/>
    <mergeCell ref="A233:A234"/>
    <mergeCell ref="B233:B234"/>
    <mergeCell ref="C233:C234"/>
    <mergeCell ref="D233:D234"/>
    <mergeCell ref="E233:E234"/>
    <mergeCell ref="H233:H234"/>
    <mergeCell ref="A252:B252"/>
    <mergeCell ref="C221:H221"/>
    <mergeCell ref="C222:H222"/>
    <mergeCell ref="A223:A224"/>
    <mergeCell ref="B223:B224"/>
    <mergeCell ref="C223:C224"/>
    <mergeCell ref="D223:D224"/>
    <mergeCell ref="E223:E224"/>
    <mergeCell ref="H223:H224"/>
    <mergeCell ref="A235:B235"/>
    <mergeCell ref="C249:H249"/>
    <mergeCell ref="A250:A251"/>
    <mergeCell ref="B250:B251"/>
    <mergeCell ref="C250:C251"/>
    <mergeCell ref="D250:D251"/>
    <mergeCell ref="E250:E251"/>
    <mergeCell ref="H250:H251"/>
    <mergeCell ref="A236:A241"/>
    <mergeCell ref="B236:B241"/>
    <mergeCell ref="C236:C241"/>
    <mergeCell ref="D236:D241"/>
    <mergeCell ref="E236:E241"/>
    <mergeCell ref="C248:H248"/>
    <mergeCell ref="A256:B256"/>
    <mergeCell ref="F236:F241"/>
    <mergeCell ref="G236:G241"/>
    <mergeCell ref="A243:A246"/>
    <mergeCell ref="B243:B246"/>
    <mergeCell ref="C243:C246"/>
    <mergeCell ref="D243:D246"/>
    <mergeCell ref="E243:E246"/>
    <mergeCell ref="F243:F246"/>
    <mergeCell ref="G243:G246"/>
  </mergeCells>
  <printOptions/>
  <pageMargins left="0.3937007874015748" right="0.3937007874015748" top="0.7874015748031497" bottom="0.7874015748031497" header="0.5118110236220472" footer="0.5118110236220472"/>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rgb="FFFF66FF"/>
    <pageSetUpPr fitToPage="1"/>
  </sheetPr>
  <dimension ref="A1:T90"/>
  <sheetViews>
    <sheetView zoomScalePageLayoutView="0" workbookViewId="0" topLeftCell="G1">
      <selection activeCell="I21" sqref="I21"/>
    </sheetView>
  </sheetViews>
  <sheetFormatPr defaultColWidth="9.140625" defaultRowHeight="15"/>
  <cols>
    <col min="1" max="1" width="6.140625" style="1" customWidth="1"/>
    <col min="2" max="2" width="44.8515625" style="1" customWidth="1"/>
    <col min="3" max="3" width="11.8515625" style="1" customWidth="1"/>
    <col min="4" max="4" width="11.140625" style="1" customWidth="1"/>
    <col min="5" max="5" width="10.28125" style="1" customWidth="1"/>
    <col min="6" max="6" width="10.57421875" style="1" customWidth="1"/>
    <col min="7" max="7" width="9.7109375" style="1" customWidth="1"/>
    <col min="8" max="8" width="28.140625" style="1" customWidth="1"/>
    <col min="21" max="16384" width="9.140625" style="1" customWidth="1"/>
  </cols>
  <sheetData>
    <row r="1" spans="8:20" s="727" customFormat="1" ht="15.75">
      <c r="H1" s="728" t="s">
        <v>1630</v>
      </c>
      <c r="I1"/>
      <c r="J1"/>
      <c r="K1"/>
      <c r="L1"/>
      <c r="M1"/>
      <c r="N1"/>
      <c r="O1"/>
      <c r="P1"/>
      <c r="Q1"/>
      <c r="R1"/>
      <c r="S1"/>
      <c r="T1"/>
    </row>
    <row r="2" spans="8:20" s="727" customFormat="1" ht="15.75">
      <c r="H2" s="728" t="s">
        <v>1627</v>
      </c>
      <c r="I2"/>
      <c r="J2"/>
      <c r="K2"/>
      <c r="L2"/>
      <c r="M2"/>
      <c r="N2"/>
      <c r="O2"/>
      <c r="P2"/>
      <c r="Q2"/>
      <c r="R2"/>
      <c r="S2"/>
      <c r="T2"/>
    </row>
    <row r="3" spans="8:20" s="727" customFormat="1" ht="15.75">
      <c r="H3" s="728" t="s">
        <v>1628</v>
      </c>
      <c r="I3"/>
      <c r="J3"/>
      <c r="K3"/>
      <c r="L3"/>
      <c r="M3"/>
      <c r="N3"/>
      <c r="O3"/>
      <c r="P3"/>
      <c r="Q3"/>
      <c r="R3"/>
      <c r="S3"/>
      <c r="T3"/>
    </row>
    <row r="4" spans="1:8" ht="15">
      <c r="A4" s="1" t="s">
        <v>0</v>
      </c>
      <c r="B4" s="2"/>
      <c r="C4" s="822" t="s">
        <v>1</v>
      </c>
      <c r="D4" s="822"/>
      <c r="E4" s="822"/>
      <c r="F4" s="822"/>
      <c r="G4" s="822"/>
      <c r="H4" s="822"/>
    </row>
    <row r="5" spans="1:8" ht="15.75">
      <c r="A5" s="835" t="s">
        <v>166</v>
      </c>
      <c r="B5" s="835"/>
      <c r="C5" s="835"/>
      <c r="D5" s="835"/>
      <c r="E5" s="835"/>
      <c r="F5" s="835"/>
      <c r="G5" s="835"/>
      <c r="H5" s="835"/>
    </row>
    <row r="6" spans="1:8" ht="15">
      <c r="A6" s="1" t="s">
        <v>3</v>
      </c>
      <c r="C6" s="822" t="s">
        <v>167</v>
      </c>
      <c r="D6" s="822"/>
      <c r="E6" s="822"/>
      <c r="F6" s="822"/>
      <c r="G6" s="822"/>
      <c r="H6" s="822"/>
    </row>
    <row r="7" spans="1:8" ht="15">
      <c r="A7" s="1" t="s">
        <v>19</v>
      </c>
      <c r="C7" s="806" t="s">
        <v>168</v>
      </c>
      <c r="D7" s="806"/>
      <c r="E7" s="806"/>
      <c r="F7" s="806"/>
      <c r="G7" s="806"/>
      <c r="H7" s="806"/>
    </row>
    <row r="8" spans="1:8" ht="15">
      <c r="A8" s="1" t="s">
        <v>5</v>
      </c>
      <c r="C8" s="806" t="s">
        <v>169</v>
      </c>
      <c r="D8" s="806"/>
      <c r="E8" s="806"/>
      <c r="F8" s="806"/>
      <c r="G8" s="806"/>
      <c r="H8" s="806"/>
    </row>
    <row r="9" spans="1:8" ht="36.75">
      <c r="A9" s="803" t="s">
        <v>7</v>
      </c>
      <c r="B9" s="803" t="s">
        <v>8</v>
      </c>
      <c r="C9" s="803" t="s">
        <v>9</v>
      </c>
      <c r="D9" s="803" t="s">
        <v>936</v>
      </c>
      <c r="E9" s="803" t="s">
        <v>10</v>
      </c>
      <c r="F9" s="4" t="s">
        <v>11</v>
      </c>
      <c r="G9" s="4" t="s">
        <v>12</v>
      </c>
      <c r="H9" s="803" t="s">
        <v>13</v>
      </c>
    </row>
    <row r="10" spans="1:8" ht="36">
      <c r="A10" s="803"/>
      <c r="B10" s="803"/>
      <c r="C10" s="803"/>
      <c r="D10" s="803"/>
      <c r="E10" s="803"/>
      <c r="F10" s="5" t="s">
        <v>14</v>
      </c>
      <c r="G10" s="5" t="s">
        <v>15</v>
      </c>
      <c r="H10" s="803"/>
    </row>
    <row r="11" spans="1:8" ht="15">
      <c r="A11" s="804" t="s">
        <v>16</v>
      </c>
      <c r="B11" s="805"/>
      <c r="C11" s="6">
        <f>SUM(C12:C35)</f>
        <v>49391</v>
      </c>
      <c r="D11" s="6">
        <f>SUM(D12:D35)</f>
        <v>22276.309999999998</v>
      </c>
      <c r="E11" s="6">
        <f>SUM(E12:E35)</f>
        <v>78975</v>
      </c>
      <c r="F11" s="6"/>
      <c r="G11" s="6">
        <f>SUM(G12:G35)</f>
        <v>83655</v>
      </c>
      <c r="H11" s="537" t="s">
        <v>1507</v>
      </c>
    </row>
    <row r="12" spans="1:8" ht="36.75">
      <c r="A12" s="7">
        <v>1</v>
      </c>
      <c r="B12" s="7" t="s">
        <v>170</v>
      </c>
      <c r="C12" s="16">
        <v>8980</v>
      </c>
      <c r="D12" s="16">
        <v>3538</v>
      </c>
      <c r="E12" s="16">
        <f>19520+5000</f>
        <v>24520</v>
      </c>
      <c r="F12" s="17">
        <v>5110</v>
      </c>
      <c r="G12" s="16">
        <f>18020+5000</f>
        <v>23020</v>
      </c>
      <c r="H12" s="7" t="s">
        <v>171</v>
      </c>
    </row>
    <row r="13" spans="1:8" ht="23.25" customHeight="1">
      <c r="A13" s="825">
        <v>2</v>
      </c>
      <c r="B13" s="827" t="s">
        <v>172</v>
      </c>
      <c r="C13" s="16">
        <v>25041</v>
      </c>
      <c r="D13" s="16">
        <v>12173</v>
      </c>
      <c r="E13" s="16">
        <v>20000</v>
      </c>
      <c r="F13" s="17">
        <v>2239</v>
      </c>
      <c r="G13" s="16">
        <v>10000</v>
      </c>
      <c r="H13" s="7" t="s">
        <v>173</v>
      </c>
    </row>
    <row r="14" spans="1:8" ht="12.75" customHeight="1">
      <c r="A14" s="825"/>
      <c r="B14" s="827"/>
      <c r="C14" s="16">
        <v>150</v>
      </c>
      <c r="D14" s="16">
        <v>0</v>
      </c>
      <c r="E14" s="16">
        <v>300</v>
      </c>
      <c r="F14" s="17">
        <v>2519</v>
      </c>
      <c r="G14" s="16">
        <v>300</v>
      </c>
      <c r="H14" s="7" t="s">
        <v>174</v>
      </c>
    </row>
    <row r="15" spans="1:8" ht="36.75">
      <c r="A15" s="829">
        <v>3</v>
      </c>
      <c r="B15" s="830" t="s">
        <v>175</v>
      </c>
      <c r="C15" s="16">
        <v>1480</v>
      </c>
      <c r="D15" s="20">
        <v>878.43</v>
      </c>
      <c r="E15" s="16">
        <v>1500</v>
      </c>
      <c r="F15" s="17">
        <v>2231</v>
      </c>
      <c r="G15" s="16">
        <v>1500</v>
      </c>
      <c r="H15" s="7" t="s">
        <v>176</v>
      </c>
    </row>
    <row r="16" spans="1:8" ht="24.75">
      <c r="A16" s="825"/>
      <c r="B16" s="827"/>
      <c r="C16" s="16">
        <v>320</v>
      </c>
      <c r="D16" s="16">
        <v>290</v>
      </c>
      <c r="E16" s="16">
        <v>320</v>
      </c>
      <c r="F16" s="17">
        <v>2279</v>
      </c>
      <c r="G16" s="16">
        <v>320</v>
      </c>
      <c r="H16" s="7" t="s">
        <v>177</v>
      </c>
    </row>
    <row r="17" spans="1:8" ht="12.75" customHeight="1">
      <c r="A17" s="825"/>
      <c r="B17" s="827"/>
      <c r="C17" s="16">
        <v>1100</v>
      </c>
      <c r="D17" s="20">
        <v>977.96</v>
      </c>
      <c r="E17" s="16">
        <v>1000</v>
      </c>
      <c r="F17" s="17">
        <v>2390</v>
      </c>
      <c r="G17" s="16">
        <v>980</v>
      </c>
      <c r="H17" s="7" t="s">
        <v>178</v>
      </c>
    </row>
    <row r="18" spans="1:8" ht="15">
      <c r="A18" s="826"/>
      <c r="B18" s="828"/>
      <c r="C18" s="16">
        <v>0</v>
      </c>
      <c r="D18" s="16">
        <v>0</v>
      </c>
      <c r="E18" s="16">
        <v>15</v>
      </c>
      <c r="F18" s="86">
        <v>2390</v>
      </c>
      <c r="G18" s="16"/>
      <c r="H18" s="7" t="s">
        <v>179</v>
      </c>
    </row>
    <row r="19" spans="1:8" ht="15">
      <c r="A19" s="507">
        <v>4</v>
      </c>
      <c r="B19" s="508" t="s">
        <v>1432</v>
      </c>
      <c r="C19" s="16">
        <v>0</v>
      </c>
      <c r="D19" s="16">
        <v>0</v>
      </c>
      <c r="E19" s="16">
        <v>0</v>
      </c>
      <c r="F19" s="86">
        <v>5110</v>
      </c>
      <c r="G19" s="16">
        <v>40000</v>
      </c>
      <c r="H19" s="7" t="s">
        <v>1433</v>
      </c>
    </row>
    <row r="20" spans="1:8" ht="15">
      <c r="A20" s="7">
        <v>5</v>
      </c>
      <c r="B20" s="7" t="s">
        <v>180</v>
      </c>
      <c r="C20" s="16">
        <v>100</v>
      </c>
      <c r="D20" s="16">
        <v>73.66</v>
      </c>
      <c r="E20" s="16">
        <v>100</v>
      </c>
      <c r="F20" s="17">
        <v>2279</v>
      </c>
      <c r="G20" s="16">
        <v>85</v>
      </c>
      <c r="H20" s="7" t="s">
        <v>181</v>
      </c>
    </row>
    <row r="21" spans="1:8" ht="15">
      <c r="A21" s="831">
        <v>6</v>
      </c>
      <c r="B21" s="831" t="s">
        <v>182</v>
      </c>
      <c r="C21" s="16">
        <v>1500</v>
      </c>
      <c r="D21" s="16">
        <v>0</v>
      </c>
      <c r="E21" s="16">
        <v>1500</v>
      </c>
      <c r="F21" s="86">
        <v>2279</v>
      </c>
      <c r="G21" s="16"/>
      <c r="H21" s="7" t="s">
        <v>183</v>
      </c>
    </row>
    <row r="22" spans="1:8" ht="15">
      <c r="A22" s="832"/>
      <c r="B22" s="832"/>
      <c r="C22" s="16">
        <v>500</v>
      </c>
      <c r="D22" s="16">
        <v>0</v>
      </c>
      <c r="E22" s="16">
        <v>500</v>
      </c>
      <c r="F22" s="86">
        <v>2390</v>
      </c>
      <c r="G22" s="16"/>
      <c r="H22" s="7" t="s">
        <v>184</v>
      </c>
    </row>
    <row r="23" spans="1:8" ht="24.75">
      <c r="A23" s="7">
        <v>7</v>
      </c>
      <c r="B23" s="7" t="s">
        <v>185</v>
      </c>
      <c r="C23" s="16">
        <v>4000</v>
      </c>
      <c r="D23" s="16">
        <v>0</v>
      </c>
      <c r="E23" s="16">
        <v>4000</v>
      </c>
      <c r="F23" s="17">
        <v>2390</v>
      </c>
      <c r="G23" s="16">
        <v>4000</v>
      </c>
      <c r="H23" s="7"/>
    </row>
    <row r="24" spans="1:8" ht="15">
      <c r="A24" s="829">
        <v>8</v>
      </c>
      <c r="B24" s="830" t="s">
        <v>186</v>
      </c>
      <c r="C24" s="16">
        <v>500</v>
      </c>
      <c r="D24" s="20">
        <v>416</v>
      </c>
      <c r="E24" s="20">
        <v>2000</v>
      </c>
      <c r="F24" s="31">
        <v>2121</v>
      </c>
      <c r="G24" s="16">
        <v>500</v>
      </c>
      <c r="H24" s="38" t="s">
        <v>187</v>
      </c>
    </row>
    <row r="25" spans="1:8" ht="59.25" customHeight="1">
      <c r="A25" s="825"/>
      <c r="B25" s="833"/>
      <c r="C25" s="16">
        <v>4200</v>
      </c>
      <c r="D25" s="20">
        <v>2784</v>
      </c>
      <c r="E25" s="71">
        <v>10000</v>
      </c>
      <c r="F25" s="102">
        <v>2122</v>
      </c>
      <c r="G25" s="16">
        <v>2800</v>
      </c>
      <c r="H25" s="38" t="s">
        <v>188</v>
      </c>
    </row>
    <row r="26" spans="1:8" ht="14.25" customHeight="1">
      <c r="A26" s="825"/>
      <c r="B26" s="833"/>
      <c r="C26" s="16">
        <v>70</v>
      </c>
      <c r="D26" s="20">
        <v>20</v>
      </c>
      <c r="E26" s="20">
        <v>70</v>
      </c>
      <c r="F26" s="31">
        <v>2111</v>
      </c>
      <c r="G26" s="16"/>
      <c r="H26" s="38" t="s">
        <v>189</v>
      </c>
    </row>
    <row r="27" spans="1:8" ht="12.75" customHeight="1">
      <c r="A27" s="825"/>
      <c r="B27" s="833"/>
      <c r="C27" s="16">
        <v>230</v>
      </c>
      <c r="D27" s="20">
        <v>36</v>
      </c>
      <c r="E27" s="20">
        <v>100</v>
      </c>
      <c r="F27" s="71">
        <v>2112</v>
      </c>
      <c r="G27" s="16"/>
      <c r="H27" s="38" t="s">
        <v>190</v>
      </c>
    </row>
    <row r="28" spans="1:8" ht="12.75" customHeight="1">
      <c r="A28" s="825"/>
      <c r="B28" s="833"/>
      <c r="C28" s="20">
        <v>0</v>
      </c>
      <c r="D28" s="20">
        <v>0</v>
      </c>
      <c r="E28" s="20">
        <v>6000</v>
      </c>
      <c r="F28" s="31">
        <v>5239</v>
      </c>
      <c r="G28" s="20"/>
      <c r="H28" s="38" t="s">
        <v>191</v>
      </c>
    </row>
    <row r="29" spans="1:8" ht="12.75" customHeight="1">
      <c r="A29" s="825"/>
      <c r="B29" s="833"/>
      <c r="C29" s="20">
        <v>0</v>
      </c>
      <c r="D29" s="20">
        <v>0</v>
      </c>
      <c r="E29" s="20">
        <v>900</v>
      </c>
      <c r="F29" s="86">
        <v>2239</v>
      </c>
      <c r="G29" s="20"/>
      <c r="H29" s="38" t="s">
        <v>192</v>
      </c>
    </row>
    <row r="30" spans="1:8" ht="12.75" customHeight="1">
      <c r="A30" s="825"/>
      <c r="B30" s="833"/>
      <c r="C30" s="20">
        <v>1020</v>
      </c>
      <c r="D30" s="20">
        <v>1010</v>
      </c>
      <c r="E30" s="20">
        <v>0</v>
      </c>
      <c r="F30" s="86">
        <v>2264</v>
      </c>
      <c r="G30" s="20"/>
      <c r="H30" s="38"/>
    </row>
    <row r="31" spans="1:8" ht="12.75" customHeight="1">
      <c r="A31" s="826"/>
      <c r="B31" s="834"/>
      <c r="C31" s="20">
        <v>0</v>
      </c>
      <c r="D31" s="20">
        <v>0</v>
      </c>
      <c r="E31" s="20">
        <v>6000</v>
      </c>
      <c r="F31" s="86">
        <v>2122</v>
      </c>
      <c r="G31" s="20"/>
      <c r="H31" s="38" t="s">
        <v>193</v>
      </c>
    </row>
    <row r="32" spans="1:8" ht="10.5" customHeight="1">
      <c r="A32" s="7">
        <v>9</v>
      </c>
      <c r="B32" s="7" t="s">
        <v>194</v>
      </c>
      <c r="C32" s="16">
        <v>50</v>
      </c>
      <c r="D32" s="16">
        <v>50</v>
      </c>
      <c r="E32" s="16">
        <v>50</v>
      </c>
      <c r="F32" s="17">
        <v>2515</v>
      </c>
      <c r="G32" s="16">
        <v>50</v>
      </c>
      <c r="H32" s="7" t="s">
        <v>195</v>
      </c>
    </row>
    <row r="33" spans="1:8" ht="15">
      <c r="A33" s="7">
        <v>10</v>
      </c>
      <c r="B33" s="7" t="s">
        <v>196</v>
      </c>
      <c r="C33" s="16">
        <v>50</v>
      </c>
      <c r="D33" s="20">
        <v>0</v>
      </c>
      <c r="E33" s="16">
        <v>0</v>
      </c>
      <c r="F33" s="17">
        <v>2244</v>
      </c>
      <c r="G33" s="16"/>
      <c r="H33" s="7"/>
    </row>
    <row r="34" spans="1:8" ht="24.75">
      <c r="A34" s="7">
        <v>11</v>
      </c>
      <c r="B34" s="8" t="s">
        <v>197</v>
      </c>
      <c r="C34" s="9">
        <v>100</v>
      </c>
      <c r="D34" s="9">
        <v>29.26</v>
      </c>
      <c r="E34" s="9">
        <v>100</v>
      </c>
      <c r="F34" s="10">
        <v>2232</v>
      </c>
      <c r="G34" s="9">
        <v>100</v>
      </c>
      <c r="H34" s="103" t="s">
        <v>198</v>
      </c>
    </row>
    <row r="35" spans="1:8" ht="15">
      <c r="A35" s="8"/>
      <c r="B35" s="8"/>
      <c r="C35" s="11"/>
      <c r="D35" s="11"/>
      <c r="E35" s="11"/>
      <c r="F35" s="11"/>
      <c r="G35" s="11"/>
      <c r="H35" s="12"/>
    </row>
    <row r="36" spans="1:8" ht="15">
      <c r="A36" s="18"/>
      <c r="B36" s="18"/>
      <c r="C36" s="18"/>
      <c r="D36" s="18"/>
      <c r="E36" s="18"/>
      <c r="F36" s="18"/>
      <c r="G36" s="18"/>
      <c r="H36" s="18"/>
    </row>
    <row r="37" spans="1:8" ht="15">
      <c r="A37" s="1" t="s">
        <v>4</v>
      </c>
      <c r="C37" s="806" t="s">
        <v>199</v>
      </c>
      <c r="D37" s="806"/>
      <c r="E37" s="806"/>
      <c r="F37" s="806"/>
      <c r="G37" s="806"/>
      <c r="H37" s="806"/>
    </row>
    <row r="38" spans="1:8" ht="15">
      <c r="A38" s="1" t="s">
        <v>20</v>
      </c>
      <c r="C38" s="824" t="s">
        <v>200</v>
      </c>
      <c r="D38" s="824"/>
      <c r="E38" s="824"/>
      <c r="F38" s="824"/>
      <c r="G38" s="824"/>
      <c r="H38" s="824"/>
    </row>
    <row r="39" spans="1:8" ht="36">
      <c r="A39" s="5" t="s">
        <v>7</v>
      </c>
      <c r="B39" s="5" t="s">
        <v>8</v>
      </c>
      <c r="C39" s="5" t="s">
        <v>9</v>
      </c>
      <c r="D39" s="5" t="s">
        <v>936</v>
      </c>
      <c r="E39" s="5" t="s">
        <v>10</v>
      </c>
      <c r="F39" s="5" t="s">
        <v>14</v>
      </c>
      <c r="G39" s="5" t="s">
        <v>15</v>
      </c>
      <c r="H39" s="5" t="s">
        <v>13</v>
      </c>
    </row>
    <row r="40" spans="1:8" ht="15">
      <c r="A40" s="804" t="s">
        <v>16</v>
      </c>
      <c r="B40" s="805"/>
      <c r="C40" s="6">
        <f>SUM(C41:C43)</f>
        <v>7152</v>
      </c>
      <c r="D40" s="6">
        <f>SUM(D41:D43)</f>
        <v>5821</v>
      </c>
      <c r="E40" s="6">
        <f>SUM(E41:E43)</f>
        <v>6855</v>
      </c>
      <c r="F40" s="6"/>
      <c r="G40" s="6">
        <f>SUM(G41:G43)</f>
        <v>8607</v>
      </c>
      <c r="H40" s="537" t="s">
        <v>1506</v>
      </c>
    </row>
    <row r="41" spans="1:8" ht="15">
      <c r="A41" s="104">
        <v>1</v>
      </c>
      <c r="B41" s="7" t="s">
        <v>201</v>
      </c>
      <c r="C41" s="16">
        <v>4632</v>
      </c>
      <c r="D41" s="16">
        <v>3000</v>
      </c>
      <c r="E41" s="16">
        <v>4798</v>
      </c>
      <c r="F41" s="17">
        <v>2279</v>
      </c>
      <c r="G41" s="20">
        <v>7391</v>
      </c>
      <c r="H41" s="38"/>
    </row>
    <row r="42" spans="1:8" ht="15">
      <c r="A42" s="104">
        <v>2</v>
      </c>
      <c r="B42" s="7" t="s">
        <v>202</v>
      </c>
      <c r="C42" s="16">
        <v>2520</v>
      </c>
      <c r="D42" s="16">
        <v>2821</v>
      </c>
      <c r="E42" s="16">
        <v>2057</v>
      </c>
      <c r="F42" s="17">
        <v>2279</v>
      </c>
      <c r="G42" s="20">
        <v>1216</v>
      </c>
      <c r="H42" s="38"/>
    </row>
    <row r="43" spans="1:8" ht="15">
      <c r="A43" s="7"/>
      <c r="B43" s="7"/>
      <c r="C43" s="16"/>
      <c r="D43" s="16"/>
      <c r="E43" s="16"/>
      <c r="F43" s="16"/>
      <c r="G43" s="16"/>
      <c r="H43" s="7"/>
    </row>
    <row r="44" spans="1:8" ht="15">
      <c r="A44" s="18"/>
      <c r="B44" s="18"/>
      <c r="C44" s="19"/>
      <c r="D44" s="19"/>
      <c r="E44" s="19"/>
      <c r="F44" s="19"/>
      <c r="G44" s="19"/>
      <c r="H44" s="18"/>
    </row>
    <row r="45" spans="1:8" ht="15">
      <c r="A45" s="1" t="s">
        <v>4</v>
      </c>
      <c r="C45" s="806" t="s">
        <v>35</v>
      </c>
      <c r="D45" s="806"/>
      <c r="E45" s="806"/>
      <c r="F45" s="806"/>
      <c r="G45" s="806"/>
      <c r="H45" s="806"/>
    </row>
    <row r="46" spans="1:8" ht="15">
      <c r="A46" s="1" t="s">
        <v>20</v>
      </c>
      <c r="C46" s="824" t="s">
        <v>1105</v>
      </c>
      <c r="D46" s="824"/>
      <c r="E46" s="824"/>
      <c r="F46" s="824"/>
      <c r="G46" s="824"/>
      <c r="H46" s="824"/>
    </row>
    <row r="47" spans="1:8" ht="36">
      <c r="A47" s="5" t="s">
        <v>7</v>
      </c>
      <c r="B47" s="5" t="s">
        <v>8</v>
      </c>
      <c r="C47" s="5" t="s">
        <v>9</v>
      </c>
      <c r="D47" s="5" t="s">
        <v>943</v>
      </c>
      <c r="E47" s="5" t="s">
        <v>10</v>
      </c>
      <c r="F47" s="5" t="s">
        <v>14</v>
      </c>
      <c r="G47" s="5" t="s">
        <v>15</v>
      </c>
      <c r="H47" s="5" t="s">
        <v>13</v>
      </c>
    </row>
    <row r="48" spans="1:8" ht="15">
      <c r="A48" s="804" t="s">
        <v>16</v>
      </c>
      <c r="B48" s="805"/>
      <c r="C48" s="6">
        <f>SUM(C49:C51)</f>
        <v>0</v>
      </c>
      <c r="D48" s="6">
        <f>SUM(D49:D51)</f>
        <v>0</v>
      </c>
      <c r="E48" s="6">
        <f>SUM(E49:E51)</f>
        <v>2684</v>
      </c>
      <c r="F48" s="6"/>
      <c r="G48" s="6">
        <f>SUM(G49:G51)</f>
        <v>2684</v>
      </c>
      <c r="H48" s="7"/>
    </row>
    <row r="49" spans="1:8" ht="24.75">
      <c r="A49" s="104">
        <v>1</v>
      </c>
      <c r="B49" s="7" t="s">
        <v>1106</v>
      </c>
      <c r="C49" s="16">
        <v>0</v>
      </c>
      <c r="D49" s="16">
        <v>0</v>
      </c>
      <c r="E49" s="16">
        <v>2684</v>
      </c>
      <c r="F49" s="17">
        <v>5250</v>
      </c>
      <c r="G49" s="20">
        <v>2684</v>
      </c>
      <c r="H49" s="38"/>
    </row>
    <row r="50" spans="1:8" ht="15">
      <c r="A50" s="104">
        <v>2</v>
      </c>
      <c r="B50" s="7"/>
      <c r="C50" s="16"/>
      <c r="D50" s="16"/>
      <c r="E50" s="16"/>
      <c r="F50" s="17"/>
      <c r="G50" s="20"/>
      <c r="H50" s="38"/>
    </row>
    <row r="51" spans="1:8" ht="15">
      <c r="A51" s="7"/>
      <c r="B51" s="7"/>
      <c r="C51" s="16"/>
      <c r="D51" s="16"/>
      <c r="E51" s="16"/>
      <c r="F51" s="16"/>
      <c r="G51" s="16"/>
      <c r="H51" s="7"/>
    </row>
    <row r="52" spans="1:8" ht="15">
      <c r="A52" s="18"/>
      <c r="B52" s="18"/>
      <c r="C52" s="19"/>
      <c r="D52" s="19"/>
      <c r="E52" s="19"/>
      <c r="F52" s="19"/>
      <c r="G52" s="19"/>
      <c r="H52" s="18"/>
    </row>
    <row r="53" spans="1:8" ht="15">
      <c r="A53" s="18"/>
      <c r="B53" s="18"/>
      <c r="C53" s="19"/>
      <c r="D53" s="19"/>
      <c r="E53" s="19"/>
      <c r="F53" s="19"/>
      <c r="G53" s="19"/>
      <c r="H53" s="18"/>
    </row>
    <row r="54" spans="1:8" ht="15">
      <c r="A54" s="1" t="s">
        <v>4</v>
      </c>
      <c r="C54" s="806" t="s">
        <v>1381</v>
      </c>
      <c r="D54" s="806"/>
      <c r="E54" s="806"/>
      <c r="F54" s="806"/>
      <c r="G54" s="806"/>
      <c r="H54" s="806"/>
    </row>
    <row r="55" spans="1:8" ht="15">
      <c r="A55" s="1" t="s">
        <v>20</v>
      </c>
      <c r="C55" s="824" t="s">
        <v>80</v>
      </c>
      <c r="D55" s="824"/>
      <c r="E55" s="105"/>
      <c r="F55" s="105"/>
      <c r="G55" s="105"/>
      <c r="H55" s="105"/>
    </row>
    <row r="56" spans="1:8" ht="36">
      <c r="A56" s="5" t="s">
        <v>7</v>
      </c>
      <c r="B56" s="5" t="s">
        <v>8</v>
      </c>
      <c r="C56" s="5" t="s">
        <v>9</v>
      </c>
      <c r="D56" s="5" t="s">
        <v>936</v>
      </c>
      <c r="E56" s="5" t="s">
        <v>10</v>
      </c>
      <c r="F56" s="5" t="s">
        <v>14</v>
      </c>
      <c r="G56" s="5" t="s">
        <v>15</v>
      </c>
      <c r="H56" s="5" t="s">
        <v>13</v>
      </c>
    </row>
    <row r="57" spans="1:8" ht="15">
      <c r="A57" s="804" t="s">
        <v>16</v>
      </c>
      <c r="B57" s="805"/>
      <c r="C57" s="6">
        <f>SUM(C58:C65)</f>
        <v>5900</v>
      </c>
      <c r="D57" s="6">
        <f>SUM(D58:D65)</f>
        <v>5900</v>
      </c>
      <c r="E57" s="6">
        <f>SUM(E58:E65)</f>
        <v>16400</v>
      </c>
      <c r="F57" s="6"/>
      <c r="G57" s="6">
        <f>SUM(G58:G65)</f>
        <v>10400</v>
      </c>
      <c r="H57" s="537" t="s">
        <v>1505</v>
      </c>
    </row>
    <row r="58" spans="1:20" s="2" customFormat="1" ht="24.75">
      <c r="A58" s="7">
        <v>1</v>
      </c>
      <c r="B58" s="7" t="s">
        <v>203</v>
      </c>
      <c r="C58" s="16">
        <v>1050</v>
      </c>
      <c r="D58" s="16">
        <v>1050</v>
      </c>
      <c r="E58" s="16">
        <v>1050</v>
      </c>
      <c r="F58" s="86">
        <v>2239</v>
      </c>
      <c r="G58" s="20">
        <v>1050</v>
      </c>
      <c r="H58" s="38"/>
      <c r="I58"/>
      <c r="J58"/>
      <c r="K58"/>
      <c r="L58"/>
      <c r="M58"/>
      <c r="N58"/>
      <c r="O58"/>
      <c r="P58"/>
      <c r="Q58"/>
      <c r="R58"/>
      <c r="S58"/>
      <c r="T58"/>
    </row>
    <row r="59" spans="1:20" s="2" customFormat="1" ht="24.75" customHeight="1">
      <c r="A59" s="7">
        <v>2</v>
      </c>
      <c r="B59" s="7" t="s">
        <v>204</v>
      </c>
      <c r="C59" s="16">
        <v>850</v>
      </c>
      <c r="D59" s="16">
        <v>850</v>
      </c>
      <c r="E59" s="16">
        <v>850</v>
      </c>
      <c r="F59" s="86">
        <v>2239</v>
      </c>
      <c r="G59" s="20">
        <v>850</v>
      </c>
      <c r="H59" s="38"/>
      <c r="I59"/>
      <c r="J59"/>
      <c r="K59"/>
      <c r="L59"/>
      <c r="M59"/>
      <c r="N59"/>
      <c r="O59"/>
      <c r="P59"/>
      <c r="Q59"/>
      <c r="R59"/>
      <c r="S59"/>
      <c r="T59"/>
    </row>
    <row r="60" spans="1:20" s="2" customFormat="1" ht="15">
      <c r="A60" s="829">
        <v>3</v>
      </c>
      <c r="B60" s="830" t="s">
        <v>205</v>
      </c>
      <c r="C60" s="16">
        <v>1086</v>
      </c>
      <c r="D60" s="16">
        <v>1086</v>
      </c>
      <c r="E60" s="16">
        <v>0</v>
      </c>
      <c r="F60" s="86">
        <v>2232</v>
      </c>
      <c r="G60" s="20"/>
      <c r="H60" s="38"/>
      <c r="I60"/>
      <c r="J60"/>
      <c r="K60"/>
      <c r="L60"/>
      <c r="M60"/>
      <c r="N60"/>
      <c r="O60"/>
      <c r="P60"/>
      <c r="Q60"/>
      <c r="R60"/>
      <c r="S60"/>
      <c r="T60"/>
    </row>
    <row r="61" spans="1:20" s="2" customFormat="1" ht="15">
      <c r="A61" s="825"/>
      <c r="B61" s="828"/>
      <c r="C61" s="16">
        <v>2914</v>
      </c>
      <c r="D61" s="16">
        <v>2914</v>
      </c>
      <c r="E61" s="16">
        <v>0</v>
      </c>
      <c r="F61" s="86">
        <v>5110</v>
      </c>
      <c r="G61" s="20"/>
      <c r="H61" s="38"/>
      <c r="I61"/>
      <c r="J61"/>
      <c r="K61"/>
      <c r="L61"/>
      <c r="M61"/>
      <c r="N61"/>
      <c r="O61"/>
      <c r="P61"/>
      <c r="Q61"/>
      <c r="R61"/>
      <c r="S61"/>
      <c r="T61"/>
    </row>
    <row r="62" spans="1:8" ht="15">
      <c r="A62" s="106">
        <v>4</v>
      </c>
      <c r="B62" s="8" t="s">
        <v>206</v>
      </c>
      <c r="C62" s="16">
        <v>0</v>
      </c>
      <c r="D62" s="16">
        <v>0</v>
      </c>
      <c r="E62" s="20">
        <v>5000</v>
      </c>
      <c r="F62" s="86">
        <v>2244</v>
      </c>
      <c r="G62" s="20">
        <v>5000</v>
      </c>
      <c r="H62" s="38"/>
    </row>
    <row r="63" spans="1:8" ht="12" customHeight="1">
      <c r="A63" s="106">
        <v>5</v>
      </c>
      <c r="B63" s="7" t="s">
        <v>207</v>
      </c>
      <c r="C63" s="1">
        <v>0</v>
      </c>
      <c r="D63" s="1">
        <v>0</v>
      </c>
      <c r="E63" s="20">
        <v>3000</v>
      </c>
      <c r="F63" s="86">
        <v>2279</v>
      </c>
      <c r="G63" s="20"/>
      <c r="H63" s="38"/>
    </row>
    <row r="64" spans="1:8" ht="15">
      <c r="A64" s="38">
        <v>6</v>
      </c>
      <c r="B64" s="7" t="s">
        <v>208</v>
      </c>
      <c r="C64" s="9">
        <v>0</v>
      </c>
      <c r="D64" s="9">
        <v>0</v>
      </c>
      <c r="E64" s="20">
        <v>3000</v>
      </c>
      <c r="F64" s="86">
        <v>2279</v>
      </c>
      <c r="G64" s="20"/>
      <c r="H64" s="38"/>
    </row>
    <row r="65" spans="1:8" ht="24.75">
      <c r="A65" s="7">
        <v>7</v>
      </c>
      <c r="B65" s="7" t="s">
        <v>1376</v>
      </c>
      <c r="C65" s="16">
        <v>0</v>
      </c>
      <c r="D65" s="16">
        <v>0</v>
      </c>
      <c r="E65" s="16">
        <v>3500</v>
      </c>
      <c r="F65" s="16">
        <v>2279</v>
      </c>
      <c r="G65" s="16">
        <v>3500</v>
      </c>
      <c r="H65" s="7"/>
    </row>
    <row r="66" spans="1:8" ht="15">
      <c r="A66" s="18"/>
      <c r="B66" s="18"/>
      <c r="C66" s="19"/>
      <c r="D66" s="19"/>
      <c r="E66" s="19"/>
      <c r="F66" s="19"/>
      <c r="G66" s="19"/>
      <c r="H66" s="18"/>
    </row>
    <row r="67" spans="1:8" ht="15">
      <c r="A67" s="1" t="s">
        <v>4</v>
      </c>
      <c r="C67" s="806" t="s">
        <v>1390</v>
      </c>
      <c r="D67" s="806"/>
      <c r="E67" s="806"/>
      <c r="F67" s="806"/>
      <c r="G67" s="806"/>
      <c r="H67" s="806"/>
    </row>
    <row r="68" spans="1:8" ht="15">
      <c r="A68" s="1" t="s">
        <v>20</v>
      </c>
      <c r="C68" s="824" t="s">
        <v>82</v>
      </c>
      <c r="D68" s="824"/>
      <c r="E68" s="105"/>
      <c r="F68" s="105"/>
      <c r="G68" s="105"/>
      <c r="H68" s="105"/>
    </row>
    <row r="69" spans="1:8" ht="36">
      <c r="A69" s="5" t="s">
        <v>7</v>
      </c>
      <c r="B69" s="5" t="s">
        <v>8</v>
      </c>
      <c r="C69" s="5" t="s">
        <v>9</v>
      </c>
      <c r="D69" s="5" t="s">
        <v>936</v>
      </c>
      <c r="E69" s="5" t="s">
        <v>10</v>
      </c>
      <c r="F69" s="5" t="s">
        <v>14</v>
      </c>
      <c r="G69" s="5" t="s">
        <v>15</v>
      </c>
      <c r="H69" s="5" t="s">
        <v>13</v>
      </c>
    </row>
    <row r="70" spans="1:8" ht="15">
      <c r="A70" s="804" t="s">
        <v>16</v>
      </c>
      <c r="B70" s="805"/>
      <c r="C70" s="6">
        <f>SUM(C71:C72)</f>
        <v>6550</v>
      </c>
      <c r="D70" s="6">
        <f>SUM(D71:D72)</f>
        <v>6550</v>
      </c>
      <c r="E70" s="6">
        <f>SUM(E71:E72)</f>
        <v>12624</v>
      </c>
      <c r="F70" s="6"/>
      <c r="G70" s="6">
        <f>SUM(G71:G72)</f>
        <v>9324</v>
      </c>
      <c r="H70" s="537" t="s">
        <v>1504</v>
      </c>
    </row>
    <row r="71" spans="1:20" s="42" customFormat="1" ht="72.75">
      <c r="A71" s="107">
        <v>1</v>
      </c>
      <c r="B71" s="38" t="s">
        <v>209</v>
      </c>
      <c r="C71" s="20">
        <v>6550</v>
      </c>
      <c r="D71" s="108">
        <v>6550</v>
      </c>
      <c r="E71" s="20">
        <v>12624</v>
      </c>
      <c r="F71" s="86">
        <v>2279</v>
      </c>
      <c r="G71" s="20">
        <v>9324</v>
      </c>
      <c r="H71" s="38" t="s">
        <v>210</v>
      </c>
      <c r="I71"/>
      <c r="J71"/>
      <c r="K71"/>
      <c r="L71"/>
      <c r="M71"/>
      <c r="N71"/>
      <c r="O71"/>
      <c r="P71"/>
      <c r="Q71"/>
      <c r="R71"/>
      <c r="S71"/>
      <c r="T71"/>
    </row>
    <row r="72" spans="1:8" ht="15">
      <c r="A72" s="7"/>
      <c r="B72" s="7"/>
      <c r="C72" s="16"/>
      <c r="D72" s="16"/>
      <c r="E72" s="16"/>
      <c r="F72" s="16"/>
      <c r="G72" s="16"/>
      <c r="H72" s="7"/>
    </row>
    <row r="73" spans="1:8" ht="15">
      <c r="A73" s="18"/>
      <c r="B73" s="18"/>
      <c r="C73" s="19"/>
      <c r="D73" s="19"/>
      <c r="E73" s="19"/>
      <c r="F73" s="19"/>
      <c r="G73" s="19"/>
      <c r="H73" s="18"/>
    </row>
    <row r="74" spans="1:8" ht="15">
      <c r="A74" s="1" t="s">
        <v>19</v>
      </c>
      <c r="C74" s="806" t="s">
        <v>1391</v>
      </c>
      <c r="D74" s="806"/>
      <c r="E74" s="806"/>
      <c r="F74" s="806"/>
      <c r="G74" s="806"/>
      <c r="H74" s="806"/>
    </row>
    <row r="75" spans="1:8" ht="15">
      <c r="A75" s="1" t="s">
        <v>5</v>
      </c>
      <c r="C75" s="806" t="s">
        <v>211</v>
      </c>
      <c r="D75" s="806"/>
      <c r="E75" s="806"/>
      <c r="F75" s="806"/>
      <c r="G75" s="806"/>
      <c r="H75" s="806"/>
    </row>
    <row r="76" spans="1:8" ht="36.75">
      <c r="A76" s="803" t="s">
        <v>7</v>
      </c>
      <c r="B76" s="803" t="s">
        <v>8</v>
      </c>
      <c r="C76" s="803" t="s">
        <v>9</v>
      </c>
      <c r="D76" s="803" t="s">
        <v>936</v>
      </c>
      <c r="E76" s="803" t="s">
        <v>10</v>
      </c>
      <c r="F76" s="4" t="s">
        <v>11</v>
      </c>
      <c r="G76" s="4" t="s">
        <v>12</v>
      </c>
      <c r="H76" s="803" t="s">
        <v>13</v>
      </c>
    </row>
    <row r="77" spans="1:8" ht="36">
      <c r="A77" s="803"/>
      <c r="B77" s="803"/>
      <c r="C77" s="803"/>
      <c r="D77" s="803"/>
      <c r="E77" s="803"/>
      <c r="F77" s="5" t="s">
        <v>14</v>
      </c>
      <c r="G77" s="5" t="s">
        <v>15</v>
      </c>
      <c r="H77" s="803"/>
    </row>
    <row r="78" spans="1:8" ht="15">
      <c r="A78" s="804" t="s">
        <v>16</v>
      </c>
      <c r="B78" s="805"/>
      <c r="C78" s="6">
        <f>SUM(C79:C82)</f>
        <v>3479</v>
      </c>
      <c r="D78" s="6">
        <f>SUM(D79:D82)</f>
        <v>3479</v>
      </c>
      <c r="E78" s="6">
        <f>SUM(E79:E82)</f>
        <v>3679</v>
      </c>
      <c r="F78" s="6"/>
      <c r="G78" s="6">
        <f>SUM(G79:G82)</f>
        <v>3629</v>
      </c>
      <c r="H78" s="537" t="s">
        <v>1503</v>
      </c>
    </row>
    <row r="79" spans="1:8" ht="12.75" customHeight="1">
      <c r="A79" s="825">
        <v>1</v>
      </c>
      <c r="B79" s="827" t="s">
        <v>212</v>
      </c>
      <c r="C79" s="16">
        <v>500</v>
      </c>
      <c r="D79" s="16">
        <v>500</v>
      </c>
      <c r="E79" s="16">
        <v>500</v>
      </c>
      <c r="F79" s="86">
        <v>7712</v>
      </c>
      <c r="G79" s="20">
        <v>500</v>
      </c>
      <c r="H79" s="7" t="s">
        <v>213</v>
      </c>
    </row>
    <row r="80" spans="1:8" ht="24.75" customHeight="1">
      <c r="A80" s="825"/>
      <c r="B80" s="827"/>
      <c r="C80" s="16">
        <v>0</v>
      </c>
      <c r="D80" s="109">
        <v>0</v>
      </c>
      <c r="E80" s="110">
        <v>200</v>
      </c>
      <c r="F80" s="86">
        <v>2390</v>
      </c>
      <c r="G80" s="20">
        <v>150</v>
      </c>
      <c r="H80" s="38" t="s">
        <v>214</v>
      </c>
    </row>
    <row r="81" spans="1:8" ht="12.75" customHeight="1">
      <c r="A81" s="825"/>
      <c r="B81" s="827"/>
      <c r="C81" s="8">
        <v>2400</v>
      </c>
      <c r="D81" s="111">
        <v>2400</v>
      </c>
      <c r="E81" s="8">
        <v>2400</v>
      </c>
      <c r="F81" s="86">
        <v>1150</v>
      </c>
      <c r="G81" s="20">
        <v>2400</v>
      </c>
      <c r="H81" s="8" t="s">
        <v>215</v>
      </c>
    </row>
    <row r="82" spans="1:8" ht="12.75" customHeight="1">
      <c r="A82" s="826"/>
      <c r="B82" s="828"/>
      <c r="C82" s="16">
        <v>579</v>
      </c>
      <c r="D82" s="109">
        <v>579</v>
      </c>
      <c r="E82" s="16">
        <v>579</v>
      </c>
      <c r="F82" s="86">
        <v>1210</v>
      </c>
      <c r="G82" s="20">
        <v>579</v>
      </c>
      <c r="H82" s="7" t="s">
        <v>216</v>
      </c>
    </row>
    <row r="83" spans="1:8" ht="15">
      <c r="A83" s="104"/>
      <c r="B83" s="7"/>
      <c r="C83" s="8"/>
      <c r="D83" s="8"/>
      <c r="E83" s="8"/>
      <c r="F83" s="20"/>
      <c r="G83" s="20"/>
      <c r="H83" s="38"/>
    </row>
    <row r="85" spans="1:8" ht="15">
      <c r="A85" s="1" t="s">
        <v>4</v>
      </c>
      <c r="C85" s="801" t="s">
        <v>1388</v>
      </c>
      <c r="D85" s="801"/>
      <c r="E85" s="801"/>
      <c r="F85" s="801"/>
      <c r="G85" s="801"/>
      <c r="H85" s="801"/>
    </row>
    <row r="86" spans="1:8" ht="15">
      <c r="A86" s="1" t="s">
        <v>20</v>
      </c>
      <c r="C86" s="824" t="s">
        <v>132</v>
      </c>
      <c r="D86" s="824"/>
      <c r="E86" s="105"/>
      <c r="F86" s="105"/>
      <c r="G86" s="105"/>
      <c r="H86" s="105"/>
    </row>
    <row r="87" spans="1:8" ht="36">
      <c r="A87" s="5" t="s">
        <v>7</v>
      </c>
      <c r="B87" s="5" t="s">
        <v>8</v>
      </c>
      <c r="C87" s="5" t="s">
        <v>9</v>
      </c>
      <c r="D87" s="5" t="s">
        <v>936</v>
      </c>
      <c r="E87" s="5" t="s">
        <v>10</v>
      </c>
      <c r="F87" s="5" t="s">
        <v>14</v>
      </c>
      <c r="G87" s="5" t="s">
        <v>15</v>
      </c>
      <c r="H87" s="5" t="s">
        <v>13</v>
      </c>
    </row>
    <row r="88" spans="1:8" ht="15">
      <c r="A88" s="804" t="s">
        <v>16</v>
      </c>
      <c r="B88" s="805"/>
      <c r="C88" s="6">
        <f>SUM(C89)</f>
        <v>60</v>
      </c>
      <c r="D88" s="6">
        <f>SUM(D89)</f>
        <v>24</v>
      </c>
      <c r="E88" s="6">
        <f>SUM(E89)</f>
        <v>0</v>
      </c>
      <c r="F88" s="6"/>
      <c r="G88" s="6">
        <f>SUM(G89)</f>
        <v>0</v>
      </c>
      <c r="H88" s="7"/>
    </row>
    <row r="89" spans="1:20" s="42" customFormat="1" ht="15">
      <c r="A89" s="107">
        <v>1</v>
      </c>
      <c r="B89" s="38" t="s">
        <v>145</v>
      </c>
      <c r="C89" s="20">
        <v>60</v>
      </c>
      <c r="D89" s="108">
        <v>24</v>
      </c>
      <c r="E89" s="20">
        <v>0</v>
      </c>
      <c r="F89" s="86">
        <v>5250</v>
      </c>
      <c r="G89" s="20"/>
      <c r="H89" s="38"/>
      <c r="I89"/>
      <c r="J89"/>
      <c r="K89"/>
      <c r="L89"/>
      <c r="M89"/>
      <c r="N89"/>
      <c r="O89"/>
      <c r="P89"/>
      <c r="Q89"/>
      <c r="R89"/>
      <c r="S89"/>
      <c r="T89"/>
    </row>
    <row r="90" spans="1:8" ht="15">
      <c r="A90" s="784" t="s">
        <v>17</v>
      </c>
      <c r="B90" s="785"/>
      <c r="C90" s="13">
        <f>C11+C40+C57+C48+C70+C78+C88</f>
        <v>72532</v>
      </c>
      <c r="D90" s="13">
        <f>D11+D40+D57+D48+D70+D78+D88</f>
        <v>44050.31</v>
      </c>
      <c r="E90" s="13">
        <f>E11+E40+E57+E48+E70+E78+E88</f>
        <v>121217</v>
      </c>
      <c r="F90" s="13"/>
      <c r="G90" s="13">
        <f>G11+G40+G57+G48+G70+G78+G88</f>
        <v>118299</v>
      </c>
      <c r="H90" s="537" t="s">
        <v>1502</v>
      </c>
    </row>
    <row r="91" ht="15"/>
    <row r="92" ht="15"/>
    <row r="93" ht="15"/>
    <row r="94" ht="15"/>
    <row r="95" ht="15"/>
    <row r="96" ht="15"/>
    <row r="97" ht="15"/>
    <row r="98" ht="15"/>
  </sheetData>
  <sheetProtection/>
  <mergeCells count="49">
    <mergeCell ref="A13:A14"/>
    <mergeCell ref="B13:B14"/>
    <mergeCell ref="A15:A18"/>
    <mergeCell ref="B15:B18"/>
    <mergeCell ref="A9:A10"/>
    <mergeCell ref="C4:H4"/>
    <mergeCell ref="A5:H5"/>
    <mergeCell ref="C6:H6"/>
    <mergeCell ref="C7:H7"/>
    <mergeCell ref="C8:H8"/>
    <mergeCell ref="H9:H10"/>
    <mergeCell ref="B9:B10"/>
    <mergeCell ref="C9:C10"/>
    <mergeCell ref="D9:D10"/>
    <mergeCell ref="E9:E10"/>
    <mergeCell ref="C37:H37"/>
    <mergeCell ref="A21:A22"/>
    <mergeCell ref="B21:B22"/>
    <mergeCell ref="A24:A31"/>
    <mergeCell ref="B24:B31"/>
    <mergeCell ref="A11:B11"/>
    <mergeCell ref="A40:B40"/>
    <mergeCell ref="C54:H54"/>
    <mergeCell ref="C55:D55"/>
    <mergeCell ref="A57:B57"/>
    <mergeCell ref="C38:H38"/>
    <mergeCell ref="C45:H45"/>
    <mergeCell ref="C46:H46"/>
    <mergeCell ref="A48:B48"/>
    <mergeCell ref="A76:A77"/>
    <mergeCell ref="B76:B77"/>
    <mergeCell ref="C76:C77"/>
    <mergeCell ref="D76:D77"/>
    <mergeCell ref="E76:E77"/>
    <mergeCell ref="A60:A61"/>
    <mergeCell ref="B60:B61"/>
    <mergeCell ref="C67:H67"/>
    <mergeCell ref="C68:D68"/>
    <mergeCell ref="A70:B70"/>
    <mergeCell ref="C74:H74"/>
    <mergeCell ref="C75:H75"/>
    <mergeCell ref="C86:D86"/>
    <mergeCell ref="A88:B88"/>
    <mergeCell ref="A90:B90"/>
    <mergeCell ref="H76:H77"/>
    <mergeCell ref="A78:B78"/>
    <mergeCell ref="A79:A82"/>
    <mergeCell ref="B79:B82"/>
    <mergeCell ref="C85:H85"/>
  </mergeCells>
  <printOptions/>
  <pageMargins left="0.3937007874015748" right="0.3937007874015748" top="0.7874015748031497" bottom="0.7874015748031497" header="0.5118110236220472" footer="0.5118110236220472"/>
  <pageSetup fitToHeight="0"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rgb="FFFF66FF"/>
    <pageSetUpPr fitToPage="1"/>
  </sheetPr>
  <dimension ref="A1:H17"/>
  <sheetViews>
    <sheetView zoomScalePageLayoutView="0" workbookViewId="0" topLeftCell="A1">
      <selection activeCell="I21" sqref="I21"/>
    </sheetView>
  </sheetViews>
  <sheetFormatPr defaultColWidth="9.140625" defaultRowHeight="15"/>
  <cols>
    <col min="1" max="1" width="6.140625" style="1" customWidth="1"/>
    <col min="2" max="2" width="44.8515625" style="1" customWidth="1"/>
    <col min="3" max="3" width="11.8515625" style="1" customWidth="1"/>
    <col min="4" max="4" width="11.140625" style="1" customWidth="1"/>
    <col min="5" max="5" width="10.28125" style="1" customWidth="1"/>
    <col min="6" max="6" width="10.57421875" style="1" customWidth="1"/>
    <col min="7" max="7" width="9.7109375" style="1" customWidth="1"/>
    <col min="8" max="8" width="16.7109375" style="1" customWidth="1"/>
    <col min="9" max="16384" width="9.140625" style="1" customWidth="1"/>
  </cols>
  <sheetData>
    <row r="1" s="727" customFormat="1" ht="15.75">
      <c r="H1" s="728" t="s">
        <v>1635</v>
      </c>
    </row>
    <row r="2" s="727" customFormat="1" ht="15.75">
      <c r="H2" s="728" t="s">
        <v>1627</v>
      </c>
    </row>
    <row r="3" s="727" customFormat="1" ht="15.75">
      <c r="H3" s="728" t="s">
        <v>1628</v>
      </c>
    </row>
    <row r="4" spans="1:8" ht="12">
      <c r="A4" s="1" t="s">
        <v>18</v>
      </c>
      <c r="B4" s="2"/>
      <c r="C4" s="822" t="s">
        <v>1</v>
      </c>
      <c r="D4" s="822"/>
      <c r="E4" s="822"/>
      <c r="F4" s="822"/>
      <c r="G4" s="822"/>
      <c r="H4" s="822"/>
    </row>
    <row r="5" spans="1:8" ht="15.75">
      <c r="A5" s="835" t="s">
        <v>2</v>
      </c>
      <c r="B5" s="835"/>
      <c r="C5" s="835"/>
      <c r="D5" s="835"/>
      <c r="E5" s="835"/>
      <c r="F5" s="835"/>
      <c r="G5" s="835"/>
      <c r="H5" s="835"/>
    </row>
    <row r="6" spans="1:8" ht="12">
      <c r="A6" s="1" t="s">
        <v>217</v>
      </c>
      <c r="C6" s="822" t="s">
        <v>218</v>
      </c>
      <c r="D6" s="822"/>
      <c r="E6" s="822"/>
      <c r="F6" s="822"/>
      <c r="G6" s="822"/>
      <c r="H6" s="822"/>
    </row>
    <row r="7" spans="1:8" ht="12">
      <c r="A7" s="1" t="s">
        <v>19</v>
      </c>
      <c r="C7" s="806" t="s">
        <v>1392</v>
      </c>
      <c r="D7" s="806"/>
      <c r="E7" s="806"/>
      <c r="F7" s="806"/>
      <c r="G7" s="806"/>
      <c r="H7" s="806"/>
    </row>
    <row r="8" spans="1:8" ht="12">
      <c r="A8" s="1" t="s">
        <v>5</v>
      </c>
      <c r="C8" s="806" t="s">
        <v>219</v>
      </c>
      <c r="D8" s="806"/>
      <c r="E8" s="806"/>
      <c r="F8" s="806"/>
      <c r="G8" s="806"/>
      <c r="H8" s="806"/>
    </row>
    <row r="9" spans="1:8" ht="36">
      <c r="A9" s="803" t="s">
        <v>7</v>
      </c>
      <c r="B9" s="803" t="s">
        <v>8</v>
      </c>
      <c r="C9" s="803" t="s">
        <v>9</v>
      </c>
      <c r="D9" s="803" t="s">
        <v>936</v>
      </c>
      <c r="E9" s="803" t="s">
        <v>10</v>
      </c>
      <c r="F9" s="4" t="s">
        <v>11</v>
      </c>
      <c r="G9" s="4" t="s">
        <v>12</v>
      </c>
      <c r="H9" s="803" t="s">
        <v>13</v>
      </c>
    </row>
    <row r="10" spans="1:8" ht="36">
      <c r="A10" s="803"/>
      <c r="B10" s="803"/>
      <c r="C10" s="803"/>
      <c r="D10" s="803"/>
      <c r="E10" s="803"/>
      <c r="F10" s="5" t="s">
        <v>14</v>
      </c>
      <c r="G10" s="5" t="s">
        <v>15</v>
      </c>
      <c r="H10" s="803"/>
    </row>
    <row r="11" spans="1:8" ht="12">
      <c r="A11" s="804" t="s">
        <v>16</v>
      </c>
      <c r="B11" s="805"/>
      <c r="C11" s="6">
        <f>SUM(C12:C16)</f>
        <v>0</v>
      </c>
      <c r="D11" s="6">
        <f>SUM(D12:D16)</f>
        <v>0</v>
      </c>
      <c r="E11" s="6">
        <f>SUM(E12:E16)</f>
        <v>35000</v>
      </c>
      <c r="F11" s="15"/>
      <c r="G11" s="6">
        <f>SUM(G12:G16)</f>
        <v>8000</v>
      </c>
      <c r="H11" s="7"/>
    </row>
    <row r="12" spans="1:8" ht="12">
      <c r="A12" s="7">
        <v>1</v>
      </c>
      <c r="B12" s="7" t="s">
        <v>220</v>
      </c>
      <c r="C12" s="16">
        <v>0</v>
      </c>
      <c r="D12" s="16">
        <v>0</v>
      </c>
      <c r="E12" s="16">
        <v>5000</v>
      </c>
      <c r="F12" s="86">
        <v>2239</v>
      </c>
      <c r="G12" s="16">
        <v>5000</v>
      </c>
      <c r="H12" s="7"/>
    </row>
    <row r="13" spans="1:8" ht="12">
      <c r="A13" s="7">
        <v>2</v>
      </c>
      <c r="B13" s="7" t="s">
        <v>1107</v>
      </c>
      <c r="C13" s="16">
        <v>0</v>
      </c>
      <c r="D13" s="16">
        <v>0</v>
      </c>
      <c r="E13" s="16">
        <v>1000</v>
      </c>
      <c r="F13" s="86">
        <v>2279</v>
      </c>
      <c r="G13" s="16">
        <v>1000</v>
      </c>
      <c r="H13" s="7"/>
    </row>
    <row r="14" spans="1:8" ht="12">
      <c r="A14" s="7">
        <v>3</v>
      </c>
      <c r="B14" s="7" t="s">
        <v>221</v>
      </c>
      <c r="C14" s="16">
        <v>0</v>
      </c>
      <c r="D14" s="16">
        <v>0</v>
      </c>
      <c r="E14" s="16">
        <v>27000</v>
      </c>
      <c r="F14" s="86">
        <v>5130</v>
      </c>
      <c r="G14" s="16"/>
      <c r="H14" s="7"/>
    </row>
    <row r="15" spans="1:8" ht="12">
      <c r="A15" s="7">
        <v>4</v>
      </c>
      <c r="B15" s="7" t="s">
        <v>1426</v>
      </c>
      <c r="C15" s="16">
        <v>0</v>
      </c>
      <c r="D15" s="16">
        <v>0</v>
      </c>
      <c r="E15" s="16">
        <v>1000</v>
      </c>
      <c r="F15" s="86">
        <v>5240</v>
      </c>
      <c r="G15" s="16">
        <v>1000</v>
      </c>
      <c r="H15" s="7"/>
    </row>
    <row r="16" spans="1:8" ht="12">
      <c r="A16" s="7">
        <v>5</v>
      </c>
      <c r="B16" s="7" t="s">
        <v>222</v>
      </c>
      <c r="C16" s="16">
        <v>0</v>
      </c>
      <c r="D16" s="16">
        <v>0</v>
      </c>
      <c r="E16" s="16">
        <v>1000</v>
      </c>
      <c r="F16" s="17">
        <v>2279</v>
      </c>
      <c r="G16" s="16">
        <v>1000</v>
      </c>
      <c r="H16" s="7"/>
    </row>
    <row r="17" spans="1:8" ht="12">
      <c r="A17" s="784" t="s">
        <v>17</v>
      </c>
      <c r="B17" s="785"/>
      <c r="C17" s="13">
        <f>SUM(C11)</f>
        <v>0</v>
      </c>
      <c r="D17" s="13">
        <f>SUM(D11)</f>
        <v>0</v>
      </c>
      <c r="E17" s="13">
        <f>SUM(E11)</f>
        <v>35000</v>
      </c>
      <c r="F17" s="13"/>
      <c r="G17" s="13">
        <f>SUM(G11)</f>
        <v>8000</v>
      </c>
      <c r="H17" s="14"/>
    </row>
    <row r="18" ht="15"/>
    <row r="19" ht="15"/>
    <row r="20" ht="15"/>
    <row r="21" ht="15"/>
    <row r="22" ht="15"/>
    <row r="23" ht="15"/>
    <row r="24" ht="15"/>
    <row r="25" ht="15"/>
    <row r="26" ht="15"/>
    <row r="27" ht="15"/>
    <row r="28" ht="15"/>
    <row r="29" ht="15"/>
    <row r="30" ht="15"/>
    <row r="31" ht="15"/>
  </sheetData>
  <sheetProtection/>
  <mergeCells count="13">
    <mergeCell ref="C9:C10"/>
    <mergeCell ref="D9:D10"/>
    <mergeCell ref="E9:E10"/>
    <mergeCell ref="H9:H10"/>
    <mergeCell ref="A11:B11"/>
    <mergeCell ref="A17:B17"/>
    <mergeCell ref="C4:H4"/>
    <mergeCell ref="A5:H5"/>
    <mergeCell ref="C6:H6"/>
    <mergeCell ref="C7:H7"/>
    <mergeCell ref="C8:H8"/>
    <mergeCell ref="A9:A10"/>
    <mergeCell ref="B9:B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FF66FF"/>
    <pageSetUpPr fitToPage="1"/>
  </sheetPr>
  <dimension ref="A1:O278"/>
  <sheetViews>
    <sheetView zoomScalePageLayoutView="0" workbookViewId="0" topLeftCell="A239">
      <selection activeCell="I21" sqref="I21"/>
    </sheetView>
  </sheetViews>
  <sheetFormatPr defaultColWidth="9.140625" defaultRowHeight="15"/>
  <cols>
    <col min="1" max="1" width="6.57421875" style="165" customWidth="1"/>
    <col min="2" max="2" width="27.140625" style="166" customWidth="1"/>
    <col min="3" max="3" width="12.421875" style="164" customWidth="1"/>
    <col min="4" max="4" width="9.140625" style="129" customWidth="1"/>
    <col min="5" max="5" width="10.28125" style="129" customWidth="1"/>
    <col min="6" max="6" width="12.421875" style="129" customWidth="1"/>
    <col min="7" max="7" width="11.28125" style="129" customWidth="1"/>
    <col min="8" max="8" width="37.421875" style="129" customWidth="1"/>
    <col min="16" max="239" width="9.140625" style="129" customWidth="1"/>
    <col min="240" max="240" width="27.140625" style="129" customWidth="1"/>
    <col min="241" max="241" width="11.57421875" style="129" customWidth="1"/>
    <col min="242" max="242" width="9.140625" style="129" customWidth="1"/>
    <col min="243" max="243" width="3.00390625" style="129" bestFit="1" customWidth="1"/>
    <col min="244" max="244" width="5.7109375" style="129" bestFit="1" customWidth="1"/>
    <col min="245" max="245" width="5.28125" style="129" bestFit="1" customWidth="1"/>
    <col min="246" max="246" width="7.00390625" style="129" bestFit="1" customWidth="1"/>
    <col min="247" max="247" width="5.7109375" style="129" bestFit="1" customWidth="1"/>
    <col min="248" max="248" width="6.7109375" style="129" customWidth="1"/>
    <col min="249" max="249" width="5.00390625" style="129" bestFit="1" customWidth="1"/>
    <col min="250" max="250" width="4.00390625" style="129" bestFit="1" customWidth="1"/>
    <col min="251" max="251" width="6.28125" style="129" customWidth="1"/>
    <col min="252" max="254" width="0" style="129" hidden="1" customWidth="1"/>
    <col min="255" max="255" width="8.57421875" style="129" customWidth="1"/>
    <col min="256" max="16384" width="9.140625" style="129" customWidth="1"/>
  </cols>
  <sheetData>
    <row r="1" spans="1:15" s="736" customFormat="1" ht="15.75">
      <c r="A1" s="733"/>
      <c r="B1" s="734"/>
      <c r="C1" s="735"/>
      <c r="H1" s="737" t="s">
        <v>1636</v>
      </c>
      <c r="I1"/>
      <c r="J1"/>
      <c r="K1"/>
      <c r="L1"/>
      <c r="M1"/>
      <c r="N1"/>
      <c r="O1"/>
    </row>
    <row r="2" spans="1:15" s="736" customFormat="1" ht="15.75">
      <c r="A2" s="733"/>
      <c r="B2" s="734"/>
      <c r="C2" s="735"/>
      <c r="H2" s="737" t="s">
        <v>1627</v>
      </c>
      <c r="I2"/>
      <c r="J2"/>
      <c r="K2"/>
      <c r="L2"/>
      <c r="M2"/>
      <c r="N2"/>
      <c r="O2"/>
    </row>
    <row r="3" spans="1:15" s="736" customFormat="1" ht="15.75">
      <c r="A3" s="733"/>
      <c r="B3" s="734"/>
      <c r="C3" s="735"/>
      <c r="H3" s="737" t="s">
        <v>1628</v>
      </c>
      <c r="I3"/>
      <c r="J3"/>
      <c r="K3"/>
      <c r="L3"/>
      <c r="M3"/>
      <c r="N3"/>
      <c r="O3"/>
    </row>
    <row r="4" spans="1:15" s="114" customFormat="1" ht="15">
      <c r="A4" s="112" t="s">
        <v>18</v>
      </c>
      <c r="B4" s="113"/>
      <c r="C4" s="878" t="s">
        <v>1</v>
      </c>
      <c r="D4" s="878"/>
      <c r="E4" s="878"/>
      <c r="F4" s="878"/>
      <c r="G4" s="878"/>
      <c r="H4" s="878"/>
      <c r="I4"/>
      <c r="J4"/>
      <c r="K4"/>
      <c r="L4"/>
      <c r="M4"/>
      <c r="N4"/>
      <c r="O4"/>
    </row>
    <row r="5" spans="1:15" s="114" customFormat="1" ht="16.5">
      <c r="A5" s="879" t="s">
        <v>2</v>
      </c>
      <c r="B5" s="879"/>
      <c r="C5" s="879"/>
      <c r="D5" s="879"/>
      <c r="E5" s="879"/>
      <c r="F5" s="879"/>
      <c r="G5" s="879"/>
      <c r="H5" s="879"/>
      <c r="I5"/>
      <c r="J5"/>
      <c r="K5"/>
      <c r="L5"/>
      <c r="M5"/>
      <c r="N5"/>
      <c r="O5"/>
    </row>
    <row r="6" spans="1:15" s="114" customFormat="1" ht="15">
      <c r="A6" s="112" t="s">
        <v>3</v>
      </c>
      <c r="C6" s="878" t="s">
        <v>224</v>
      </c>
      <c r="D6" s="878"/>
      <c r="E6" s="878"/>
      <c r="F6" s="878"/>
      <c r="G6" s="878"/>
      <c r="H6" s="878"/>
      <c r="I6"/>
      <c r="J6"/>
      <c r="K6"/>
      <c r="L6"/>
      <c r="M6"/>
      <c r="N6"/>
      <c r="O6"/>
    </row>
    <row r="7" spans="1:15" s="114" customFormat="1" ht="15">
      <c r="A7" s="112" t="s">
        <v>19</v>
      </c>
      <c r="C7" s="846" t="s">
        <v>1393</v>
      </c>
      <c r="D7" s="846"/>
      <c r="E7" s="846"/>
      <c r="F7" s="846"/>
      <c r="G7" s="846"/>
      <c r="H7" s="846"/>
      <c r="I7"/>
      <c r="J7"/>
      <c r="K7"/>
      <c r="L7"/>
      <c r="M7"/>
      <c r="N7"/>
      <c r="O7"/>
    </row>
    <row r="8" spans="1:15" s="114" customFormat="1" ht="15">
      <c r="A8" s="112" t="s">
        <v>20</v>
      </c>
      <c r="C8" s="846" t="s">
        <v>147</v>
      </c>
      <c r="D8" s="846"/>
      <c r="E8" s="846"/>
      <c r="F8" s="846"/>
      <c r="G8" s="846"/>
      <c r="H8" s="846"/>
      <c r="I8"/>
      <c r="J8"/>
      <c r="K8"/>
      <c r="L8"/>
      <c r="M8"/>
      <c r="N8"/>
      <c r="O8"/>
    </row>
    <row r="9" spans="1:15" s="114" customFormat="1" ht="36.75">
      <c r="A9" s="847" t="s">
        <v>7</v>
      </c>
      <c r="B9" s="849" t="s">
        <v>8</v>
      </c>
      <c r="C9" s="849" t="s">
        <v>9</v>
      </c>
      <c r="D9" s="849" t="s">
        <v>943</v>
      </c>
      <c r="E9" s="849" t="s">
        <v>10</v>
      </c>
      <c r="F9" s="115" t="s">
        <v>11</v>
      </c>
      <c r="G9" s="115" t="s">
        <v>12</v>
      </c>
      <c r="H9" s="849" t="s">
        <v>13</v>
      </c>
      <c r="I9"/>
      <c r="J9"/>
      <c r="K9"/>
      <c r="L9"/>
      <c r="M9"/>
      <c r="N9"/>
      <c r="O9"/>
    </row>
    <row r="10" spans="1:15" s="114" customFormat="1" ht="36">
      <c r="A10" s="848"/>
      <c r="B10" s="849"/>
      <c r="C10" s="849"/>
      <c r="D10" s="849"/>
      <c r="E10" s="849"/>
      <c r="F10" s="116" t="s">
        <v>14</v>
      </c>
      <c r="G10" s="116" t="s">
        <v>15</v>
      </c>
      <c r="H10" s="849"/>
      <c r="I10"/>
      <c r="J10"/>
      <c r="K10"/>
      <c r="L10"/>
      <c r="M10"/>
      <c r="N10"/>
      <c r="O10"/>
    </row>
    <row r="11" spans="1:15" s="114" customFormat="1" ht="15">
      <c r="A11" s="842" t="s">
        <v>16</v>
      </c>
      <c r="B11" s="843"/>
      <c r="C11" s="117">
        <f>SUM(C12:C233)</f>
        <v>13678</v>
      </c>
      <c r="D11" s="117">
        <f>SUM(D12:D233)</f>
        <v>11160</v>
      </c>
      <c r="E11" s="117">
        <f>SUM(E12:E233)</f>
        <v>44401</v>
      </c>
      <c r="F11" s="117"/>
      <c r="G11" s="117">
        <f>SUM(G12:G233)</f>
        <v>38665</v>
      </c>
      <c r="H11" s="537" t="s">
        <v>1607</v>
      </c>
      <c r="I11"/>
      <c r="J11"/>
      <c r="K11"/>
      <c r="L11"/>
      <c r="M11"/>
      <c r="N11"/>
      <c r="O11"/>
    </row>
    <row r="12" spans="1:15" s="123" customFormat="1" ht="24.75">
      <c r="A12" s="118" t="s">
        <v>24</v>
      </c>
      <c r="B12" s="119" t="s">
        <v>225</v>
      </c>
      <c r="C12" s="120"/>
      <c r="D12" s="121"/>
      <c r="E12" s="122"/>
      <c r="F12" s="122"/>
      <c r="G12" s="545"/>
      <c r="H12" s="122"/>
      <c r="I12"/>
      <c r="J12"/>
      <c r="K12"/>
      <c r="L12"/>
      <c r="M12"/>
      <c r="N12"/>
      <c r="O12"/>
    </row>
    <row r="13" spans="1:8" ht="24">
      <c r="A13" s="124" t="s">
        <v>226</v>
      </c>
      <c r="B13" s="125" t="s">
        <v>227</v>
      </c>
      <c r="C13" s="126">
        <v>20</v>
      </c>
      <c r="D13" s="127">
        <v>0</v>
      </c>
      <c r="E13" s="128">
        <v>0</v>
      </c>
      <c r="F13" s="577">
        <v>2390</v>
      </c>
      <c r="G13" s="546"/>
      <c r="H13" s="128"/>
    </row>
    <row r="14" spans="1:8" ht="36">
      <c r="A14" s="124" t="s">
        <v>228</v>
      </c>
      <c r="B14" s="125" t="s">
        <v>229</v>
      </c>
      <c r="C14" s="127">
        <v>300</v>
      </c>
      <c r="D14" s="127">
        <v>192</v>
      </c>
      <c r="E14" s="128">
        <v>300</v>
      </c>
      <c r="F14" s="577">
        <v>2390</v>
      </c>
      <c r="G14" s="546">
        <v>200</v>
      </c>
      <c r="H14" s="128" t="s">
        <v>230</v>
      </c>
    </row>
    <row r="15" spans="1:8" ht="15">
      <c r="A15" s="124" t="s">
        <v>231</v>
      </c>
      <c r="B15" s="125" t="s">
        <v>232</v>
      </c>
      <c r="C15" s="127">
        <v>60</v>
      </c>
      <c r="D15" s="127">
        <v>47</v>
      </c>
      <c r="E15" s="128">
        <v>80</v>
      </c>
      <c r="F15" s="577">
        <v>2390</v>
      </c>
      <c r="G15" s="546">
        <v>50</v>
      </c>
      <c r="H15" s="128" t="s">
        <v>230</v>
      </c>
    </row>
    <row r="16" spans="1:15" s="123" customFormat="1" ht="24.75">
      <c r="A16" s="130" t="s">
        <v>233</v>
      </c>
      <c r="B16" s="131" t="s">
        <v>234</v>
      </c>
      <c r="C16" s="127">
        <v>60</v>
      </c>
      <c r="D16" s="127">
        <v>60</v>
      </c>
      <c r="E16" s="122">
        <v>80</v>
      </c>
      <c r="F16" s="578">
        <v>2390</v>
      </c>
      <c r="G16" s="546">
        <v>80</v>
      </c>
      <c r="H16" s="128" t="s">
        <v>230</v>
      </c>
      <c r="I16"/>
      <c r="J16"/>
      <c r="K16"/>
      <c r="L16"/>
      <c r="M16"/>
      <c r="N16"/>
      <c r="O16"/>
    </row>
    <row r="17" spans="1:15" s="123" customFormat="1" ht="15">
      <c r="A17" s="130" t="s">
        <v>235</v>
      </c>
      <c r="B17" s="131" t="s">
        <v>236</v>
      </c>
      <c r="C17" s="132">
        <v>80</v>
      </c>
      <c r="D17" s="127">
        <v>0</v>
      </c>
      <c r="E17" s="122">
        <v>50</v>
      </c>
      <c r="F17" s="578">
        <v>2390</v>
      </c>
      <c r="G17" s="545">
        <v>50</v>
      </c>
      <c r="H17" s="122" t="s">
        <v>230</v>
      </c>
      <c r="I17"/>
      <c r="J17"/>
      <c r="K17"/>
      <c r="L17"/>
      <c r="M17"/>
      <c r="N17"/>
      <c r="O17"/>
    </row>
    <row r="18" spans="1:8" ht="15">
      <c r="A18" s="133" t="s">
        <v>26</v>
      </c>
      <c r="B18" s="134" t="s">
        <v>237</v>
      </c>
      <c r="C18" s="135"/>
      <c r="D18" s="121"/>
      <c r="E18" s="128"/>
      <c r="F18" s="577"/>
      <c r="G18" s="546"/>
      <c r="H18" s="128"/>
    </row>
    <row r="19" spans="1:8" ht="15">
      <c r="A19" s="133" t="s">
        <v>238</v>
      </c>
      <c r="B19" s="134" t="s">
        <v>239</v>
      </c>
      <c r="C19" s="135"/>
      <c r="D19" s="121"/>
      <c r="E19" s="128"/>
      <c r="F19" s="577"/>
      <c r="G19" s="546"/>
      <c r="H19" s="128"/>
    </row>
    <row r="20" spans="1:8" ht="24">
      <c r="A20" s="124" t="s">
        <v>240</v>
      </c>
      <c r="B20" s="125" t="s">
        <v>241</v>
      </c>
      <c r="C20" s="136">
        <v>70</v>
      </c>
      <c r="D20" s="127">
        <v>0</v>
      </c>
      <c r="E20" s="128">
        <v>0</v>
      </c>
      <c r="F20" s="577">
        <v>2390</v>
      </c>
      <c r="G20" s="546"/>
      <c r="H20" s="128"/>
    </row>
    <row r="21" spans="1:15" s="123" customFormat="1" ht="15">
      <c r="A21" s="839" t="s">
        <v>242</v>
      </c>
      <c r="B21" s="850" t="s">
        <v>243</v>
      </c>
      <c r="C21" s="122">
        <v>0</v>
      </c>
      <c r="D21" s="122">
        <v>0</v>
      </c>
      <c r="E21" s="122">
        <v>80</v>
      </c>
      <c r="F21" s="578">
        <v>2390</v>
      </c>
      <c r="G21" s="545">
        <v>80</v>
      </c>
      <c r="H21" s="122" t="s">
        <v>230</v>
      </c>
      <c r="I21"/>
      <c r="J21"/>
      <c r="K21"/>
      <c r="L21"/>
      <c r="M21"/>
      <c r="N21"/>
      <c r="O21"/>
    </row>
    <row r="22" spans="1:15" s="123" customFormat="1" ht="15">
      <c r="A22" s="841"/>
      <c r="B22" s="852"/>
      <c r="C22" s="122"/>
      <c r="D22" s="122"/>
      <c r="E22" s="122">
        <v>50</v>
      </c>
      <c r="F22" s="578">
        <v>2261</v>
      </c>
      <c r="G22" s="545">
        <v>50</v>
      </c>
      <c r="H22" s="122" t="s">
        <v>244</v>
      </c>
      <c r="I22"/>
      <c r="J22"/>
      <c r="K22"/>
      <c r="L22"/>
      <c r="M22"/>
      <c r="N22"/>
      <c r="O22"/>
    </row>
    <row r="23" spans="1:15" s="123" customFormat="1" ht="15">
      <c r="A23" s="124" t="s">
        <v>245</v>
      </c>
      <c r="B23" s="137" t="s">
        <v>246</v>
      </c>
      <c r="C23" s="122">
        <v>50</v>
      </c>
      <c r="D23" s="122">
        <v>50</v>
      </c>
      <c r="E23" s="122">
        <v>0</v>
      </c>
      <c r="F23" s="578">
        <v>2261</v>
      </c>
      <c r="G23" s="545"/>
      <c r="H23" s="122"/>
      <c r="I23"/>
      <c r="J23"/>
      <c r="K23"/>
      <c r="L23"/>
      <c r="M23"/>
      <c r="N23"/>
      <c r="O23"/>
    </row>
    <row r="24" spans="1:15" s="123" customFormat="1" ht="24.75">
      <c r="A24" s="124" t="s">
        <v>247</v>
      </c>
      <c r="B24" s="137" t="s">
        <v>248</v>
      </c>
      <c r="C24" s="874">
        <v>90</v>
      </c>
      <c r="D24" s="876">
        <v>90</v>
      </c>
      <c r="E24" s="122">
        <v>50</v>
      </c>
      <c r="F24" s="578">
        <v>2390</v>
      </c>
      <c r="G24" s="545">
        <v>50</v>
      </c>
      <c r="H24" s="122" t="s">
        <v>230</v>
      </c>
      <c r="I24"/>
      <c r="J24"/>
      <c r="K24"/>
      <c r="L24"/>
      <c r="M24"/>
      <c r="N24"/>
      <c r="O24"/>
    </row>
    <row r="25" spans="1:15" s="123" customFormat="1" ht="15">
      <c r="A25" s="124" t="s">
        <v>249</v>
      </c>
      <c r="B25" s="137" t="s">
        <v>250</v>
      </c>
      <c r="C25" s="875"/>
      <c r="D25" s="877"/>
      <c r="E25" s="122">
        <v>50</v>
      </c>
      <c r="F25" s="578">
        <v>2390</v>
      </c>
      <c r="G25" s="545">
        <v>50</v>
      </c>
      <c r="H25" s="122" t="s">
        <v>230</v>
      </c>
      <c r="I25"/>
      <c r="J25"/>
      <c r="K25"/>
      <c r="L25"/>
      <c r="M25"/>
      <c r="N25"/>
      <c r="O25"/>
    </row>
    <row r="26" spans="1:15" s="123" customFormat="1" ht="24.75">
      <c r="A26" s="124" t="s">
        <v>251</v>
      </c>
      <c r="B26" s="137" t="s">
        <v>252</v>
      </c>
      <c r="C26" s="136">
        <v>0</v>
      </c>
      <c r="D26" s="138">
        <v>0</v>
      </c>
      <c r="E26" s="122">
        <v>80</v>
      </c>
      <c r="F26" s="578">
        <v>2390</v>
      </c>
      <c r="G26" s="545">
        <v>60</v>
      </c>
      <c r="H26" s="122" t="s">
        <v>230</v>
      </c>
      <c r="I26"/>
      <c r="J26"/>
      <c r="K26"/>
      <c r="L26"/>
      <c r="M26"/>
      <c r="N26"/>
      <c r="O26"/>
    </row>
    <row r="27" spans="1:15" s="123" customFormat="1" ht="24.75">
      <c r="A27" s="124" t="s">
        <v>253</v>
      </c>
      <c r="B27" s="137" t="s">
        <v>254</v>
      </c>
      <c r="C27" s="136">
        <v>60</v>
      </c>
      <c r="D27" s="138">
        <v>60</v>
      </c>
      <c r="E27" s="122">
        <v>0</v>
      </c>
      <c r="F27" s="578">
        <v>2390</v>
      </c>
      <c r="G27" s="545"/>
      <c r="H27" s="122"/>
      <c r="I27"/>
      <c r="J27"/>
      <c r="K27"/>
      <c r="L27"/>
      <c r="M27"/>
      <c r="N27"/>
      <c r="O27"/>
    </row>
    <row r="28" spans="1:15" s="123" customFormat="1" ht="24.75">
      <c r="A28" s="124" t="s">
        <v>255</v>
      </c>
      <c r="B28" s="137" t="s">
        <v>256</v>
      </c>
      <c r="C28" s="136">
        <v>100</v>
      </c>
      <c r="D28" s="138">
        <v>100</v>
      </c>
      <c r="E28" s="122">
        <v>150</v>
      </c>
      <c r="F28" s="578">
        <v>2390</v>
      </c>
      <c r="G28" s="545">
        <v>100</v>
      </c>
      <c r="H28" s="122" t="s">
        <v>230</v>
      </c>
      <c r="I28"/>
      <c r="J28"/>
      <c r="K28"/>
      <c r="L28"/>
      <c r="M28"/>
      <c r="N28"/>
      <c r="O28"/>
    </row>
    <row r="29" spans="1:15" s="123" customFormat="1" ht="24.75">
      <c r="A29" s="124" t="s">
        <v>257</v>
      </c>
      <c r="B29" s="137" t="s">
        <v>258</v>
      </c>
      <c r="C29" s="136">
        <v>100</v>
      </c>
      <c r="D29" s="138">
        <v>100</v>
      </c>
      <c r="E29" s="122">
        <v>100</v>
      </c>
      <c r="F29" s="578">
        <v>2390</v>
      </c>
      <c r="G29" s="545">
        <v>100</v>
      </c>
      <c r="H29" s="122" t="s">
        <v>230</v>
      </c>
      <c r="I29"/>
      <c r="J29"/>
      <c r="K29"/>
      <c r="L29"/>
      <c r="M29"/>
      <c r="N29"/>
      <c r="O29"/>
    </row>
    <row r="30" spans="1:15" s="123" customFormat="1" ht="15">
      <c r="A30" s="124" t="s">
        <v>259</v>
      </c>
      <c r="B30" s="137" t="s">
        <v>260</v>
      </c>
      <c r="C30" s="136">
        <v>70</v>
      </c>
      <c r="D30" s="138">
        <v>63</v>
      </c>
      <c r="E30" s="122">
        <v>60</v>
      </c>
      <c r="F30" s="578">
        <v>2390</v>
      </c>
      <c r="G30" s="545">
        <v>60</v>
      </c>
      <c r="H30" s="122" t="s">
        <v>230</v>
      </c>
      <c r="I30"/>
      <c r="J30"/>
      <c r="K30"/>
      <c r="L30"/>
      <c r="M30"/>
      <c r="N30"/>
      <c r="O30"/>
    </row>
    <row r="31" spans="1:8" ht="12.75" customHeight="1">
      <c r="A31" s="871" t="s">
        <v>261</v>
      </c>
      <c r="B31" s="856" t="s">
        <v>262</v>
      </c>
      <c r="C31" s="139">
        <v>119</v>
      </c>
      <c r="D31" s="138">
        <v>117</v>
      </c>
      <c r="E31" s="128">
        <v>120</v>
      </c>
      <c r="F31" s="577">
        <v>2390</v>
      </c>
      <c r="G31" s="546">
        <v>120</v>
      </c>
      <c r="H31" s="128" t="s">
        <v>230</v>
      </c>
    </row>
    <row r="32" spans="1:8" ht="15">
      <c r="A32" s="871"/>
      <c r="B32" s="856"/>
      <c r="C32" s="139">
        <v>33</v>
      </c>
      <c r="D32" s="138">
        <v>33</v>
      </c>
      <c r="E32" s="128">
        <v>0</v>
      </c>
      <c r="F32" s="577">
        <v>1150</v>
      </c>
      <c r="G32" s="546"/>
      <c r="H32" s="128"/>
    </row>
    <row r="33" spans="1:8" ht="15">
      <c r="A33" s="140" t="s">
        <v>263</v>
      </c>
      <c r="B33" s="125" t="s">
        <v>264</v>
      </c>
      <c r="C33" s="136">
        <v>80</v>
      </c>
      <c r="D33" s="138">
        <v>80</v>
      </c>
      <c r="E33" s="128">
        <v>0</v>
      </c>
      <c r="F33" s="577">
        <v>2390</v>
      </c>
      <c r="G33" s="546"/>
      <c r="H33" s="128"/>
    </row>
    <row r="34" spans="1:15" s="123" customFormat="1" ht="24.75">
      <c r="A34" s="124" t="s">
        <v>265</v>
      </c>
      <c r="B34" s="137" t="s">
        <v>266</v>
      </c>
      <c r="C34" s="136">
        <v>0</v>
      </c>
      <c r="D34" s="138">
        <v>0</v>
      </c>
      <c r="E34" s="122">
        <v>300</v>
      </c>
      <c r="F34" s="578">
        <v>2390</v>
      </c>
      <c r="G34" s="545">
        <v>300</v>
      </c>
      <c r="H34" s="122" t="s">
        <v>267</v>
      </c>
      <c r="I34"/>
      <c r="J34"/>
      <c r="K34"/>
      <c r="L34"/>
      <c r="M34"/>
      <c r="N34"/>
      <c r="O34"/>
    </row>
    <row r="35" spans="1:8" ht="15">
      <c r="A35" s="133" t="s">
        <v>268</v>
      </c>
      <c r="B35" s="134" t="s">
        <v>269</v>
      </c>
      <c r="C35" s="135"/>
      <c r="D35" s="121"/>
      <c r="E35" s="128"/>
      <c r="F35" s="577"/>
      <c r="G35" s="546"/>
      <c r="H35" s="128"/>
    </row>
    <row r="36" spans="1:8" ht="12.75" customHeight="1">
      <c r="A36" s="871" t="s">
        <v>270</v>
      </c>
      <c r="B36" s="856" t="s">
        <v>271</v>
      </c>
      <c r="C36" s="138">
        <v>0</v>
      </c>
      <c r="D36" s="138">
        <v>0</v>
      </c>
      <c r="E36" s="128">
        <v>200</v>
      </c>
      <c r="F36" s="577">
        <v>2231</v>
      </c>
      <c r="G36" s="546">
        <v>150</v>
      </c>
      <c r="H36" s="128" t="s">
        <v>272</v>
      </c>
    </row>
    <row r="37" spans="1:8" ht="15">
      <c r="A37" s="871"/>
      <c r="B37" s="856"/>
      <c r="C37" s="138">
        <v>0</v>
      </c>
      <c r="D37" s="138">
        <v>0</v>
      </c>
      <c r="E37" s="128">
        <v>400</v>
      </c>
      <c r="F37" s="577">
        <v>2390</v>
      </c>
      <c r="G37" s="546">
        <v>350</v>
      </c>
      <c r="H37" s="128" t="s">
        <v>230</v>
      </c>
    </row>
    <row r="38" spans="1:8" ht="15">
      <c r="A38" s="871"/>
      <c r="B38" s="856"/>
      <c r="C38" s="138">
        <v>0</v>
      </c>
      <c r="D38" s="138">
        <v>0</v>
      </c>
      <c r="E38" s="128">
        <v>200</v>
      </c>
      <c r="F38" s="577">
        <v>2264</v>
      </c>
      <c r="G38" s="546">
        <v>100</v>
      </c>
      <c r="H38" s="128" t="s">
        <v>273</v>
      </c>
    </row>
    <row r="39" spans="1:8" ht="15">
      <c r="A39" s="871"/>
      <c r="B39" s="856"/>
      <c r="C39" s="138">
        <v>0</v>
      </c>
      <c r="D39" s="138">
        <v>0</v>
      </c>
      <c r="E39" s="128">
        <v>0</v>
      </c>
      <c r="F39" s="577">
        <v>2311</v>
      </c>
      <c r="G39" s="546"/>
      <c r="H39" s="128"/>
    </row>
    <row r="40" spans="1:8" ht="21" customHeight="1">
      <c r="A40" s="839" t="s">
        <v>274</v>
      </c>
      <c r="B40" s="857" t="s">
        <v>275</v>
      </c>
      <c r="C40" s="136">
        <v>150</v>
      </c>
      <c r="D40" s="138">
        <v>95</v>
      </c>
      <c r="E40" s="128">
        <v>0</v>
      </c>
      <c r="F40" s="577">
        <v>2231</v>
      </c>
      <c r="G40" s="546"/>
      <c r="H40" s="128"/>
    </row>
    <row r="41" spans="1:8" ht="21" customHeight="1">
      <c r="A41" s="840"/>
      <c r="B41" s="858"/>
      <c r="C41" s="136">
        <v>150</v>
      </c>
      <c r="D41" s="138">
        <v>150</v>
      </c>
      <c r="E41" s="128">
        <v>0</v>
      </c>
      <c r="F41" s="577">
        <v>2390</v>
      </c>
      <c r="G41" s="546"/>
      <c r="H41" s="128"/>
    </row>
    <row r="42" spans="1:8" ht="20.25" customHeight="1">
      <c r="A42" s="841"/>
      <c r="B42" s="859"/>
      <c r="C42" s="136">
        <v>40</v>
      </c>
      <c r="D42" s="138">
        <v>39</v>
      </c>
      <c r="E42" s="128">
        <v>0</v>
      </c>
      <c r="F42" s="577">
        <v>2311</v>
      </c>
      <c r="G42" s="546"/>
      <c r="H42" s="128"/>
    </row>
    <row r="43" spans="1:15" s="123" customFormat="1" ht="48" customHeight="1">
      <c r="A43" s="141" t="s">
        <v>276</v>
      </c>
      <c r="B43" s="142" t="s">
        <v>277</v>
      </c>
      <c r="C43" s="136">
        <v>0</v>
      </c>
      <c r="D43" s="138">
        <v>0</v>
      </c>
      <c r="E43" s="122">
        <v>50</v>
      </c>
      <c r="F43" s="578">
        <v>2390</v>
      </c>
      <c r="G43" s="545">
        <v>50</v>
      </c>
      <c r="H43" s="122" t="s">
        <v>230</v>
      </c>
      <c r="I43"/>
      <c r="J43"/>
      <c r="K43"/>
      <c r="L43"/>
      <c r="M43"/>
      <c r="N43"/>
      <c r="O43"/>
    </row>
    <row r="44" spans="1:15" s="123" customFormat="1" ht="15">
      <c r="A44" s="839" t="s">
        <v>278</v>
      </c>
      <c r="B44" s="857" t="s">
        <v>279</v>
      </c>
      <c r="C44" s="136">
        <v>0</v>
      </c>
      <c r="D44" s="138">
        <v>0</v>
      </c>
      <c r="E44" s="122">
        <v>80</v>
      </c>
      <c r="F44" s="578">
        <v>2390</v>
      </c>
      <c r="G44" s="545">
        <v>80</v>
      </c>
      <c r="H44" s="122" t="s">
        <v>230</v>
      </c>
      <c r="I44"/>
      <c r="J44"/>
      <c r="K44"/>
      <c r="L44"/>
      <c r="M44"/>
      <c r="N44"/>
      <c r="O44"/>
    </row>
    <row r="45" spans="1:15" s="123" customFormat="1" ht="15">
      <c r="A45" s="841"/>
      <c r="B45" s="859"/>
      <c r="C45" s="136">
        <v>0</v>
      </c>
      <c r="D45" s="138">
        <v>0</v>
      </c>
      <c r="E45" s="122">
        <v>50</v>
      </c>
      <c r="F45" s="578">
        <v>2231</v>
      </c>
      <c r="G45" s="545">
        <v>50</v>
      </c>
      <c r="H45" s="122" t="s">
        <v>280</v>
      </c>
      <c r="I45"/>
      <c r="J45"/>
      <c r="K45"/>
      <c r="L45"/>
      <c r="M45"/>
      <c r="N45"/>
      <c r="O45"/>
    </row>
    <row r="46" spans="1:8" ht="15">
      <c r="A46" s="140"/>
      <c r="B46" s="119" t="s">
        <v>281</v>
      </c>
      <c r="C46" s="136"/>
      <c r="D46" s="138"/>
      <c r="E46" s="128"/>
      <c r="F46" s="577"/>
      <c r="G46" s="546"/>
      <c r="H46" s="128"/>
    </row>
    <row r="47" spans="1:15" s="123" customFormat="1" ht="15">
      <c r="A47" s="839" t="s">
        <v>282</v>
      </c>
      <c r="B47" s="850" t="s">
        <v>283</v>
      </c>
      <c r="C47" s="136">
        <v>0</v>
      </c>
      <c r="D47" s="122">
        <v>0</v>
      </c>
      <c r="E47" s="138">
        <v>10</v>
      </c>
      <c r="F47" s="579">
        <v>2311</v>
      </c>
      <c r="G47" s="545">
        <v>10</v>
      </c>
      <c r="H47" s="122" t="s">
        <v>284</v>
      </c>
      <c r="I47"/>
      <c r="J47"/>
      <c r="K47"/>
      <c r="L47"/>
      <c r="M47"/>
      <c r="N47"/>
      <c r="O47"/>
    </row>
    <row r="48" spans="1:15" s="123" customFormat="1" ht="15">
      <c r="A48" s="840"/>
      <c r="B48" s="851"/>
      <c r="C48" s="136">
        <v>0</v>
      </c>
      <c r="D48" s="122">
        <v>0</v>
      </c>
      <c r="E48" s="138">
        <v>200</v>
      </c>
      <c r="F48" s="579">
        <v>2390</v>
      </c>
      <c r="G48" s="545">
        <v>200</v>
      </c>
      <c r="H48" s="122" t="s">
        <v>285</v>
      </c>
      <c r="I48"/>
      <c r="J48"/>
      <c r="K48"/>
      <c r="L48"/>
      <c r="M48"/>
      <c r="N48"/>
      <c r="O48"/>
    </row>
    <row r="49" spans="1:15" s="123" customFormat="1" ht="15">
      <c r="A49" s="840"/>
      <c r="B49" s="851"/>
      <c r="C49" s="136">
        <v>0</v>
      </c>
      <c r="D49" s="122">
        <v>0</v>
      </c>
      <c r="E49" s="138">
        <v>500</v>
      </c>
      <c r="F49" s="579">
        <v>2264</v>
      </c>
      <c r="G49" s="545">
        <v>500</v>
      </c>
      <c r="H49" s="122" t="s">
        <v>286</v>
      </c>
      <c r="I49"/>
      <c r="J49"/>
      <c r="K49"/>
      <c r="L49"/>
      <c r="M49"/>
      <c r="N49"/>
      <c r="O49"/>
    </row>
    <row r="50" spans="1:15" s="123" customFormat="1" ht="15">
      <c r="A50" s="840"/>
      <c r="B50" s="851"/>
      <c r="C50" s="136">
        <v>0</v>
      </c>
      <c r="D50" s="122">
        <v>0</v>
      </c>
      <c r="E50" s="138">
        <v>30</v>
      </c>
      <c r="F50" s="579">
        <v>2352</v>
      </c>
      <c r="G50" s="545">
        <v>30</v>
      </c>
      <c r="H50" s="122" t="s">
        <v>287</v>
      </c>
      <c r="I50"/>
      <c r="J50"/>
      <c r="K50"/>
      <c r="L50"/>
      <c r="M50"/>
      <c r="N50"/>
      <c r="O50"/>
    </row>
    <row r="51" spans="1:15" s="123" customFormat="1" ht="15" customHeight="1">
      <c r="A51" s="840"/>
      <c r="B51" s="851"/>
      <c r="C51" s="136">
        <v>0</v>
      </c>
      <c r="D51" s="122">
        <v>0</v>
      </c>
      <c r="E51" s="138">
        <v>500</v>
      </c>
      <c r="F51" s="579">
        <v>1150</v>
      </c>
      <c r="G51" s="545">
        <v>500</v>
      </c>
      <c r="H51" s="853" t="s">
        <v>288</v>
      </c>
      <c r="I51"/>
      <c r="J51"/>
      <c r="K51"/>
      <c r="L51"/>
      <c r="M51"/>
      <c r="N51"/>
      <c r="O51"/>
    </row>
    <row r="52" spans="1:15" s="123" customFormat="1" ht="15">
      <c r="A52" s="841"/>
      <c r="B52" s="852"/>
      <c r="C52" s="136">
        <v>0</v>
      </c>
      <c r="D52" s="122">
        <v>0</v>
      </c>
      <c r="E52" s="138">
        <v>121</v>
      </c>
      <c r="F52" s="579">
        <v>1210</v>
      </c>
      <c r="G52" s="545">
        <v>121</v>
      </c>
      <c r="H52" s="855"/>
      <c r="I52"/>
      <c r="J52"/>
      <c r="K52"/>
      <c r="L52"/>
      <c r="M52"/>
      <c r="N52"/>
      <c r="O52"/>
    </row>
    <row r="53" spans="1:8" ht="13.5" customHeight="1">
      <c r="A53" s="140"/>
      <c r="B53" s="134" t="s">
        <v>289</v>
      </c>
      <c r="C53" s="143"/>
      <c r="D53" s="138"/>
      <c r="E53" s="128"/>
      <c r="F53" s="577"/>
      <c r="G53" s="546"/>
      <c r="H53" s="128"/>
    </row>
    <row r="54" spans="1:8" ht="15">
      <c r="A54" s="839" t="s">
        <v>290</v>
      </c>
      <c r="B54" s="850" t="s">
        <v>291</v>
      </c>
      <c r="C54" s="136">
        <v>0</v>
      </c>
      <c r="D54" s="122">
        <v>0</v>
      </c>
      <c r="E54" s="138">
        <v>400</v>
      </c>
      <c r="F54" s="579">
        <v>2390</v>
      </c>
      <c r="G54" s="546">
        <v>400</v>
      </c>
      <c r="H54" s="128" t="s">
        <v>292</v>
      </c>
    </row>
    <row r="55" spans="1:8" ht="13.5" customHeight="1">
      <c r="A55" s="841"/>
      <c r="B55" s="852"/>
      <c r="C55" s="136">
        <v>0</v>
      </c>
      <c r="D55" s="122">
        <v>0</v>
      </c>
      <c r="E55" s="138">
        <v>70</v>
      </c>
      <c r="F55" s="579">
        <v>2311</v>
      </c>
      <c r="G55" s="546">
        <v>70</v>
      </c>
      <c r="H55" s="128" t="s">
        <v>284</v>
      </c>
    </row>
    <row r="56" spans="1:8" ht="15">
      <c r="A56" s="839" t="s">
        <v>293</v>
      </c>
      <c r="B56" s="862" t="s">
        <v>294</v>
      </c>
      <c r="C56" s="139">
        <v>0</v>
      </c>
      <c r="D56" s="127">
        <v>0</v>
      </c>
      <c r="E56" s="122">
        <v>700</v>
      </c>
      <c r="F56" s="578">
        <v>2390</v>
      </c>
      <c r="G56" s="546">
        <v>700</v>
      </c>
      <c r="H56" s="128" t="s">
        <v>292</v>
      </c>
    </row>
    <row r="57" spans="1:8" ht="15">
      <c r="A57" s="840"/>
      <c r="B57" s="865"/>
      <c r="C57" s="139">
        <v>400</v>
      </c>
      <c r="D57" s="127">
        <v>400</v>
      </c>
      <c r="E57" s="122">
        <v>0</v>
      </c>
      <c r="F57" s="578">
        <v>2370</v>
      </c>
      <c r="G57" s="546"/>
      <c r="H57" s="128"/>
    </row>
    <row r="58" spans="1:8" ht="13.5" customHeight="1">
      <c r="A58" s="841"/>
      <c r="B58" s="863"/>
      <c r="C58" s="128">
        <v>0</v>
      </c>
      <c r="D58" s="128">
        <v>0</v>
      </c>
      <c r="E58" s="128">
        <v>150</v>
      </c>
      <c r="F58" s="577">
        <v>2390</v>
      </c>
      <c r="G58" s="546">
        <v>60</v>
      </c>
      <c r="H58" s="128" t="s">
        <v>230</v>
      </c>
    </row>
    <row r="59" spans="1:8" ht="13.5" customHeight="1">
      <c r="A59" s="871" t="s">
        <v>295</v>
      </c>
      <c r="B59" s="873" t="s">
        <v>296</v>
      </c>
      <c r="C59" s="139">
        <v>0</v>
      </c>
      <c r="D59" s="127">
        <v>0</v>
      </c>
      <c r="E59" s="122">
        <v>400</v>
      </c>
      <c r="F59" s="578">
        <v>2390</v>
      </c>
      <c r="G59" s="546"/>
      <c r="H59" s="128" t="s">
        <v>292</v>
      </c>
    </row>
    <row r="60" spans="1:8" ht="13.5" customHeight="1">
      <c r="A60" s="871"/>
      <c r="B60" s="873"/>
      <c r="C60" s="139">
        <v>81</v>
      </c>
      <c r="D60" s="127">
        <v>80</v>
      </c>
      <c r="E60" s="122">
        <v>0</v>
      </c>
      <c r="F60" s="578">
        <v>2370</v>
      </c>
      <c r="G60" s="546"/>
      <c r="H60" s="128"/>
    </row>
    <row r="61" spans="1:8" ht="13.5" customHeight="1">
      <c r="A61" s="871"/>
      <c r="B61" s="873"/>
      <c r="C61" s="139">
        <v>120</v>
      </c>
      <c r="D61" s="127">
        <v>119</v>
      </c>
      <c r="E61" s="122">
        <v>0</v>
      </c>
      <c r="F61" s="578">
        <v>2390</v>
      </c>
      <c r="G61" s="546"/>
      <c r="H61" s="128"/>
    </row>
    <row r="62" spans="1:8" ht="13.5" customHeight="1">
      <c r="A62" s="871"/>
      <c r="B62" s="873"/>
      <c r="C62" s="139">
        <v>0</v>
      </c>
      <c r="D62" s="127">
        <v>0</v>
      </c>
      <c r="E62" s="122">
        <v>20</v>
      </c>
      <c r="F62" s="578">
        <v>2311</v>
      </c>
      <c r="G62" s="546"/>
      <c r="H62" s="128" t="s">
        <v>284</v>
      </c>
    </row>
    <row r="63" spans="1:8" ht="13.5" customHeight="1">
      <c r="A63" s="140"/>
      <c r="B63" s="144" t="s">
        <v>297</v>
      </c>
      <c r="C63" s="128"/>
      <c r="D63" s="128"/>
      <c r="E63" s="128"/>
      <c r="F63" s="577"/>
      <c r="G63" s="546"/>
      <c r="H63" s="128"/>
    </row>
    <row r="64" spans="1:8" ht="24.75">
      <c r="A64" s="140" t="s">
        <v>298</v>
      </c>
      <c r="B64" s="131" t="s">
        <v>299</v>
      </c>
      <c r="C64" s="128">
        <v>0</v>
      </c>
      <c r="D64" s="128">
        <v>0</v>
      </c>
      <c r="E64" s="128">
        <v>70</v>
      </c>
      <c r="F64" s="577">
        <v>2390</v>
      </c>
      <c r="G64" s="546">
        <v>70</v>
      </c>
      <c r="H64" s="128" t="s">
        <v>230</v>
      </c>
    </row>
    <row r="65" spans="1:8" ht="15">
      <c r="A65" s="839" t="s">
        <v>300</v>
      </c>
      <c r="B65" s="862" t="s">
        <v>301</v>
      </c>
      <c r="C65" s="128">
        <v>0</v>
      </c>
      <c r="D65" s="128">
        <v>0</v>
      </c>
      <c r="E65" s="128">
        <v>60</v>
      </c>
      <c r="F65" s="577">
        <v>2390</v>
      </c>
      <c r="G65" s="546">
        <v>60</v>
      </c>
      <c r="H65" s="128" t="s">
        <v>230</v>
      </c>
    </row>
    <row r="66" spans="1:8" ht="15" customHeight="1">
      <c r="A66" s="840"/>
      <c r="B66" s="865"/>
      <c r="C66" s="128">
        <v>0</v>
      </c>
      <c r="D66" s="128">
        <v>0</v>
      </c>
      <c r="E66" s="128">
        <v>99</v>
      </c>
      <c r="F66" s="577">
        <v>1150</v>
      </c>
      <c r="G66" s="546">
        <v>99</v>
      </c>
      <c r="H66" s="853" t="s">
        <v>302</v>
      </c>
    </row>
    <row r="67" spans="1:8" ht="13.5" customHeight="1">
      <c r="A67" s="841"/>
      <c r="B67" s="863"/>
      <c r="C67" s="128">
        <v>0</v>
      </c>
      <c r="D67" s="128">
        <v>0</v>
      </c>
      <c r="E67" s="128">
        <v>24</v>
      </c>
      <c r="F67" s="577">
        <v>1210</v>
      </c>
      <c r="G67" s="546">
        <v>24</v>
      </c>
      <c r="H67" s="855"/>
    </row>
    <row r="68" spans="1:8" ht="23.25" customHeight="1">
      <c r="A68" s="140" t="s">
        <v>303</v>
      </c>
      <c r="B68" s="131" t="s">
        <v>304</v>
      </c>
      <c r="C68" s="128">
        <v>0</v>
      </c>
      <c r="D68" s="128">
        <v>0</v>
      </c>
      <c r="E68" s="128">
        <v>80</v>
      </c>
      <c r="F68" s="577">
        <v>2390</v>
      </c>
      <c r="G68" s="546">
        <v>80</v>
      </c>
      <c r="H68" s="128" t="s">
        <v>230</v>
      </c>
    </row>
    <row r="69" spans="1:8" ht="23.25" customHeight="1">
      <c r="A69" s="140" t="s">
        <v>305</v>
      </c>
      <c r="B69" s="131" t="s">
        <v>306</v>
      </c>
      <c r="C69" s="128">
        <v>0</v>
      </c>
      <c r="D69" s="128">
        <v>0</v>
      </c>
      <c r="E69" s="128">
        <v>80</v>
      </c>
      <c r="F69" s="577">
        <v>2390</v>
      </c>
      <c r="G69" s="546">
        <v>80</v>
      </c>
      <c r="H69" s="128" t="s">
        <v>230</v>
      </c>
    </row>
    <row r="70" spans="1:8" ht="23.25" customHeight="1">
      <c r="A70" s="140" t="s">
        <v>307</v>
      </c>
      <c r="B70" s="131" t="s">
        <v>308</v>
      </c>
      <c r="C70" s="128">
        <v>0</v>
      </c>
      <c r="D70" s="128">
        <v>0</v>
      </c>
      <c r="E70" s="128">
        <v>120</v>
      </c>
      <c r="F70" s="577">
        <v>2390</v>
      </c>
      <c r="G70" s="546">
        <v>120</v>
      </c>
      <c r="H70" s="128" t="s">
        <v>230</v>
      </c>
    </row>
    <row r="71" spans="1:8" ht="24.75">
      <c r="A71" s="140" t="s">
        <v>309</v>
      </c>
      <c r="B71" s="131" t="s">
        <v>310</v>
      </c>
      <c r="C71" s="128">
        <v>0</v>
      </c>
      <c r="D71" s="128">
        <v>0</v>
      </c>
      <c r="E71" s="128">
        <v>80</v>
      </c>
      <c r="F71" s="577">
        <v>2390</v>
      </c>
      <c r="G71" s="546">
        <v>80</v>
      </c>
      <c r="H71" s="128" t="s">
        <v>230</v>
      </c>
    </row>
    <row r="72" spans="1:8" ht="13.5" customHeight="1">
      <c r="A72" s="140" t="s">
        <v>311</v>
      </c>
      <c r="B72" s="131" t="s">
        <v>312</v>
      </c>
      <c r="C72" s="128">
        <v>0</v>
      </c>
      <c r="D72" s="128">
        <v>0</v>
      </c>
      <c r="E72" s="128">
        <v>90</v>
      </c>
      <c r="F72" s="577">
        <v>2390</v>
      </c>
      <c r="G72" s="546">
        <v>80</v>
      </c>
      <c r="H72" s="128" t="s">
        <v>230</v>
      </c>
    </row>
    <row r="73" spans="1:8" ht="24.75" customHeight="1">
      <c r="A73" s="140" t="s">
        <v>313</v>
      </c>
      <c r="B73" s="131" t="s">
        <v>314</v>
      </c>
      <c r="C73" s="128">
        <v>0</v>
      </c>
      <c r="D73" s="128">
        <v>0</v>
      </c>
      <c r="E73" s="128">
        <v>120</v>
      </c>
      <c r="F73" s="577">
        <v>2390</v>
      </c>
      <c r="G73" s="546">
        <v>120</v>
      </c>
      <c r="H73" s="128" t="s">
        <v>230</v>
      </c>
    </row>
    <row r="74" spans="1:8" ht="15.75" customHeight="1">
      <c r="A74" s="839" t="s">
        <v>315</v>
      </c>
      <c r="B74" s="836" t="s">
        <v>1401</v>
      </c>
      <c r="C74" s="128">
        <v>0</v>
      </c>
      <c r="D74" s="128">
        <v>0</v>
      </c>
      <c r="E74" s="128">
        <v>60</v>
      </c>
      <c r="F74" s="577">
        <v>1150</v>
      </c>
      <c r="G74" s="546">
        <v>60</v>
      </c>
      <c r="H74" s="128"/>
    </row>
    <row r="75" spans="1:8" ht="15.75" customHeight="1">
      <c r="A75" s="840"/>
      <c r="B75" s="837"/>
      <c r="C75" s="128">
        <v>0</v>
      </c>
      <c r="D75" s="128">
        <v>0</v>
      </c>
      <c r="E75" s="128">
        <v>14</v>
      </c>
      <c r="F75" s="577">
        <v>1210</v>
      </c>
      <c r="G75" s="546">
        <v>14</v>
      </c>
      <c r="H75" s="128"/>
    </row>
    <row r="76" spans="1:8" ht="15.75" customHeight="1">
      <c r="A76" s="841"/>
      <c r="B76" s="838"/>
      <c r="C76" s="128">
        <v>0</v>
      </c>
      <c r="D76" s="128">
        <v>0</v>
      </c>
      <c r="E76" s="128">
        <v>69</v>
      </c>
      <c r="F76" s="577">
        <v>2390</v>
      </c>
      <c r="G76" s="546">
        <v>69</v>
      </c>
      <c r="H76" s="128"/>
    </row>
    <row r="77" spans="1:8" ht="15.75" customHeight="1">
      <c r="A77" s="839" t="s">
        <v>318</v>
      </c>
      <c r="B77" s="836" t="s">
        <v>1402</v>
      </c>
      <c r="C77" s="128">
        <v>0</v>
      </c>
      <c r="D77" s="128">
        <v>0</v>
      </c>
      <c r="E77" s="128">
        <v>70</v>
      </c>
      <c r="F77" s="577">
        <v>1150</v>
      </c>
      <c r="G77" s="546">
        <v>70</v>
      </c>
      <c r="H77" s="128"/>
    </row>
    <row r="78" spans="1:8" ht="15.75" customHeight="1">
      <c r="A78" s="840"/>
      <c r="B78" s="837"/>
      <c r="C78" s="128">
        <v>0</v>
      </c>
      <c r="D78" s="128">
        <v>0</v>
      </c>
      <c r="E78" s="128">
        <v>17</v>
      </c>
      <c r="F78" s="577">
        <v>1210</v>
      </c>
      <c r="G78" s="546">
        <v>17</v>
      </c>
      <c r="H78" s="128"/>
    </row>
    <row r="79" spans="1:8" ht="15.75" customHeight="1">
      <c r="A79" s="841"/>
      <c r="B79" s="838"/>
      <c r="C79" s="128">
        <v>0</v>
      </c>
      <c r="D79" s="128">
        <v>0</v>
      </c>
      <c r="E79" s="128">
        <v>120</v>
      </c>
      <c r="F79" s="577">
        <v>2390</v>
      </c>
      <c r="G79" s="546">
        <v>120</v>
      </c>
      <c r="H79" s="128"/>
    </row>
    <row r="80" spans="1:8" ht="15.75" customHeight="1">
      <c r="A80" s="839" t="s">
        <v>320</v>
      </c>
      <c r="B80" s="836" t="s">
        <v>1403</v>
      </c>
      <c r="C80" s="128">
        <v>0</v>
      </c>
      <c r="D80" s="128">
        <v>0</v>
      </c>
      <c r="E80" s="128">
        <v>70</v>
      </c>
      <c r="F80" s="577">
        <v>1150</v>
      </c>
      <c r="G80" s="546">
        <v>70</v>
      </c>
      <c r="H80" s="128"/>
    </row>
    <row r="81" spans="1:8" ht="15.75" customHeight="1">
      <c r="A81" s="840"/>
      <c r="B81" s="837"/>
      <c r="C81" s="128">
        <v>0</v>
      </c>
      <c r="D81" s="128">
        <v>0</v>
      </c>
      <c r="E81" s="128">
        <v>17</v>
      </c>
      <c r="F81" s="577">
        <v>1210</v>
      </c>
      <c r="G81" s="546">
        <v>17</v>
      </c>
      <c r="H81" s="128"/>
    </row>
    <row r="82" spans="1:8" ht="15.75" customHeight="1">
      <c r="A82" s="841"/>
      <c r="B82" s="838"/>
      <c r="C82" s="128">
        <v>0</v>
      </c>
      <c r="D82" s="128">
        <v>0</v>
      </c>
      <c r="E82" s="128">
        <v>70</v>
      </c>
      <c r="F82" s="577">
        <v>2390</v>
      </c>
      <c r="G82" s="546">
        <v>70</v>
      </c>
      <c r="H82" s="128"/>
    </row>
    <row r="83" spans="1:8" ht="15.75" customHeight="1">
      <c r="A83" s="839" t="s">
        <v>322</v>
      </c>
      <c r="B83" s="836" t="s">
        <v>1404</v>
      </c>
      <c r="C83" s="128">
        <v>0</v>
      </c>
      <c r="D83" s="128">
        <v>0</v>
      </c>
      <c r="E83" s="128">
        <v>40</v>
      </c>
      <c r="F83" s="577">
        <v>1150</v>
      </c>
      <c r="G83" s="546">
        <v>40</v>
      </c>
      <c r="H83" s="128"/>
    </row>
    <row r="84" spans="1:8" ht="15.75" customHeight="1">
      <c r="A84" s="840"/>
      <c r="B84" s="837"/>
      <c r="C84" s="128">
        <v>0</v>
      </c>
      <c r="D84" s="128">
        <v>0</v>
      </c>
      <c r="E84" s="128">
        <v>10</v>
      </c>
      <c r="F84" s="577">
        <v>1210</v>
      </c>
      <c r="G84" s="546">
        <v>10</v>
      </c>
      <c r="H84" s="128"/>
    </row>
    <row r="85" spans="1:8" ht="15.75" customHeight="1">
      <c r="A85" s="841"/>
      <c r="B85" s="838"/>
      <c r="C85" s="128">
        <v>0</v>
      </c>
      <c r="D85" s="128">
        <v>0</v>
      </c>
      <c r="E85" s="128">
        <v>80</v>
      </c>
      <c r="F85" s="577">
        <v>2390</v>
      </c>
      <c r="G85" s="546">
        <v>80</v>
      </c>
      <c r="H85" s="128"/>
    </row>
    <row r="86" spans="1:8" ht="15.75" customHeight="1">
      <c r="A86" s="839" t="s">
        <v>324</v>
      </c>
      <c r="B86" s="836" t="s">
        <v>1405</v>
      </c>
      <c r="C86" s="128">
        <v>0</v>
      </c>
      <c r="D86" s="128">
        <v>0</v>
      </c>
      <c r="E86" s="128">
        <v>40</v>
      </c>
      <c r="F86" s="577">
        <v>1150</v>
      </c>
      <c r="G86" s="546">
        <v>40</v>
      </c>
      <c r="H86" s="128"/>
    </row>
    <row r="87" spans="1:8" ht="15.75" customHeight="1">
      <c r="A87" s="840"/>
      <c r="B87" s="837"/>
      <c r="C87" s="128">
        <v>0</v>
      </c>
      <c r="D87" s="128">
        <v>0</v>
      </c>
      <c r="E87" s="128">
        <v>10</v>
      </c>
      <c r="F87" s="577">
        <v>1210</v>
      </c>
      <c r="G87" s="546">
        <v>10</v>
      </c>
      <c r="H87" s="128"/>
    </row>
    <row r="88" spans="1:8" ht="15.75" customHeight="1">
      <c r="A88" s="841"/>
      <c r="B88" s="838"/>
      <c r="C88" s="128">
        <v>0</v>
      </c>
      <c r="D88" s="128">
        <v>0</v>
      </c>
      <c r="E88" s="128">
        <v>120</v>
      </c>
      <c r="F88" s="577">
        <v>2390</v>
      </c>
      <c r="G88" s="546">
        <v>120</v>
      </c>
      <c r="H88" s="128"/>
    </row>
    <row r="89" spans="1:8" ht="15.75" customHeight="1">
      <c r="A89" s="839" t="s">
        <v>327</v>
      </c>
      <c r="B89" s="836" t="s">
        <v>1406</v>
      </c>
      <c r="C89" s="128">
        <v>0</v>
      </c>
      <c r="D89" s="128">
        <v>0</v>
      </c>
      <c r="E89" s="128">
        <v>90</v>
      </c>
      <c r="F89" s="577">
        <v>1150</v>
      </c>
      <c r="G89" s="546">
        <v>90</v>
      </c>
      <c r="H89" s="128"/>
    </row>
    <row r="90" spans="1:8" ht="15.75" customHeight="1">
      <c r="A90" s="840"/>
      <c r="B90" s="837"/>
      <c r="C90" s="128">
        <v>0</v>
      </c>
      <c r="D90" s="128">
        <v>0</v>
      </c>
      <c r="E90" s="128">
        <v>22</v>
      </c>
      <c r="F90" s="577">
        <v>1210</v>
      </c>
      <c r="G90" s="546">
        <v>22</v>
      </c>
      <c r="H90" s="128"/>
    </row>
    <row r="91" spans="1:8" ht="15.75" customHeight="1">
      <c r="A91" s="841"/>
      <c r="B91" s="838"/>
      <c r="C91" s="128">
        <v>0</v>
      </c>
      <c r="D91" s="128">
        <v>0</v>
      </c>
      <c r="E91" s="128">
        <v>90</v>
      </c>
      <c r="F91" s="577">
        <v>2390</v>
      </c>
      <c r="G91" s="546">
        <v>90</v>
      </c>
      <c r="H91" s="128"/>
    </row>
    <row r="92" spans="1:8" ht="15.75" customHeight="1">
      <c r="A92" s="839" t="s">
        <v>329</v>
      </c>
      <c r="B92" s="836" t="s">
        <v>1407</v>
      </c>
      <c r="C92" s="128">
        <v>0</v>
      </c>
      <c r="D92" s="128">
        <v>0</v>
      </c>
      <c r="E92" s="128">
        <v>120</v>
      </c>
      <c r="F92" s="577">
        <v>1150</v>
      </c>
      <c r="G92" s="546">
        <v>120</v>
      </c>
      <c r="H92" s="128"/>
    </row>
    <row r="93" spans="1:8" ht="15.75" customHeight="1">
      <c r="A93" s="840"/>
      <c r="B93" s="837"/>
      <c r="C93" s="128">
        <v>0</v>
      </c>
      <c r="D93" s="128">
        <v>0</v>
      </c>
      <c r="E93" s="128">
        <v>29</v>
      </c>
      <c r="F93" s="577">
        <v>1210</v>
      </c>
      <c r="G93" s="546">
        <v>29</v>
      </c>
      <c r="H93" s="128"/>
    </row>
    <row r="94" spans="1:8" ht="15.75" customHeight="1">
      <c r="A94" s="841"/>
      <c r="B94" s="838"/>
      <c r="C94" s="128">
        <v>0</v>
      </c>
      <c r="D94" s="128">
        <v>0</v>
      </c>
      <c r="E94" s="128">
        <v>120</v>
      </c>
      <c r="F94" s="577">
        <v>2390</v>
      </c>
      <c r="G94" s="546">
        <v>120</v>
      </c>
      <c r="H94" s="128"/>
    </row>
    <row r="95" spans="1:8" ht="15.75" customHeight="1">
      <c r="A95" s="839" t="s">
        <v>331</v>
      </c>
      <c r="B95" s="836" t="s">
        <v>1408</v>
      </c>
      <c r="C95" s="128">
        <v>0</v>
      </c>
      <c r="D95" s="128">
        <v>0</v>
      </c>
      <c r="E95" s="128">
        <v>50</v>
      </c>
      <c r="F95" s="577">
        <v>1150</v>
      </c>
      <c r="G95" s="546">
        <v>50</v>
      </c>
      <c r="H95" s="128"/>
    </row>
    <row r="96" spans="1:8" ht="15.75" customHeight="1">
      <c r="A96" s="840"/>
      <c r="B96" s="837"/>
      <c r="C96" s="128">
        <v>0</v>
      </c>
      <c r="D96" s="128">
        <v>0</v>
      </c>
      <c r="E96" s="128">
        <v>12</v>
      </c>
      <c r="F96" s="577">
        <v>1210</v>
      </c>
      <c r="G96" s="546">
        <v>12</v>
      </c>
      <c r="H96" s="128"/>
    </row>
    <row r="97" spans="1:8" ht="15.75" customHeight="1">
      <c r="A97" s="841"/>
      <c r="B97" s="838"/>
      <c r="C97" s="128">
        <v>0</v>
      </c>
      <c r="D97" s="128">
        <v>0</v>
      </c>
      <c r="E97" s="128">
        <v>70</v>
      </c>
      <c r="F97" s="577">
        <v>2390</v>
      </c>
      <c r="G97" s="546">
        <v>70</v>
      </c>
      <c r="H97" s="128"/>
    </row>
    <row r="98" spans="1:8" ht="15.75" customHeight="1">
      <c r="A98" s="839" t="s">
        <v>333</v>
      </c>
      <c r="B98" s="836" t="s">
        <v>1409</v>
      </c>
      <c r="C98" s="128">
        <v>0</v>
      </c>
      <c r="D98" s="128">
        <v>0</v>
      </c>
      <c r="E98" s="128">
        <v>40</v>
      </c>
      <c r="F98" s="577">
        <v>1150</v>
      </c>
      <c r="G98" s="546">
        <v>40</v>
      </c>
      <c r="H98" s="128"/>
    </row>
    <row r="99" spans="1:8" ht="15.75" customHeight="1">
      <c r="A99" s="840"/>
      <c r="B99" s="837"/>
      <c r="C99" s="128">
        <v>0</v>
      </c>
      <c r="D99" s="128">
        <v>0</v>
      </c>
      <c r="E99" s="128">
        <v>10</v>
      </c>
      <c r="F99" s="577">
        <v>1210</v>
      </c>
      <c r="G99" s="546">
        <v>10</v>
      </c>
      <c r="H99" s="128"/>
    </row>
    <row r="100" spans="1:8" ht="15.75" customHeight="1">
      <c r="A100" s="841"/>
      <c r="B100" s="838"/>
      <c r="C100" s="128">
        <v>0</v>
      </c>
      <c r="D100" s="128">
        <v>0</v>
      </c>
      <c r="E100" s="128">
        <v>120</v>
      </c>
      <c r="F100" s="577">
        <v>2390</v>
      </c>
      <c r="G100" s="546">
        <v>120</v>
      </c>
      <c r="H100" s="128"/>
    </row>
    <row r="101" spans="1:8" ht="15.75" customHeight="1">
      <c r="A101" s="839" t="s">
        <v>335</v>
      </c>
      <c r="B101" s="836" t="s">
        <v>1410</v>
      </c>
      <c r="C101" s="128">
        <v>0</v>
      </c>
      <c r="D101" s="128">
        <v>0</v>
      </c>
      <c r="E101" s="128">
        <v>40</v>
      </c>
      <c r="F101" s="577">
        <v>1150</v>
      </c>
      <c r="G101" s="546">
        <v>40</v>
      </c>
      <c r="H101" s="128"/>
    </row>
    <row r="102" spans="1:8" ht="15.75" customHeight="1">
      <c r="A102" s="840"/>
      <c r="B102" s="837"/>
      <c r="C102" s="128">
        <v>0</v>
      </c>
      <c r="D102" s="128">
        <v>0</v>
      </c>
      <c r="E102" s="128">
        <v>10</v>
      </c>
      <c r="F102" s="577">
        <v>1210</v>
      </c>
      <c r="G102" s="546">
        <v>10</v>
      </c>
      <c r="H102" s="128"/>
    </row>
    <row r="103" spans="1:8" ht="15.75" customHeight="1">
      <c r="A103" s="841"/>
      <c r="B103" s="838"/>
      <c r="C103" s="128">
        <v>0</v>
      </c>
      <c r="D103" s="128">
        <v>0</v>
      </c>
      <c r="E103" s="128">
        <v>70</v>
      </c>
      <c r="F103" s="577">
        <v>2390</v>
      </c>
      <c r="G103" s="546">
        <v>70</v>
      </c>
      <c r="H103" s="128"/>
    </row>
    <row r="104" spans="1:8" ht="22.5" customHeight="1">
      <c r="A104" s="440" t="s">
        <v>337</v>
      </c>
      <c r="B104" s="441" t="s">
        <v>316</v>
      </c>
      <c r="C104" s="128">
        <v>0</v>
      </c>
      <c r="D104" s="128">
        <v>0</v>
      </c>
      <c r="E104" s="128">
        <v>90</v>
      </c>
      <c r="F104" s="577">
        <v>2390</v>
      </c>
      <c r="G104" s="546">
        <v>90</v>
      </c>
      <c r="H104" s="128" t="s">
        <v>230</v>
      </c>
    </row>
    <row r="105" spans="1:8" ht="15">
      <c r="A105" s="140"/>
      <c r="B105" s="145" t="s">
        <v>317</v>
      </c>
      <c r="C105" s="128"/>
      <c r="D105" s="128"/>
      <c r="E105" s="128"/>
      <c r="F105" s="577"/>
      <c r="G105" s="546"/>
      <c r="H105" s="128"/>
    </row>
    <row r="106" spans="1:8" ht="24.75" customHeight="1">
      <c r="A106" s="140" t="s">
        <v>318</v>
      </c>
      <c r="B106" s="131" t="s">
        <v>319</v>
      </c>
      <c r="C106" s="128">
        <v>0</v>
      </c>
      <c r="D106" s="128">
        <v>0</v>
      </c>
      <c r="E106" s="128">
        <v>200</v>
      </c>
      <c r="F106" s="577">
        <v>2390</v>
      </c>
      <c r="G106" s="546">
        <v>120</v>
      </c>
      <c r="H106" s="128" t="s">
        <v>230</v>
      </c>
    </row>
    <row r="107" spans="1:8" ht="24.75">
      <c r="A107" s="140" t="s">
        <v>320</v>
      </c>
      <c r="B107" s="131" t="s">
        <v>321</v>
      </c>
      <c r="C107" s="128">
        <v>0</v>
      </c>
      <c r="D107" s="128">
        <v>0</v>
      </c>
      <c r="E107" s="128">
        <v>200</v>
      </c>
      <c r="F107" s="577">
        <v>2390</v>
      </c>
      <c r="G107" s="546">
        <v>120</v>
      </c>
      <c r="H107" s="128" t="s">
        <v>230</v>
      </c>
    </row>
    <row r="108" spans="1:8" ht="24.75">
      <c r="A108" s="140" t="s">
        <v>322</v>
      </c>
      <c r="B108" s="131" t="s">
        <v>323</v>
      </c>
      <c r="C108" s="128">
        <v>0</v>
      </c>
      <c r="D108" s="128">
        <v>0</v>
      </c>
      <c r="E108" s="128">
        <v>100</v>
      </c>
      <c r="F108" s="577">
        <v>2390</v>
      </c>
      <c r="G108" s="546">
        <v>100</v>
      </c>
      <c r="H108" s="128" t="s">
        <v>230</v>
      </c>
    </row>
    <row r="109" spans="1:8" ht="15">
      <c r="A109" s="140" t="s">
        <v>324</v>
      </c>
      <c r="B109" s="131" t="s">
        <v>325</v>
      </c>
      <c r="C109" s="128">
        <v>0</v>
      </c>
      <c r="D109" s="128">
        <v>0</v>
      </c>
      <c r="E109" s="128">
        <v>120</v>
      </c>
      <c r="F109" s="577">
        <v>2262</v>
      </c>
      <c r="G109" s="546"/>
      <c r="H109" s="128" t="s">
        <v>326</v>
      </c>
    </row>
    <row r="110" spans="1:8" ht="15">
      <c r="A110" s="871" t="s">
        <v>327</v>
      </c>
      <c r="B110" s="856" t="s">
        <v>328</v>
      </c>
      <c r="C110" s="136">
        <v>500</v>
      </c>
      <c r="D110" s="138">
        <v>500</v>
      </c>
      <c r="E110" s="128">
        <v>1000</v>
      </c>
      <c r="F110" s="577">
        <v>2390</v>
      </c>
      <c r="G110" s="546">
        <v>500</v>
      </c>
      <c r="H110" s="128" t="s">
        <v>230</v>
      </c>
    </row>
    <row r="111" spans="1:8" ht="15">
      <c r="A111" s="871"/>
      <c r="B111" s="856"/>
      <c r="C111" s="136">
        <v>300</v>
      </c>
      <c r="D111" s="138">
        <v>300</v>
      </c>
      <c r="E111" s="128">
        <v>0</v>
      </c>
      <c r="F111" s="577">
        <v>2231</v>
      </c>
      <c r="G111" s="546"/>
      <c r="H111" s="128"/>
    </row>
    <row r="112" spans="1:15" s="123" customFormat="1" ht="15">
      <c r="A112" s="839" t="s">
        <v>329</v>
      </c>
      <c r="B112" s="850" t="s">
        <v>330</v>
      </c>
      <c r="C112" s="136">
        <v>1189</v>
      </c>
      <c r="D112" s="127">
        <v>681</v>
      </c>
      <c r="E112" s="122">
        <v>1400</v>
      </c>
      <c r="F112" s="578">
        <v>2390</v>
      </c>
      <c r="G112" s="545">
        <v>1400</v>
      </c>
      <c r="H112" s="122" t="s">
        <v>230</v>
      </c>
      <c r="I112"/>
      <c r="J112"/>
      <c r="K112"/>
      <c r="L112"/>
      <c r="M112"/>
      <c r="N112"/>
      <c r="O112"/>
    </row>
    <row r="113" spans="1:15" s="123" customFormat="1" ht="15">
      <c r="A113" s="841"/>
      <c r="B113" s="852"/>
      <c r="C113" s="136">
        <v>200</v>
      </c>
      <c r="D113" s="127">
        <v>0</v>
      </c>
      <c r="E113" s="122">
        <v>0</v>
      </c>
      <c r="F113" s="578">
        <v>2311</v>
      </c>
      <c r="G113" s="545"/>
      <c r="H113" s="122"/>
      <c r="I113"/>
      <c r="J113"/>
      <c r="K113"/>
      <c r="L113"/>
      <c r="M113"/>
      <c r="N113"/>
      <c r="O113"/>
    </row>
    <row r="114" spans="1:8" ht="15">
      <c r="A114" s="871" t="s">
        <v>331</v>
      </c>
      <c r="B114" s="873" t="s">
        <v>332</v>
      </c>
      <c r="C114" s="139">
        <v>831</v>
      </c>
      <c r="D114" s="127">
        <v>830</v>
      </c>
      <c r="E114" s="128">
        <v>0</v>
      </c>
      <c r="F114" s="577">
        <v>2262</v>
      </c>
      <c r="G114" s="546"/>
      <c r="H114" s="128"/>
    </row>
    <row r="115" spans="1:8" ht="15">
      <c r="A115" s="871"/>
      <c r="B115" s="873"/>
      <c r="C115" s="139">
        <v>0</v>
      </c>
      <c r="D115" s="127">
        <v>0</v>
      </c>
      <c r="E115" s="128">
        <v>100</v>
      </c>
      <c r="F115" s="577">
        <v>2390</v>
      </c>
      <c r="G115" s="546">
        <v>100</v>
      </c>
      <c r="H115" s="128" t="s">
        <v>230</v>
      </c>
    </row>
    <row r="116" spans="1:8" ht="15">
      <c r="A116" s="871"/>
      <c r="B116" s="873"/>
      <c r="C116" s="139">
        <v>0</v>
      </c>
      <c r="D116" s="127">
        <v>0</v>
      </c>
      <c r="E116" s="128">
        <v>150</v>
      </c>
      <c r="F116" s="577">
        <v>2264</v>
      </c>
      <c r="G116" s="546">
        <v>150</v>
      </c>
      <c r="H116" s="128" t="s">
        <v>286</v>
      </c>
    </row>
    <row r="117" spans="1:8" ht="15">
      <c r="A117" s="871"/>
      <c r="B117" s="873"/>
      <c r="C117" s="139">
        <v>369</v>
      </c>
      <c r="D117" s="127">
        <v>369</v>
      </c>
      <c r="E117" s="128">
        <v>150</v>
      </c>
      <c r="F117" s="577">
        <v>2363</v>
      </c>
      <c r="G117" s="546">
        <v>150</v>
      </c>
      <c r="H117" s="128" t="s">
        <v>272</v>
      </c>
    </row>
    <row r="118" spans="1:8" ht="15">
      <c r="A118" s="871" t="s">
        <v>333</v>
      </c>
      <c r="B118" s="873" t="s">
        <v>334</v>
      </c>
      <c r="C118" s="139">
        <v>125</v>
      </c>
      <c r="D118" s="127">
        <v>124</v>
      </c>
      <c r="E118" s="128">
        <v>0</v>
      </c>
      <c r="F118" s="577">
        <v>2370</v>
      </c>
      <c r="G118" s="546"/>
      <c r="H118" s="128"/>
    </row>
    <row r="119" spans="1:8" ht="15">
      <c r="A119" s="871"/>
      <c r="B119" s="873"/>
      <c r="C119" s="139">
        <v>76</v>
      </c>
      <c r="D119" s="127">
        <v>76</v>
      </c>
      <c r="E119" s="128">
        <v>0</v>
      </c>
      <c r="F119" s="577">
        <v>2390</v>
      </c>
      <c r="G119" s="546"/>
      <c r="H119" s="128"/>
    </row>
    <row r="120" spans="1:8" ht="24">
      <c r="A120" s="140" t="s">
        <v>335</v>
      </c>
      <c r="B120" s="146" t="s">
        <v>336</v>
      </c>
      <c r="C120" s="139">
        <v>0</v>
      </c>
      <c r="D120" s="127">
        <v>0</v>
      </c>
      <c r="E120" s="128">
        <v>100</v>
      </c>
      <c r="F120" s="577">
        <v>2390</v>
      </c>
      <c r="G120" s="546"/>
      <c r="H120" s="128" t="s">
        <v>230</v>
      </c>
    </row>
    <row r="121" spans="1:15" s="123" customFormat="1" ht="15">
      <c r="A121" s="860" t="s">
        <v>337</v>
      </c>
      <c r="B121" s="862" t="s">
        <v>338</v>
      </c>
      <c r="C121" s="139">
        <v>0</v>
      </c>
      <c r="D121" s="127">
        <v>0</v>
      </c>
      <c r="E121" s="122">
        <v>150</v>
      </c>
      <c r="F121" s="578">
        <v>2390</v>
      </c>
      <c r="G121" s="545">
        <v>100</v>
      </c>
      <c r="H121" s="122" t="s">
        <v>230</v>
      </c>
      <c r="I121"/>
      <c r="J121"/>
      <c r="K121"/>
      <c r="L121"/>
      <c r="M121"/>
      <c r="N121"/>
      <c r="O121"/>
    </row>
    <row r="122" spans="1:15" s="123" customFormat="1" ht="15">
      <c r="A122" s="861"/>
      <c r="B122" s="863"/>
      <c r="C122" s="139">
        <v>0</v>
      </c>
      <c r="D122" s="127">
        <v>0</v>
      </c>
      <c r="E122" s="122">
        <v>50</v>
      </c>
      <c r="F122" s="578">
        <v>2261</v>
      </c>
      <c r="G122" s="545">
        <v>50</v>
      </c>
      <c r="H122" s="122" t="s">
        <v>244</v>
      </c>
      <c r="I122"/>
      <c r="J122"/>
      <c r="K122"/>
      <c r="L122"/>
      <c r="M122"/>
      <c r="N122"/>
      <c r="O122"/>
    </row>
    <row r="123" spans="1:15" s="123" customFormat="1" ht="15">
      <c r="A123" s="130"/>
      <c r="B123" s="144" t="s">
        <v>1104</v>
      </c>
      <c r="C123" s="122"/>
      <c r="D123" s="122"/>
      <c r="E123" s="122"/>
      <c r="F123" s="578"/>
      <c r="G123" s="545"/>
      <c r="H123" s="122"/>
      <c r="I123"/>
      <c r="J123"/>
      <c r="K123"/>
      <c r="L123"/>
      <c r="M123"/>
      <c r="N123"/>
      <c r="O123"/>
    </row>
    <row r="124" spans="1:15" s="123" customFormat="1" ht="15">
      <c r="A124" s="860" t="s">
        <v>339</v>
      </c>
      <c r="B124" s="862" t="s">
        <v>340</v>
      </c>
      <c r="C124" s="139">
        <v>0</v>
      </c>
      <c r="D124" s="127">
        <v>0</v>
      </c>
      <c r="E124" s="122">
        <v>70</v>
      </c>
      <c r="F124" s="578">
        <v>2390</v>
      </c>
      <c r="G124" s="545">
        <v>70</v>
      </c>
      <c r="H124" s="122" t="s">
        <v>230</v>
      </c>
      <c r="I124"/>
      <c r="J124"/>
      <c r="K124"/>
      <c r="L124"/>
      <c r="M124"/>
      <c r="N124"/>
      <c r="O124"/>
    </row>
    <row r="125" spans="1:15" s="123" customFormat="1" ht="15">
      <c r="A125" s="861"/>
      <c r="B125" s="863"/>
      <c r="C125" s="139">
        <v>0</v>
      </c>
      <c r="D125" s="127">
        <v>0</v>
      </c>
      <c r="E125" s="122">
        <v>40</v>
      </c>
      <c r="F125" s="578">
        <v>2231</v>
      </c>
      <c r="G125" s="545">
        <v>40</v>
      </c>
      <c r="H125" s="122" t="s">
        <v>341</v>
      </c>
      <c r="I125"/>
      <c r="J125"/>
      <c r="K125"/>
      <c r="L125"/>
      <c r="M125"/>
      <c r="N125"/>
      <c r="O125"/>
    </row>
    <row r="126" spans="1:15" s="123" customFormat="1" ht="15">
      <c r="A126" s="140" t="s">
        <v>342</v>
      </c>
      <c r="B126" s="122" t="s">
        <v>343</v>
      </c>
      <c r="C126" s="139">
        <v>0</v>
      </c>
      <c r="D126" s="127">
        <v>0</v>
      </c>
      <c r="E126" s="122">
        <v>150</v>
      </c>
      <c r="F126" s="578">
        <v>2231</v>
      </c>
      <c r="G126" s="545">
        <v>150</v>
      </c>
      <c r="H126" s="122" t="s">
        <v>344</v>
      </c>
      <c r="I126"/>
      <c r="J126"/>
      <c r="K126"/>
      <c r="L126"/>
      <c r="M126"/>
      <c r="N126"/>
      <c r="O126"/>
    </row>
    <row r="127" spans="1:8" ht="15">
      <c r="A127" s="133" t="s">
        <v>345</v>
      </c>
      <c r="B127" s="134" t="s">
        <v>346</v>
      </c>
      <c r="C127" s="135"/>
      <c r="D127" s="121"/>
      <c r="E127" s="128"/>
      <c r="F127" s="577"/>
      <c r="G127" s="546"/>
      <c r="H127" s="128"/>
    </row>
    <row r="128" spans="1:8" ht="15">
      <c r="A128" s="872" t="s">
        <v>347</v>
      </c>
      <c r="B128" s="873" t="s">
        <v>348</v>
      </c>
      <c r="C128" s="139">
        <v>30</v>
      </c>
      <c r="D128" s="127">
        <v>0</v>
      </c>
      <c r="E128" s="128">
        <v>0</v>
      </c>
      <c r="F128" s="577">
        <v>2311</v>
      </c>
      <c r="G128" s="546"/>
      <c r="H128" s="128"/>
    </row>
    <row r="129" spans="1:8" ht="15">
      <c r="A129" s="872"/>
      <c r="B129" s="873"/>
      <c r="C129" s="139">
        <v>60</v>
      </c>
      <c r="D129" s="127">
        <v>0</v>
      </c>
      <c r="E129" s="128">
        <v>0</v>
      </c>
      <c r="F129" s="577">
        <v>2390</v>
      </c>
      <c r="G129" s="546"/>
      <c r="H129" s="128"/>
    </row>
    <row r="130" spans="1:8" ht="15">
      <c r="A130" s="147"/>
      <c r="B130" s="134" t="s">
        <v>289</v>
      </c>
      <c r="C130" s="139"/>
      <c r="D130" s="127"/>
      <c r="E130" s="128"/>
      <c r="F130" s="577"/>
      <c r="G130" s="546"/>
      <c r="H130" s="128"/>
    </row>
    <row r="131" spans="1:8" ht="15">
      <c r="A131" s="147" t="s">
        <v>349</v>
      </c>
      <c r="B131" s="146" t="s">
        <v>350</v>
      </c>
      <c r="C131" s="139">
        <v>0</v>
      </c>
      <c r="D131" s="127">
        <v>0</v>
      </c>
      <c r="E131" s="128">
        <v>300</v>
      </c>
      <c r="F131" s="577">
        <v>2390</v>
      </c>
      <c r="G131" s="546"/>
      <c r="H131" s="128" t="s">
        <v>351</v>
      </c>
    </row>
    <row r="132" spans="1:8" ht="15">
      <c r="A132" s="872" t="s">
        <v>352</v>
      </c>
      <c r="B132" s="873" t="s">
        <v>353</v>
      </c>
      <c r="C132" s="139">
        <v>100</v>
      </c>
      <c r="D132" s="127">
        <v>100</v>
      </c>
      <c r="E132" s="128">
        <v>200</v>
      </c>
      <c r="F132" s="577">
        <v>2264</v>
      </c>
      <c r="G132" s="546">
        <v>200</v>
      </c>
      <c r="H132" s="128" t="s">
        <v>273</v>
      </c>
    </row>
    <row r="133" spans="1:8" ht="15">
      <c r="A133" s="872"/>
      <c r="B133" s="873"/>
      <c r="C133" s="139">
        <v>30</v>
      </c>
      <c r="D133" s="127">
        <v>30</v>
      </c>
      <c r="E133" s="128">
        <v>0</v>
      </c>
      <c r="F133" s="577">
        <v>2311</v>
      </c>
      <c r="G133" s="546"/>
      <c r="H133" s="128"/>
    </row>
    <row r="134" spans="1:8" ht="15">
      <c r="A134" s="872"/>
      <c r="B134" s="873"/>
      <c r="C134" s="139">
        <v>30</v>
      </c>
      <c r="D134" s="127">
        <v>30</v>
      </c>
      <c r="E134" s="128">
        <v>0</v>
      </c>
      <c r="F134" s="577">
        <v>2231</v>
      </c>
      <c r="G134" s="546"/>
      <c r="H134" s="128"/>
    </row>
    <row r="135" spans="1:8" ht="15">
      <c r="A135" s="872"/>
      <c r="B135" s="873"/>
      <c r="C135" s="139">
        <v>60</v>
      </c>
      <c r="D135" s="127">
        <v>60</v>
      </c>
      <c r="E135" s="128">
        <v>120</v>
      </c>
      <c r="F135" s="577">
        <v>2390</v>
      </c>
      <c r="G135" s="546">
        <v>120</v>
      </c>
      <c r="H135" s="122" t="s">
        <v>230</v>
      </c>
    </row>
    <row r="136" spans="1:8" ht="15">
      <c r="A136" s="872"/>
      <c r="B136" s="873"/>
      <c r="C136" s="128">
        <v>0</v>
      </c>
      <c r="D136" s="128">
        <v>0</v>
      </c>
      <c r="E136" s="128">
        <v>1200</v>
      </c>
      <c r="F136" s="577">
        <v>2390</v>
      </c>
      <c r="G136" s="546">
        <v>1200</v>
      </c>
      <c r="H136" s="128" t="s">
        <v>354</v>
      </c>
    </row>
    <row r="137" spans="1:8" ht="15">
      <c r="A137" s="118" t="s">
        <v>28</v>
      </c>
      <c r="B137" s="134" t="s">
        <v>355</v>
      </c>
      <c r="C137" s="148"/>
      <c r="D137" s="121"/>
      <c r="E137" s="128"/>
      <c r="F137" s="577"/>
      <c r="G137" s="546"/>
      <c r="H137" s="128"/>
    </row>
    <row r="138" spans="1:8" ht="15">
      <c r="A138" s="130"/>
      <c r="B138" s="119" t="s">
        <v>281</v>
      </c>
      <c r="C138" s="128"/>
      <c r="D138" s="128"/>
      <c r="E138" s="128"/>
      <c r="F138" s="577"/>
      <c r="G138" s="546"/>
      <c r="H138" s="128"/>
    </row>
    <row r="139" spans="1:8" ht="15">
      <c r="A139" s="871" t="s">
        <v>356</v>
      </c>
      <c r="B139" s="856" t="s">
        <v>357</v>
      </c>
      <c r="C139" s="139">
        <v>0</v>
      </c>
      <c r="D139" s="127">
        <v>0</v>
      </c>
      <c r="E139" s="128">
        <v>5</v>
      </c>
      <c r="F139" s="577">
        <v>2311</v>
      </c>
      <c r="G139" s="546"/>
      <c r="H139" s="128" t="s">
        <v>284</v>
      </c>
    </row>
    <row r="140" spans="1:8" ht="15">
      <c r="A140" s="871"/>
      <c r="B140" s="856"/>
      <c r="C140" s="139">
        <v>29</v>
      </c>
      <c r="D140" s="127">
        <v>29</v>
      </c>
      <c r="E140" s="128">
        <v>35</v>
      </c>
      <c r="F140" s="577">
        <v>2390</v>
      </c>
      <c r="G140" s="546">
        <v>35</v>
      </c>
      <c r="H140" s="128" t="s">
        <v>230</v>
      </c>
    </row>
    <row r="141" spans="1:8" ht="15">
      <c r="A141" s="839" t="s">
        <v>358</v>
      </c>
      <c r="B141" s="857" t="s">
        <v>359</v>
      </c>
      <c r="C141" s="139">
        <v>5</v>
      </c>
      <c r="D141" s="127">
        <v>5</v>
      </c>
      <c r="E141" s="128">
        <v>0</v>
      </c>
      <c r="F141" s="577">
        <v>2311</v>
      </c>
      <c r="G141" s="546"/>
      <c r="H141" s="128"/>
    </row>
    <row r="142" spans="1:8" ht="15" customHeight="1">
      <c r="A142" s="841"/>
      <c r="B142" s="859"/>
      <c r="C142" s="139">
        <v>30</v>
      </c>
      <c r="D142" s="127">
        <v>30</v>
      </c>
      <c r="E142" s="128">
        <v>0</v>
      </c>
      <c r="F142" s="577">
        <v>2390</v>
      </c>
      <c r="G142" s="546"/>
      <c r="H142" s="128"/>
    </row>
    <row r="143" spans="1:8" ht="12.75" customHeight="1">
      <c r="A143" s="871" t="s">
        <v>360</v>
      </c>
      <c r="B143" s="856" t="s">
        <v>361</v>
      </c>
      <c r="C143" s="139">
        <v>0</v>
      </c>
      <c r="D143" s="127">
        <v>0</v>
      </c>
      <c r="E143" s="128">
        <v>5</v>
      </c>
      <c r="F143" s="577">
        <v>2311</v>
      </c>
      <c r="G143" s="546"/>
      <c r="H143" s="128" t="s">
        <v>284</v>
      </c>
    </row>
    <row r="144" spans="1:8" ht="23.25" customHeight="1">
      <c r="A144" s="871"/>
      <c r="B144" s="856"/>
      <c r="C144" s="139">
        <v>0</v>
      </c>
      <c r="D144" s="127">
        <v>0</v>
      </c>
      <c r="E144" s="128">
        <v>35</v>
      </c>
      <c r="F144" s="577">
        <v>2390</v>
      </c>
      <c r="G144" s="546">
        <v>35</v>
      </c>
      <c r="H144" s="128" t="s">
        <v>230</v>
      </c>
    </row>
    <row r="145" spans="1:8" ht="12.75" customHeight="1">
      <c r="A145" s="871" t="s">
        <v>362</v>
      </c>
      <c r="B145" s="856" t="s">
        <v>363</v>
      </c>
      <c r="C145" s="139">
        <v>10</v>
      </c>
      <c r="D145" s="127">
        <v>10</v>
      </c>
      <c r="E145" s="128">
        <v>10</v>
      </c>
      <c r="F145" s="577">
        <v>2311</v>
      </c>
      <c r="G145" s="546"/>
      <c r="H145" s="128" t="s">
        <v>284</v>
      </c>
    </row>
    <row r="146" spans="1:8" ht="15">
      <c r="A146" s="871"/>
      <c r="B146" s="856"/>
      <c r="C146" s="139">
        <v>10</v>
      </c>
      <c r="D146" s="127">
        <v>10</v>
      </c>
      <c r="E146" s="128">
        <v>10</v>
      </c>
      <c r="F146" s="577">
        <v>2352</v>
      </c>
      <c r="G146" s="546"/>
      <c r="H146" s="128" t="s">
        <v>287</v>
      </c>
    </row>
    <row r="147" spans="1:8" ht="15">
      <c r="A147" s="871"/>
      <c r="B147" s="856"/>
      <c r="C147" s="139">
        <v>65</v>
      </c>
      <c r="D147" s="127">
        <v>65</v>
      </c>
      <c r="E147" s="128">
        <v>70</v>
      </c>
      <c r="F147" s="577">
        <v>2390</v>
      </c>
      <c r="G147" s="546">
        <v>70</v>
      </c>
      <c r="H147" s="128" t="s">
        <v>230</v>
      </c>
    </row>
    <row r="148" spans="1:8" ht="15">
      <c r="A148" s="871" t="s">
        <v>364</v>
      </c>
      <c r="B148" s="856" t="s">
        <v>365</v>
      </c>
      <c r="C148" s="139">
        <v>10</v>
      </c>
      <c r="D148" s="127">
        <v>10</v>
      </c>
      <c r="E148" s="128">
        <v>10</v>
      </c>
      <c r="F148" s="577">
        <v>2311</v>
      </c>
      <c r="G148" s="546"/>
      <c r="H148" s="128" t="s">
        <v>284</v>
      </c>
    </row>
    <row r="149" spans="1:8" ht="15">
      <c r="A149" s="871"/>
      <c r="B149" s="856"/>
      <c r="C149" s="139">
        <v>75</v>
      </c>
      <c r="D149" s="127">
        <v>75</v>
      </c>
      <c r="E149" s="128">
        <v>90</v>
      </c>
      <c r="F149" s="577">
        <v>2390</v>
      </c>
      <c r="G149" s="546">
        <v>75</v>
      </c>
      <c r="H149" s="128" t="s">
        <v>230</v>
      </c>
    </row>
    <row r="150" spans="1:8" ht="24">
      <c r="A150" s="118" t="s">
        <v>30</v>
      </c>
      <c r="B150" s="134" t="s">
        <v>366</v>
      </c>
      <c r="C150" s="148"/>
      <c r="D150" s="121"/>
      <c r="E150" s="128"/>
      <c r="F150" s="577"/>
      <c r="G150" s="546"/>
      <c r="H150" s="128"/>
    </row>
    <row r="151" spans="1:15" s="123" customFormat="1" ht="15">
      <c r="A151" s="130"/>
      <c r="B151" s="119" t="s">
        <v>281</v>
      </c>
      <c r="C151" s="122"/>
      <c r="D151" s="122"/>
      <c r="E151" s="122"/>
      <c r="F151" s="578"/>
      <c r="G151" s="545"/>
      <c r="H151" s="122"/>
      <c r="I151"/>
      <c r="J151"/>
      <c r="K151"/>
      <c r="L151"/>
      <c r="M151"/>
      <c r="N151"/>
      <c r="O151"/>
    </row>
    <row r="152" spans="1:15" s="123" customFormat="1" ht="15">
      <c r="A152" s="124" t="s">
        <v>367</v>
      </c>
      <c r="B152" s="137" t="s">
        <v>368</v>
      </c>
      <c r="C152" s="139">
        <v>50</v>
      </c>
      <c r="D152" s="127">
        <v>50</v>
      </c>
      <c r="E152" s="122">
        <v>50</v>
      </c>
      <c r="F152" s="578">
        <v>2390</v>
      </c>
      <c r="G152" s="546">
        <v>50</v>
      </c>
      <c r="H152" s="128" t="s">
        <v>230</v>
      </c>
      <c r="I152"/>
      <c r="J152"/>
      <c r="K152"/>
      <c r="L152"/>
      <c r="M152"/>
      <c r="N152"/>
      <c r="O152"/>
    </row>
    <row r="153" spans="1:15" s="123" customFormat="1" ht="15">
      <c r="A153" s="124" t="s">
        <v>369</v>
      </c>
      <c r="B153" s="137" t="s">
        <v>370</v>
      </c>
      <c r="C153" s="139">
        <v>50</v>
      </c>
      <c r="D153" s="127">
        <v>50</v>
      </c>
      <c r="E153" s="122">
        <v>50</v>
      </c>
      <c r="F153" s="578">
        <v>2390</v>
      </c>
      <c r="G153" s="546">
        <v>50</v>
      </c>
      <c r="H153" s="128" t="s">
        <v>230</v>
      </c>
      <c r="I153"/>
      <c r="J153"/>
      <c r="K153"/>
      <c r="L153"/>
      <c r="M153"/>
      <c r="N153"/>
      <c r="O153"/>
    </row>
    <row r="154" spans="1:15" s="123" customFormat="1" ht="24.75">
      <c r="A154" s="124" t="s">
        <v>371</v>
      </c>
      <c r="B154" s="137" t="s">
        <v>372</v>
      </c>
      <c r="C154" s="139">
        <v>50</v>
      </c>
      <c r="D154" s="127">
        <v>50</v>
      </c>
      <c r="E154" s="122">
        <v>50</v>
      </c>
      <c r="F154" s="578">
        <v>2390</v>
      </c>
      <c r="G154" s="546">
        <v>50</v>
      </c>
      <c r="H154" s="128" t="s">
        <v>230</v>
      </c>
      <c r="I154"/>
      <c r="J154"/>
      <c r="K154"/>
      <c r="L154"/>
      <c r="M154"/>
      <c r="N154"/>
      <c r="O154"/>
    </row>
    <row r="155" spans="1:15" s="123" customFormat="1" ht="36.75">
      <c r="A155" s="124" t="s">
        <v>373</v>
      </c>
      <c r="B155" s="137" t="s">
        <v>374</v>
      </c>
      <c r="C155" s="139">
        <v>50</v>
      </c>
      <c r="D155" s="127">
        <v>50</v>
      </c>
      <c r="E155" s="122">
        <v>50</v>
      </c>
      <c r="F155" s="578">
        <v>2390</v>
      </c>
      <c r="G155" s="546">
        <v>50</v>
      </c>
      <c r="H155" s="128" t="s">
        <v>230</v>
      </c>
      <c r="I155"/>
      <c r="J155"/>
      <c r="K155"/>
      <c r="L155"/>
      <c r="M155"/>
      <c r="N155"/>
      <c r="O155"/>
    </row>
    <row r="156" spans="1:15" s="123" customFormat="1" ht="15">
      <c r="A156" s="124" t="s">
        <v>375</v>
      </c>
      <c r="B156" s="137" t="s">
        <v>376</v>
      </c>
      <c r="C156" s="139">
        <v>30</v>
      </c>
      <c r="D156" s="127">
        <v>30</v>
      </c>
      <c r="E156" s="122">
        <v>30</v>
      </c>
      <c r="F156" s="578">
        <v>2390</v>
      </c>
      <c r="G156" s="546">
        <v>30</v>
      </c>
      <c r="H156" s="128" t="s">
        <v>230</v>
      </c>
      <c r="I156"/>
      <c r="J156"/>
      <c r="K156"/>
      <c r="L156"/>
      <c r="M156"/>
      <c r="N156"/>
      <c r="O156"/>
    </row>
    <row r="157" spans="1:8" ht="24">
      <c r="A157" s="118" t="s">
        <v>45</v>
      </c>
      <c r="B157" s="134" t="s">
        <v>377</v>
      </c>
      <c r="C157" s="148"/>
      <c r="D157" s="121"/>
      <c r="E157" s="128"/>
      <c r="F157" s="577"/>
      <c r="G157" s="546"/>
      <c r="H157" s="128"/>
    </row>
    <row r="158" spans="1:8" ht="12.75" customHeight="1">
      <c r="A158" s="871" t="s">
        <v>378</v>
      </c>
      <c r="B158" s="856" t="s">
        <v>379</v>
      </c>
      <c r="C158" s="139">
        <v>125</v>
      </c>
      <c r="D158" s="127">
        <v>125</v>
      </c>
      <c r="E158" s="128">
        <v>0</v>
      </c>
      <c r="F158" s="577">
        <v>2363</v>
      </c>
      <c r="G158" s="546"/>
      <c r="H158" s="128"/>
    </row>
    <row r="159" spans="1:8" ht="15">
      <c r="A159" s="871"/>
      <c r="B159" s="856"/>
      <c r="C159" s="139">
        <v>33</v>
      </c>
      <c r="D159" s="127">
        <v>33</v>
      </c>
      <c r="E159" s="128">
        <v>0</v>
      </c>
      <c r="F159" s="577">
        <v>2261</v>
      </c>
      <c r="G159" s="546"/>
      <c r="H159" s="128"/>
    </row>
    <row r="160" spans="1:8" ht="15">
      <c r="A160" s="839" t="s">
        <v>380</v>
      </c>
      <c r="B160" s="850" t="s">
        <v>381</v>
      </c>
      <c r="C160" s="139">
        <v>0</v>
      </c>
      <c r="D160" s="127">
        <v>0</v>
      </c>
      <c r="E160" s="128">
        <v>40</v>
      </c>
      <c r="F160" s="577">
        <v>2279</v>
      </c>
      <c r="G160" s="546">
        <v>40</v>
      </c>
      <c r="H160" s="128" t="s">
        <v>382</v>
      </c>
    </row>
    <row r="161" spans="1:8" ht="15">
      <c r="A161" s="840"/>
      <c r="B161" s="851"/>
      <c r="C161" s="139">
        <v>0</v>
      </c>
      <c r="D161" s="127">
        <v>0</v>
      </c>
      <c r="E161" s="128">
        <v>250</v>
      </c>
      <c r="F161" s="577">
        <v>2262</v>
      </c>
      <c r="G161" s="546">
        <v>250</v>
      </c>
      <c r="H161" s="128" t="s">
        <v>383</v>
      </c>
    </row>
    <row r="162" spans="1:8" ht="15">
      <c r="A162" s="841"/>
      <c r="B162" s="852"/>
      <c r="C162" s="139">
        <v>0</v>
      </c>
      <c r="D162" s="127">
        <v>0</v>
      </c>
      <c r="E162" s="128">
        <v>300</v>
      </c>
      <c r="F162" s="577">
        <v>2363</v>
      </c>
      <c r="G162" s="546">
        <v>300</v>
      </c>
      <c r="H162" s="128" t="s">
        <v>272</v>
      </c>
    </row>
    <row r="163" spans="1:8" ht="15">
      <c r="A163" s="839" t="s">
        <v>384</v>
      </c>
      <c r="B163" s="850" t="s">
        <v>385</v>
      </c>
      <c r="C163" s="139">
        <v>0</v>
      </c>
      <c r="D163" s="127">
        <v>0</v>
      </c>
      <c r="E163" s="128">
        <v>60</v>
      </c>
      <c r="F163" s="577">
        <v>2279</v>
      </c>
      <c r="G163" s="546">
        <v>60</v>
      </c>
      <c r="H163" s="128" t="s">
        <v>382</v>
      </c>
    </row>
    <row r="164" spans="1:8" ht="15">
      <c r="A164" s="841"/>
      <c r="B164" s="852"/>
      <c r="C164" s="139">
        <v>0</v>
      </c>
      <c r="D164" s="127">
        <v>0</v>
      </c>
      <c r="E164" s="128">
        <v>250</v>
      </c>
      <c r="F164" s="577">
        <v>2262</v>
      </c>
      <c r="G164" s="546">
        <v>250</v>
      </c>
      <c r="H164" s="128" t="s">
        <v>383</v>
      </c>
    </row>
    <row r="165" spans="1:8" ht="12.75" customHeight="1">
      <c r="A165" s="839" t="s">
        <v>386</v>
      </c>
      <c r="B165" s="856" t="s">
        <v>387</v>
      </c>
      <c r="C165" s="139">
        <v>250</v>
      </c>
      <c r="D165" s="139">
        <v>250</v>
      </c>
      <c r="E165" s="127">
        <v>0</v>
      </c>
      <c r="F165" s="577">
        <v>2262</v>
      </c>
      <c r="G165" s="546"/>
      <c r="H165" s="128"/>
    </row>
    <row r="166" spans="1:8" ht="12.75" customHeight="1">
      <c r="A166" s="841"/>
      <c r="B166" s="856"/>
      <c r="C166" s="139">
        <v>120</v>
      </c>
      <c r="D166" s="139">
        <v>120</v>
      </c>
      <c r="E166" s="127">
        <v>0</v>
      </c>
      <c r="F166" s="577">
        <v>2363</v>
      </c>
      <c r="G166" s="546"/>
      <c r="H166" s="128"/>
    </row>
    <row r="167" spans="1:15" s="123" customFormat="1" ht="15">
      <c r="A167" s="839" t="s">
        <v>388</v>
      </c>
      <c r="B167" s="850" t="s">
        <v>389</v>
      </c>
      <c r="C167" s="139">
        <v>0</v>
      </c>
      <c r="D167" s="127">
        <v>0</v>
      </c>
      <c r="E167" s="122">
        <v>96</v>
      </c>
      <c r="F167" s="578">
        <v>2279</v>
      </c>
      <c r="G167" s="545">
        <v>96</v>
      </c>
      <c r="H167" s="122" t="s">
        <v>382</v>
      </c>
      <c r="I167"/>
      <c r="J167"/>
      <c r="K167"/>
      <c r="L167"/>
      <c r="M167"/>
      <c r="N167"/>
      <c r="O167"/>
    </row>
    <row r="168" spans="1:8" ht="15">
      <c r="A168" s="841"/>
      <c r="B168" s="852"/>
      <c r="C168" s="139">
        <v>0</v>
      </c>
      <c r="D168" s="127">
        <v>0</v>
      </c>
      <c r="E168" s="128">
        <v>96</v>
      </c>
      <c r="F168" s="577">
        <v>2363</v>
      </c>
      <c r="G168" s="546">
        <v>96</v>
      </c>
      <c r="H168" s="128" t="s">
        <v>272</v>
      </c>
    </row>
    <row r="169" spans="1:15" s="123" customFormat="1" ht="15">
      <c r="A169" s="130" t="s">
        <v>390</v>
      </c>
      <c r="B169" s="137" t="s">
        <v>391</v>
      </c>
      <c r="C169" s="139">
        <v>0</v>
      </c>
      <c r="D169" s="127">
        <v>0</v>
      </c>
      <c r="E169" s="122">
        <v>150</v>
      </c>
      <c r="F169" s="578">
        <v>2262</v>
      </c>
      <c r="G169" s="545"/>
      <c r="H169" s="122" t="s">
        <v>392</v>
      </c>
      <c r="I169"/>
      <c r="J169"/>
      <c r="K169"/>
      <c r="L169"/>
      <c r="M169"/>
      <c r="N169"/>
      <c r="O169"/>
    </row>
    <row r="170" spans="1:8" ht="24">
      <c r="A170" s="147" t="s">
        <v>393</v>
      </c>
      <c r="B170" s="125" t="s">
        <v>394</v>
      </c>
      <c r="C170" s="139">
        <v>0</v>
      </c>
      <c r="D170" s="127">
        <v>0</v>
      </c>
      <c r="E170" s="128">
        <v>80</v>
      </c>
      <c r="F170" s="577">
        <v>2390</v>
      </c>
      <c r="G170" s="546">
        <v>80</v>
      </c>
      <c r="H170" s="128" t="s">
        <v>230</v>
      </c>
    </row>
    <row r="171" spans="1:8" ht="24.75">
      <c r="A171" s="130" t="s">
        <v>395</v>
      </c>
      <c r="B171" s="131" t="s">
        <v>396</v>
      </c>
      <c r="C171" s="136">
        <v>39</v>
      </c>
      <c r="D171" s="127">
        <v>39</v>
      </c>
      <c r="E171" s="128">
        <v>60</v>
      </c>
      <c r="F171" s="577">
        <v>2279</v>
      </c>
      <c r="G171" s="546">
        <v>39</v>
      </c>
      <c r="H171" s="128"/>
    </row>
    <row r="172" spans="1:8" ht="15">
      <c r="A172" s="130"/>
      <c r="B172" s="119" t="s">
        <v>281</v>
      </c>
      <c r="C172" s="136"/>
      <c r="D172" s="127"/>
      <c r="E172" s="128"/>
      <c r="F172" s="577"/>
      <c r="G172" s="546"/>
      <c r="H172" s="128"/>
    </row>
    <row r="173" spans="1:8" ht="36.75">
      <c r="A173" s="130" t="s">
        <v>397</v>
      </c>
      <c r="B173" s="131" t="s">
        <v>398</v>
      </c>
      <c r="C173" s="136">
        <v>100</v>
      </c>
      <c r="D173" s="127">
        <v>100</v>
      </c>
      <c r="E173" s="128">
        <v>100</v>
      </c>
      <c r="F173" s="577">
        <v>2390</v>
      </c>
      <c r="G173" s="546">
        <v>100</v>
      </c>
      <c r="H173" s="128" t="s">
        <v>230</v>
      </c>
    </row>
    <row r="174" spans="1:8" ht="12.75" customHeight="1">
      <c r="A174" s="866" t="s">
        <v>399</v>
      </c>
      <c r="B174" s="867" t="s">
        <v>400</v>
      </c>
      <c r="C174" s="136">
        <v>800</v>
      </c>
      <c r="D174" s="136">
        <v>800</v>
      </c>
      <c r="E174" s="128">
        <v>0</v>
      </c>
      <c r="F174" s="577">
        <v>2363</v>
      </c>
      <c r="G174" s="546"/>
      <c r="H174" s="128"/>
    </row>
    <row r="175" spans="1:8" ht="15">
      <c r="A175" s="866"/>
      <c r="B175" s="867"/>
      <c r="C175" s="136">
        <v>200</v>
      </c>
      <c r="D175" s="136">
        <v>200</v>
      </c>
      <c r="E175" s="128">
        <v>0</v>
      </c>
      <c r="F175" s="577">
        <v>2390</v>
      </c>
      <c r="G175" s="546"/>
      <c r="H175" s="128"/>
    </row>
    <row r="176" spans="1:8" ht="15">
      <c r="A176" s="130"/>
      <c r="B176" s="145" t="s">
        <v>289</v>
      </c>
      <c r="C176" s="136"/>
      <c r="D176" s="127"/>
      <c r="E176" s="128"/>
      <c r="F176" s="577"/>
      <c r="G176" s="546"/>
      <c r="H176" s="128"/>
    </row>
    <row r="177" spans="1:8" ht="15">
      <c r="A177" s="860" t="s">
        <v>401</v>
      </c>
      <c r="B177" s="862" t="s">
        <v>402</v>
      </c>
      <c r="C177" s="136">
        <v>0</v>
      </c>
      <c r="D177" s="136">
        <v>0</v>
      </c>
      <c r="E177" s="128">
        <v>300</v>
      </c>
      <c r="F177" s="577">
        <v>2390</v>
      </c>
      <c r="G177" s="546">
        <v>150</v>
      </c>
      <c r="H177" s="128" t="s">
        <v>351</v>
      </c>
    </row>
    <row r="178" spans="1:8" ht="15">
      <c r="A178" s="861"/>
      <c r="B178" s="863"/>
      <c r="C178" s="136">
        <v>0</v>
      </c>
      <c r="D178" s="136">
        <v>0</v>
      </c>
      <c r="E178" s="128">
        <v>60</v>
      </c>
      <c r="F178" s="577">
        <v>2322</v>
      </c>
      <c r="G178" s="546">
        <v>60</v>
      </c>
      <c r="H178" s="128" t="s">
        <v>403</v>
      </c>
    </row>
    <row r="179" spans="1:8" ht="15">
      <c r="A179" s="868" t="s">
        <v>404</v>
      </c>
      <c r="B179" s="862" t="s">
        <v>405</v>
      </c>
      <c r="C179" s="136">
        <v>50</v>
      </c>
      <c r="D179" s="127">
        <v>0</v>
      </c>
      <c r="E179" s="128">
        <v>50</v>
      </c>
      <c r="F179" s="577">
        <v>2219</v>
      </c>
      <c r="G179" s="546">
        <v>50</v>
      </c>
      <c r="H179" s="128" t="s">
        <v>406</v>
      </c>
    </row>
    <row r="180" spans="1:8" ht="15">
      <c r="A180" s="869"/>
      <c r="B180" s="865"/>
      <c r="C180" s="136">
        <v>0</v>
      </c>
      <c r="D180" s="136">
        <v>0</v>
      </c>
      <c r="E180" s="128">
        <v>100</v>
      </c>
      <c r="F180" s="577">
        <v>2311</v>
      </c>
      <c r="G180" s="546"/>
      <c r="H180" s="128" t="s">
        <v>284</v>
      </c>
    </row>
    <row r="181" spans="1:8" ht="15">
      <c r="A181" s="870"/>
      <c r="B181" s="863"/>
      <c r="C181" s="136">
        <v>400</v>
      </c>
      <c r="D181" s="127">
        <v>0</v>
      </c>
      <c r="E181" s="128">
        <v>1000</v>
      </c>
      <c r="F181" s="577">
        <v>2390</v>
      </c>
      <c r="G181" s="546">
        <v>800</v>
      </c>
      <c r="H181" s="128" t="s">
        <v>407</v>
      </c>
    </row>
    <row r="182" spans="1:8" ht="12.75" customHeight="1">
      <c r="A182" s="147"/>
      <c r="B182" s="149" t="s">
        <v>408</v>
      </c>
      <c r="C182" s="150"/>
      <c r="D182" s="128"/>
      <c r="E182" s="128"/>
      <c r="F182" s="577"/>
      <c r="G182" s="546"/>
      <c r="H182" s="128"/>
    </row>
    <row r="183" spans="1:8" ht="15">
      <c r="A183" s="860" t="s">
        <v>409</v>
      </c>
      <c r="B183" s="862" t="s">
        <v>410</v>
      </c>
      <c r="C183" s="128">
        <v>0</v>
      </c>
      <c r="D183" s="128">
        <v>0</v>
      </c>
      <c r="E183" s="128">
        <v>1000</v>
      </c>
      <c r="F183" s="577">
        <v>1150</v>
      </c>
      <c r="G183" s="546">
        <v>1000</v>
      </c>
      <c r="H183" s="853" t="s">
        <v>411</v>
      </c>
    </row>
    <row r="184" spans="1:8" ht="15">
      <c r="A184" s="864"/>
      <c r="B184" s="865"/>
      <c r="C184" s="128">
        <v>0</v>
      </c>
      <c r="D184" s="128">
        <v>0</v>
      </c>
      <c r="E184" s="128">
        <v>241</v>
      </c>
      <c r="F184" s="577">
        <v>1210</v>
      </c>
      <c r="G184" s="546">
        <v>241</v>
      </c>
      <c r="H184" s="855"/>
    </row>
    <row r="185" spans="1:8" ht="15">
      <c r="A185" s="864"/>
      <c r="B185" s="865"/>
      <c r="C185" s="128">
        <v>0</v>
      </c>
      <c r="D185" s="128">
        <v>0</v>
      </c>
      <c r="E185" s="128">
        <v>500</v>
      </c>
      <c r="F185" s="577">
        <v>2390</v>
      </c>
      <c r="G185" s="546">
        <v>300</v>
      </c>
      <c r="H185" s="128" t="s">
        <v>412</v>
      </c>
    </row>
    <row r="186" spans="1:8" ht="15">
      <c r="A186" s="861"/>
      <c r="B186" s="863"/>
      <c r="C186" s="128">
        <v>0</v>
      </c>
      <c r="D186" s="128">
        <v>0</v>
      </c>
      <c r="E186" s="128">
        <v>1406</v>
      </c>
      <c r="F186" s="577">
        <v>2390</v>
      </c>
      <c r="G186" s="584">
        <v>1000</v>
      </c>
      <c r="H186" s="128" t="s">
        <v>230</v>
      </c>
    </row>
    <row r="187" spans="1:8" ht="15">
      <c r="A187" s="860" t="s">
        <v>413</v>
      </c>
      <c r="B187" s="862" t="s">
        <v>414</v>
      </c>
      <c r="C187" s="128">
        <v>0</v>
      </c>
      <c r="D187" s="128">
        <v>0</v>
      </c>
      <c r="E187" s="128">
        <v>75</v>
      </c>
      <c r="F187" s="577">
        <v>2390</v>
      </c>
      <c r="G187" s="546">
        <v>75</v>
      </c>
      <c r="H187" s="128" t="s">
        <v>230</v>
      </c>
    </row>
    <row r="188" spans="1:8" ht="12.75" customHeight="1">
      <c r="A188" s="864"/>
      <c r="B188" s="865"/>
      <c r="C188" s="128">
        <v>0</v>
      </c>
      <c r="D188" s="128">
        <v>0</v>
      </c>
      <c r="E188" s="128">
        <v>15</v>
      </c>
      <c r="F188" s="577">
        <v>2231</v>
      </c>
      <c r="G188" s="546">
        <v>15</v>
      </c>
      <c r="H188" s="128" t="s">
        <v>415</v>
      </c>
    </row>
    <row r="189" spans="1:8" ht="12.75" customHeight="1">
      <c r="A189" s="861"/>
      <c r="B189" s="863"/>
      <c r="C189" s="128">
        <v>0</v>
      </c>
      <c r="D189" s="128">
        <v>0</v>
      </c>
      <c r="E189" s="128">
        <v>25</v>
      </c>
      <c r="F189" s="577">
        <v>2311</v>
      </c>
      <c r="G189" s="546"/>
      <c r="H189" s="128" t="s">
        <v>284</v>
      </c>
    </row>
    <row r="190" spans="1:8" ht="15">
      <c r="A190" s="860" t="s">
        <v>416</v>
      </c>
      <c r="B190" s="862" t="s">
        <v>417</v>
      </c>
      <c r="C190" s="128">
        <v>0</v>
      </c>
      <c r="D190" s="128">
        <v>0</v>
      </c>
      <c r="E190" s="128">
        <v>60</v>
      </c>
      <c r="F190" s="577">
        <v>2390</v>
      </c>
      <c r="G190" s="546">
        <v>60</v>
      </c>
      <c r="H190" s="128" t="s">
        <v>230</v>
      </c>
    </row>
    <row r="191" spans="1:8" ht="14.25" customHeight="1">
      <c r="A191" s="864"/>
      <c r="B191" s="865"/>
      <c r="C191" s="128">
        <v>0</v>
      </c>
      <c r="D191" s="128">
        <v>0</v>
      </c>
      <c r="E191" s="128">
        <v>30</v>
      </c>
      <c r="F191" s="577">
        <v>2231</v>
      </c>
      <c r="G191" s="546">
        <v>30</v>
      </c>
      <c r="H191" s="128" t="s">
        <v>415</v>
      </c>
    </row>
    <row r="192" spans="1:8" ht="12.75" customHeight="1">
      <c r="A192" s="861"/>
      <c r="B192" s="863"/>
      <c r="C192" s="128">
        <v>0</v>
      </c>
      <c r="D192" s="128">
        <v>0</v>
      </c>
      <c r="E192" s="128">
        <v>40</v>
      </c>
      <c r="F192" s="577">
        <v>2311</v>
      </c>
      <c r="G192" s="546"/>
      <c r="H192" s="128" t="s">
        <v>284</v>
      </c>
    </row>
    <row r="193" spans="1:15" s="123" customFormat="1" ht="25.5" customHeight="1">
      <c r="A193" s="130" t="s">
        <v>418</v>
      </c>
      <c r="B193" s="131" t="s">
        <v>419</v>
      </c>
      <c r="C193" s="128">
        <v>0</v>
      </c>
      <c r="D193" s="128">
        <v>0</v>
      </c>
      <c r="E193" s="122">
        <v>30</v>
      </c>
      <c r="F193" s="578">
        <v>2231</v>
      </c>
      <c r="G193" s="545"/>
      <c r="H193" s="122" t="s">
        <v>415</v>
      </c>
      <c r="I193"/>
      <c r="J193"/>
      <c r="K193"/>
      <c r="L193"/>
      <c r="M193"/>
      <c r="N193"/>
      <c r="O193"/>
    </row>
    <row r="194" spans="1:15" s="123" customFormat="1" ht="15">
      <c r="A194" s="130"/>
      <c r="B194" s="145" t="s">
        <v>420</v>
      </c>
      <c r="C194" s="151"/>
      <c r="D194" s="122"/>
      <c r="E194" s="122"/>
      <c r="F194" s="578"/>
      <c r="G194" s="545"/>
      <c r="H194" s="122"/>
      <c r="I194"/>
      <c r="J194"/>
      <c r="K194"/>
      <c r="L194"/>
      <c r="M194"/>
      <c r="N194"/>
      <c r="O194"/>
    </row>
    <row r="195" spans="1:8" ht="15">
      <c r="A195" s="860" t="s">
        <v>421</v>
      </c>
      <c r="B195" s="862" t="s">
        <v>422</v>
      </c>
      <c r="C195" s="128">
        <v>0</v>
      </c>
      <c r="D195" s="128">
        <v>0</v>
      </c>
      <c r="E195" s="128">
        <v>350</v>
      </c>
      <c r="F195" s="577">
        <v>2390</v>
      </c>
      <c r="G195" s="546"/>
      <c r="H195" s="128" t="s">
        <v>230</v>
      </c>
    </row>
    <row r="196" spans="1:8" ht="15">
      <c r="A196" s="861"/>
      <c r="B196" s="863"/>
      <c r="C196" s="128">
        <v>0</v>
      </c>
      <c r="D196" s="128">
        <v>0</v>
      </c>
      <c r="E196" s="128">
        <v>68</v>
      </c>
      <c r="F196" s="577">
        <v>2231</v>
      </c>
      <c r="G196" s="546">
        <v>68</v>
      </c>
      <c r="H196" s="128" t="s">
        <v>423</v>
      </c>
    </row>
    <row r="197" spans="1:15" s="123" customFormat="1" ht="25.5" customHeight="1">
      <c r="A197" s="130" t="s">
        <v>424</v>
      </c>
      <c r="B197" s="131" t="s">
        <v>425</v>
      </c>
      <c r="C197" s="122">
        <v>0</v>
      </c>
      <c r="D197" s="122">
        <v>0</v>
      </c>
      <c r="E197" s="122">
        <v>240</v>
      </c>
      <c r="F197" s="578">
        <v>2390</v>
      </c>
      <c r="G197" s="545">
        <v>100</v>
      </c>
      <c r="H197" s="122" t="s">
        <v>230</v>
      </c>
      <c r="I197"/>
      <c r="J197"/>
      <c r="K197"/>
      <c r="L197"/>
      <c r="M197"/>
      <c r="N197"/>
      <c r="O197"/>
    </row>
    <row r="198" spans="1:15" s="123" customFormat="1" ht="25.5" customHeight="1">
      <c r="A198" s="130" t="s">
        <v>426</v>
      </c>
      <c r="B198" s="131" t="s">
        <v>427</v>
      </c>
      <c r="C198" s="122">
        <v>0</v>
      </c>
      <c r="D198" s="122">
        <v>0</v>
      </c>
      <c r="E198" s="122">
        <v>240</v>
      </c>
      <c r="F198" s="578">
        <v>2390</v>
      </c>
      <c r="G198" s="545">
        <v>100</v>
      </c>
      <c r="H198" s="122" t="s">
        <v>230</v>
      </c>
      <c r="I198"/>
      <c r="J198"/>
      <c r="K198"/>
      <c r="L198"/>
      <c r="M198"/>
      <c r="N198"/>
      <c r="O198"/>
    </row>
    <row r="199" spans="1:15" s="123" customFormat="1" ht="25.5" customHeight="1">
      <c r="A199" s="130" t="s">
        <v>428</v>
      </c>
      <c r="B199" s="131" t="s">
        <v>429</v>
      </c>
      <c r="C199" s="122">
        <v>0</v>
      </c>
      <c r="D199" s="122">
        <v>0</v>
      </c>
      <c r="E199" s="122">
        <v>240</v>
      </c>
      <c r="F199" s="578">
        <v>2390</v>
      </c>
      <c r="G199" s="545">
        <v>180</v>
      </c>
      <c r="H199" s="122" t="s">
        <v>230</v>
      </c>
      <c r="I199"/>
      <c r="J199"/>
      <c r="K199"/>
      <c r="L199"/>
      <c r="M199"/>
      <c r="N199"/>
      <c r="O199"/>
    </row>
    <row r="200" spans="1:15" s="123" customFormat="1" ht="15">
      <c r="A200" s="860" t="s">
        <v>430</v>
      </c>
      <c r="B200" s="862" t="s">
        <v>431</v>
      </c>
      <c r="C200" s="122">
        <v>0</v>
      </c>
      <c r="D200" s="122">
        <v>0</v>
      </c>
      <c r="E200" s="122">
        <v>200</v>
      </c>
      <c r="F200" s="578">
        <v>2390</v>
      </c>
      <c r="G200" s="545">
        <v>100</v>
      </c>
      <c r="H200" s="122" t="s">
        <v>230</v>
      </c>
      <c r="I200"/>
      <c r="J200"/>
      <c r="K200"/>
      <c r="L200"/>
      <c r="M200"/>
      <c r="N200"/>
      <c r="O200"/>
    </row>
    <row r="201" spans="1:8" ht="15">
      <c r="A201" s="861"/>
      <c r="B201" s="863"/>
      <c r="C201" s="128">
        <v>0</v>
      </c>
      <c r="D201" s="128">
        <v>0</v>
      </c>
      <c r="E201" s="128">
        <v>100</v>
      </c>
      <c r="F201" s="577">
        <v>2231</v>
      </c>
      <c r="G201" s="546">
        <v>100</v>
      </c>
      <c r="H201" s="128" t="s">
        <v>423</v>
      </c>
    </row>
    <row r="202" spans="1:8" ht="25.5" customHeight="1">
      <c r="A202" s="147" t="s">
        <v>432</v>
      </c>
      <c r="B202" s="146" t="s">
        <v>433</v>
      </c>
      <c r="C202" s="128">
        <v>0</v>
      </c>
      <c r="D202" s="128">
        <v>0</v>
      </c>
      <c r="E202" s="128">
        <v>180</v>
      </c>
      <c r="F202" s="577">
        <v>2390</v>
      </c>
      <c r="G202" s="546">
        <v>180</v>
      </c>
      <c r="H202" s="128" t="s">
        <v>230</v>
      </c>
    </row>
    <row r="203" spans="1:8" ht="12.75" customHeight="1">
      <c r="A203" s="133" t="s">
        <v>47</v>
      </c>
      <c r="B203" s="134" t="s">
        <v>434</v>
      </c>
      <c r="C203" s="135"/>
      <c r="D203" s="121"/>
      <c r="E203" s="128"/>
      <c r="F203" s="577"/>
      <c r="G203" s="546"/>
      <c r="H203" s="128"/>
    </row>
    <row r="204" spans="1:8" ht="15">
      <c r="A204" s="839" t="s">
        <v>435</v>
      </c>
      <c r="B204" s="856" t="s">
        <v>436</v>
      </c>
      <c r="C204" s="136">
        <v>200</v>
      </c>
      <c r="D204" s="127">
        <v>200</v>
      </c>
      <c r="E204" s="128">
        <v>600</v>
      </c>
      <c r="F204" s="577">
        <v>2390</v>
      </c>
      <c r="G204" s="546">
        <v>200</v>
      </c>
      <c r="H204" s="128" t="s">
        <v>230</v>
      </c>
    </row>
    <row r="205" spans="1:8" ht="15">
      <c r="A205" s="840"/>
      <c r="B205" s="856"/>
      <c r="C205" s="136">
        <v>242</v>
      </c>
      <c r="D205" s="127">
        <v>242</v>
      </c>
      <c r="E205" s="128">
        <v>300</v>
      </c>
      <c r="F205" s="577">
        <v>1150</v>
      </c>
      <c r="G205" s="546">
        <v>300</v>
      </c>
      <c r="H205" s="853" t="s">
        <v>437</v>
      </c>
    </row>
    <row r="206" spans="1:8" ht="15">
      <c r="A206" s="840"/>
      <c r="B206" s="856"/>
      <c r="C206" s="136">
        <v>59</v>
      </c>
      <c r="D206" s="127">
        <v>59</v>
      </c>
      <c r="E206" s="128">
        <v>73</v>
      </c>
      <c r="F206" s="577">
        <v>1210</v>
      </c>
      <c r="G206" s="546">
        <v>73</v>
      </c>
      <c r="H206" s="855"/>
    </row>
    <row r="207" spans="1:8" ht="15">
      <c r="A207" s="840"/>
      <c r="B207" s="856"/>
      <c r="C207" s="136">
        <v>0</v>
      </c>
      <c r="D207" s="127">
        <v>0</v>
      </c>
      <c r="E207" s="128">
        <v>200</v>
      </c>
      <c r="F207" s="577">
        <v>2279</v>
      </c>
      <c r="G207" s="546"/>
      <c r="H207" s="128" t="s">
        <v>438</v>
      </c>
    </row>
    <row r="208" spans="1:8" ht="15">
      <c r="A208" s="840"/>
      <c r="B208" s="856"/>
      <c r="C208" s="136">
        <v>320</v>
      </c>
      <c r="D208" s="127">
        <v>320</v>
      </c>
      <c r="E208" s="128">
        <v>800</v>
      </c>
      <c r="F208" s="577">
        <v>2261</v>
      </c>
      <c r="G208" s="546">
        <v>800</v>
      </c>
      <c r="H208" s="128" t="s">
        <v>439</v>
      </c>
    </row>
    <row r="209" spans="1:8" ht="15">
      <c r="A209" s="841"/>
      <c r="B209" s="856"/>
      <c r="C209" s="136">
        <v>600</v>
      </c>
      <c r="D209" s="127">
        <v>600</v>
      </c>
      <c r="E209" s="128">
        <v>400</v>
      </c>
      <c r="F209" s="577">
        <v>2231</v>
      </c>
      <c r="G209" s="546">
        <v>400</v>
      </c>
      <c r="H209" s="128" t="s">
        <v>272</v>
      </c>
    </row>
    <row r="210" spans="1:8" ht="12.75" customHeight="1">
      <c r="A210" s="140" t="s">
        <v>440</v>
      </c>
      <c r="B210" s="125" t="s">
        <v>441</v>
      </c>
      <c r="C210" s="136">
        <v>0</v>
      </c>
      <c r="D210" s="127">
        <v>0</v>
      </c>
      <c r="E210" s="128">
        <v>200</v>
      </c>
      <c r="F210" s="577">
        <v>2279</v>
      </c>
      <c r="G210" s="546">
        <v>200</v>
      </c>
      <c r="H210" s="128"/>
    </row>
    <row r="211" spans="1:8" ht="15">
      <c r="A211" s="839" t="s">
        <v>442</v>
      </c>
      <c r="B211" s="856" t="s">
        <v>443</v>
      </c>
      <c r="C211" s="136">
        <v>530</v>
      </c>
      <c r="D211" s="127">
        <v>116</v>
      </c>
      <c r="E211" s="128">
        <v>700</v>
      </c>
      <c r="F211" s="577">
        <v>1150</v>
      </c>
      <c r="G211" s="546">
        <v>200</v>
      </c>
      <c r="H211" s="853" t="s">
        <v>444</v>
      </c>
    </row>
    <row r="212" spans="1:8" ht="15">
      <c r="A212" s="840"/>
      <c r="B212" s="856"/>
      <c r="C212" s="136">
        <v>191</v>
      </c>
      <c r="D212" s="127">
        <v>34</v>
      </c>
      <c r="E212" s="128">
        <v>169</v>
      </c>
      <c r="F212" s="577">
        <v>1210</v>
      </c>
      <c r="G212" s="546">
        <v>50</v>
      </c>
      <c r="H212" s="854"/>
    </row>
    <row r="213" spans="1:8" ht="15">
      <c r="A213" s="841"/>
      <c r="B213" s="856"/>
      <c r="C213" s="136">
        <v>300</v>
      </c>
      <c r="D213" s="127">
        <v>300</v>
      </c>
      <c r="E213" s="128">
        <v>300</v>
      </c>
      <c r="F213" s="577">
        <v>2239</v>
      </c>
      <c r="G213" s="546">
        <v>100</v>
      </c>
      <c r="H213" s="855"/>
    </row>
    <row r="214" spans="1:8" ht="15">
      <c r="A214" s="839" t="s">
        <v>445</v>
      </c>
      <c r="B214" s="850" t="s">
        <v>446</v>
      </c>
      <c r="C214" s="136">
        <v>0</v>
      </c>
      <c r="D214" s="128">
        <v>0</v>
      </c>
      <c r="E214" s="128">
        <v>700</v>
      </c>
      <c r="F214" s="577">
        <v>1150</v>
      </c>
      <c r="G214" s="546">
        <v>700</v>
      </c>
      <c r="H214" s="853" t="s">
        <v>444</v>
      </c>
    </row>
    <row r="215" spans="1:8" ht="15">
      <c r="A215" s="840"/>
      <c r="B215" s="851"/>
      <c r="C215" s="136">
        <v>0</v>
      </c>
      <c r="D215" s="128">
        <v>0</v>
      </c>
      <c r="E215" s="128">
        <v>169</v>
      </c>
      <c r="F215" s="577">
        <v>1210</v>
      </c>
      <c r="G215" s="546">
        <v>169</v>
      </c>
      <c r="H215" s="854"/>
    </row>
    <row r="216" spans="1:8" ht="15">
      <c r="A216" s="841"/>
      <c r="B216" s="852"/>
      <c r="C216" s="136">
        <v>0</v>
      </c>
      <c r="D216" s="128">
        <v>0</v>
      </c>
      <c r="E216" s="128">
        <v>300</v>
      </c>
      <c r="F216" s="577">
        <v>2239</v>
      </c>
      <c r="G216" s="546">
        <v>300</v>
      </c>
      <c r="H216" s="855"/>
    </row>
    <row r="217" spans="1:8" ht="15">
      <c r="A217" s="839" t="s">
        <v>447</v>
      </c>
      <c r="B217" s="850" t="s">
        <v>448</v>
      </c>
      <c r="C217" s="136">
        <v>0</v>
      </c>
      <c r="D217" s="128">
        <v>0</v>
      </c>
      <c r="E217" s="128">
        <v>700</v>
      </c>
      <c r="F217" s="577">
        <v>1150</v>
      </c>
      <c r="G217" s="546">
        <v>700</v>
      </c>
      <c r="H217" s="853" t="s">
        <v>444</v>
      </c>
    </row>
    <row r="218" spans="1:8" ht="15">
      <c r="A218" s="840"/>
      <c r="B218" s="851"/>
      <c r="C218" s="136">
        <v>0</v>
      </c>
      <c r="D218" s="128">
        <v>0</v>
      </c>
      <c r="E218" s="128">
        <v>169</v>
      </c>
      <c r="F218" s="577">
        <v>1210</v>
      </c>
      <c r="G218" s="546">
        <v>169</v>
      </c>
      <c r="H218" s="854"/>
    </row>
    <row r="219" spans="1:8" ht="15">
      <c r="A219" s="841"/>
      <c r="B219" s="852"/>
      <c r="C219" s="136">
        <v>0</v>
      </c>
      <c r="D219" s="128">
        <v>0</v>
      </c>
      <c r="E219" s="128">
        <v>300</v>
      </c>
      <c r="F219" s="577">
        <v>2239</v>
      </c>
      <c r="G219" s="546">
        <v>300</v>
      </c>
      <c r="H219" s="855"/>
    </row>
    <row r="220" spans="1:8" ht="24">
      <c r="A220" s="140" t="s">
        <v>449</v>
      </c>
      <c r="B220" s="125" t="s">
        <v>1125</v>
      </c>
      <c r="C220" s="136">
        <v>0</v>
      </c>
      <c r="D220" s="128">
        <v>0</v>
      </c>
      <c r="E220" s="128">
        <v>10000</v>
      </c>
      <c r="F220" s="577">
        <v>2235</v>
      </c>
      <c r="G220" s="546">
        <v>10000</v>
      </c>
      <c r="H220" s="128"/>
    </row>
    <row r="221" spans="1:8" ht="24">
      <c r="A221" s="140" t="s">
        <v>452</v>
      </c>
      <c r="B221" s="125" t="s">
        <v>450</v>
      </c>
      <c r="C221" s="136">
        <v>0</v>
      </c>
      <c r="D221" s="128">
        <v>0</v>
      </c>
      <c r="E221" s="128">
        <v>2000</v>
      </c>
      <c r="F221" s="577">
        <v>2235</v>
      </c>
      <c r="G221" s="546">
        <v>2000</v>
      </c>
      <c r="H221" s="128" t="s">
        <v>451</v>
      </c>
    </row>
    <row r="222" spans="1:8" ht="36">
      <c r="A222" s="140" t="s">
        <v>454</v>
      </c>
      <c r="B222" s="125" t="s">
        <v>453</v>
      </c>
      <c r="C222" s="136">
        <v>0</v>
      </c>
      <c r="D222" s="128">
        <v>0</v>
      </c>
      <c r="E222" s="128">
        <v>2500</v>
      </c>
      <c r="F222" s="577">
        <v>2235</v>
      </c>
      <c r="G222" s="546">
        <v>2500</v>
      </c>
      <c r="H222" s="128" t="s">
        <v>451</v>
      </c>
    </row>
    <row r="223" spans="1:15" s="123" customFormat="1" ht="27" customHeight="1">
      <c r="A223" s="124" t="s">
        <v>456</v>
      </c>
      <c r="B223" s="137" t="s">
        <v>455</v>
      </c>
      <c r="C223" s="136">
        <v>2022</v>
      </c>
      <c r="D223" s="127">
        <v>2022</v>
      </c>
      <c r="E223" s="122">
        <v>0</v>
      </c>
      <c r="F223" s="578">
        <v>2235</v>
      </c>
      <c r="G223" s="545"/>
      <c r="H223" s="122"/>
      <c r="I223"/>
      <c r="J223"/>
      <c r="K223"/>
      <c r="L223"/>
      <c r="M223"/>
      <c r="N223"/>
      <c r="O223"/>
    </row>
    <row r="224" spans="1:15" s="123" customFormat="1" ht="15">
      <c r="A224" s="839" t="s">
        <v>459</v>
      </c>
      <c r="B224" s="856" t="s">
        <v>457</v>
      </c>
      <c r="C224" s="136">
        <v>339</v>
      </c>
      <c r="D224" s="127">
        <v>0</v>
      </c>
      <c r="E224" s="122">
        <v>100</v>
      </c>
      <c r="F224" s="578">
        <v>2279</v>
      </c>
      <c r="G224" s="545">
        <v>100</v>
      </c>
      <c r="H224" s="122" t="s">
        <v>458</v>
      </c>
      <c r="I224"/>
      <c r="J224"/>
      <c r="K224"/>
      <c r="L224"/>
      <c r="M224"/>
      <c r="N224"/>
      <c r="O224"/>
    </row>
    <row r="225" spans="1:15" s="123" customFormat="1" ht="15">
      <c r="A225" s="840"/>
      <c r="B225" s="856"/>
      <c r="C225" s="136">
        <v>25</v>
      </c>
      <c r="D225" s="127">
        <v>25</v>
      </c>
      <c r="E225" s="122">
        <v>100</v>
      </c>
      <c r="F225" s="578">
        <v>2235</v>
      </c>
      <c r="G225" s="545">
        <v>100</v>
      </c>
      <c r="H225" s="122" t="s">
        <v>451</v>
      </c>
      <c r="I225"/>
      <c r="J225"/>
      <c r="K225"/>
      <c r="L225"/>
      <c r="M225"/>
      <c r="N225"/>
      <c r="O225"/>
    </row>
    <row r="226" spans="1:15" s="123" customFormat="1" ht="15">
      <c r="A226" s="840"/>
      <c r="B226" s="856"/>
      <c r="C226" s="136">
        <v>16</v>
      </c>
      <c r="D226" s="136">
        <v>16</v>
      </c>
      <c r="E226" s="122">
        <v>0</v>
      </c>
      <c r="F226" s="580">
        <v>2111</v>
      </c>
      <c r="G226" s="545"/>
      <c r="H226" s="122"/>
      <c r="I226"/>
      <c r="J226"/>
      <c r="K226"/>
      <c r="L226"/>
      <c r="M226"/>
      <c r="N226"/>
      <c r="O226"/>
    </row>
    <row r="227" spans="1:15" s="123" customFormat="1" ht="15">
      <c r="A227" s="840"/>
      <c r="B227" s="850"/>
      <c r="C227" s="152">
        <v>120</v>
      </c>
      <c r="D227" s="152">
        <v>120</v>
      </c>
      <c r="E227" s="153">
        <v>0</v>
      </c>
      <c r="F227" s="581">
        <v>2112</v>
      </c>
      <c r="G227" s="547"/>
      <c r="H227" s="153"/>
      <c r="I227"/>
      <c r="J227"/>
      <c r="K227"/>
      <c r="L227"/>
      <c r="M227"/>
      <c r="N227"/>
      <c r="O227"/>
    </row>
    <row r="228" spans="1:15" s="123" customFormat="1" ht="19.5" customHeight="1">
      <c r="A228" s="840" t="s">
        <v>1124</v>
      </c>
      <c r="B228" s="857" t="s">
        <v>460</v>
      </c>
      <c r="C228" s="152">
        <v>0</v>
      </c>
      <c r="D228" s="152">
        <v>0</v>
      </c>
      <c r="E228" s="153">
        <v>25</v>
      </c>
      <c r="F228" s="581">
        <v>2311</v>
      </c>
      <c r="G228" s="547">
        <v>25</v>
      </c>
      <c r="H228" s="153" t="s">
        <v>284</v>
      </c>
      <c r="I228"/>
      <c r="J228"/>
      <c r="K228"/>
      <c r="L228"/>
      <c r="M228"/>
      <c r="N228"/>
      <c r="O228"/>
    </row>
    <row r="229" spans="1:15" s="123" customFormat="1" ht="21.75" customHeight="1">
      <c r="A229" s="840"/>
      <c r="B229" s="858"/>
      <c r="C229" s="152">
        <v>0</v>
      </c>
      <c r="D229" s="152">
        <v>0</v>
      </c>
      <c r="E229" s="153">
        <v>200</v>
      </c>
      <c r="F229" s="581">
        <v>2279</v>
      </c>
      <c r="G229" s="547">
        <v>200</v>
      </c>
      <c r="H229" s="153" t="s">
        <v>461</v>
      </c>
      <c r="I229"/>
      <c r="J229"/>
      <c r="K229"/>
      <c r="L229"/>
      <c r="M229"/>
      <c r="N229"/>
      <c r="O229"/>
    </row>
    <row r="230" spans="1:15" s="123" customFormat="1" ht="19.5" customHeight="1">
      <c r="A230" s="840"/>
      <c r="B230" s="858"/>
      <c r="C230" s="152">
        <v>0</v>
      </c>
      <c r="D230" s="152">
        <v>0</v>
      </c>
      <c r="E230" s="153">
        <v>400</v>
      </c>
      <c r="F230" s="581">
        <v>2261</v>
      </c>
      <c r="G230" s="547">
        <v>400</v>
      </c>
      <c r="H230" s="153" t="s">
        <v>462</v>
      </c>
      <c r="I230"/>
      <c r="J230"/>
      <c r="K230"/>
      <c r="L230"/>
      <c r="M230"/>
      <c r="N230"/>
      <c r="O230"/>
    </row>
    <row r="231" spans="1:15" s="123" customFormat="1" ht="18.75" customHeight="1">
      <c r="A231" s="840"/>
      <c r="B231" s="858"/>
      <c r="C231" s="152">
        <v>0</v>
      </c>
      <c r="D231" s="152">
        <v>0</v>
      </c>
      <c r="E231" s="153">
        <v>120</v>
      </c>
      <c r="F231" s="581">
        <v>2231</v>
      </c>
      <c r="G231" s="547">
        <v>120</v>
      </c>
      <c r="H231" s="153" t="s">
        <v>272</v>
      </c>
      <c r="I231"/>
      <c r="J231"/>
      <c r="K231"/>
      <c r="L231"/>
      <c r="M231"/>
      <c r="N231"/>
      <c r="O231"/>
    </row>
    <row r="232" spans="1:15" s="123" customFormat="1" ht="19.5" customHeight="1">
      <c r="A232" s="841"/>
      <c r="B232" s="859"/>
      <c r="C232" s="152">
        <v>0</v>
      </c>
      <c r="D232" s="152">
        <v>0</v>
      </c>
      <c r="E232" s="153">
        <v>300</v>
      </c>
      <c r="F232" s="581">
        <v>2279</v>
      </c>
      <c r="G232" s="547">
        <v>300</v>
      </c>
      <c r="H232" s="153" t="s">
        <v>461</v>
      </c>
      <c r="I232"/>
      <c r="J232"/>
      <c r="K232"/>
      <c r="L232"/>
      <c r="M232"/>
      <c r="N232"/>
      <c r="O232"/>
    </row>
    <row r="233" spans="1:15" s="154" customFormat="1" ht="15">
      <c r="A233" s="140"/>
      <c r="B233" s="125"/>
      <c r="C233" s="136"/>
      <c r="D233" s="136"/>
      <c r="E233" s="122"/>
      <c r="F233" s="136"/>
      <c r="G233" s="122"/>
      <c r="H233" s="122"/>
      <c r="I233"/>
      <c r="J233"/>
      <c r="K233"/>
      <c r="L233"/>
      <c r="M233"/>
      <c r="N233"/>
      <c r="O233"/>
    </row>
    <row r="234" spans="1:15" s="154" customFormat="1" ht="15">
      <c r="A234" s="155"/>
      <c r="B234" s="156"/>
      <c r="C234" s="157"/>
      <c r="D234" s="157"/>
      <c r="E234" s="158"/>
      <c r="F234" s="157"/>
      <c r="G234" s="158"/>
      <c r="H234" s="158"/>
      <c r="I234"/>
      <c r="J234"/>
      <c r="K234"/>
      <c r="L234"/>
      <c r="M234"/>
      <c r="N234"/>
      <c r="O234"/>
    </row>
    <row r="235" spans="1:15" s="114" customFormat="1" ht="15">
      <c r="A235" s="112" t="s">
        <v>19</v>
      </c>
      <c r="C235" s="846" t="s">
        <v>1394</v>
      </c>
      <c r="D235" s="846"/>
      <c r="E235" s="846"/>
      <c r="F235" s="846"/>
      <c r="G235" s="846"/>
      <c r="H235" s="846"/>
      <c r="I235"/>
      <c r="J235"/>
      <c r="K235"/>
      <c r="L235"/>
      <c r="M235"/>
      <c r="N235"/>
      <c r="O235"/>
    </row>
    <row r="236" spans="1:15" s="114" customFormat="1" ht="15">
      <c r="A236" s="112" t="s">
        <v>20</v>
      </c>
      <c r="C236" s="846" t="s">
        <v>132</v>
      </c>
      <c r="D236" s="846"/>
      <c r="E236" s="846"/>
      <c r="F236" s="846"/>
      <c r="G236" s="846"/>
      <c r="H236" s="846"/>
      <c r="I236"/>
      <c r="J236"/>
      <c r="K236"/>
      <c r="L236"/>
      <c r="M236"/>
      <c r="N236"/>
      <c r="O236"/>
    </row>
    <row r="237" spans="1:15" s="114" customFormat="1" ht="36.75">
      <c r="A237" s="847" t="s">
        <v>7</v>
      </c>
      <c r="B237" s="849" t="s">
        <v>8</v>
      </c>
      <c r="C237" s="849" t="s">
        <v>9</v>
      </c>
      <c r="D237" s="849" t="s">
        <v>936</v>
      </c>
      <c r="E237" s="849" t="s">
        <v>10</v>
      </c>
      <c r="F237" s="115" t="s">
        <v>11</v>
      </c>
      <c r="G237" s="115" t="s">
        <v>12</v>
      </c>
      <c r="H237" s="849" t="s">
        <v>13</v>
      </c>
      <c r="I237"/>
      <c r="J237"/>
      <c r="K237"/>
      <c r="L237"/>
      <c r="M237"/>
      <c r="N237"/>
      <c r="O237"/>
    </row>
    <row r="238" spans="1:15" s="114" customFormat="1" ht="36">
      <c r="A238" s="848"/>
      <c r="B238" s="849"/>
      <c r="C238" s="849"/>
      <c r="D238" s="849"/>
      <c r="E238" s="849"/>
      <c r="F238" s="116" t="s">
        <v>14</v>
      </c>
      <c r="G238" s="116" t="s">
        <v>15</v>
      </c>
      <c r="H238" s="849"/>
      <c r="I238"/>
      <c r="J238"/>
      <c r="K238"/>
      <c r="L238"/>
      <c r="M238"/>
      <c r="N238"/>
      <c r="O238"/>
    </row>
    <row r="239" spans="1:15" s="114" customFormat="1" ht="15">
      <c r="A239" s="842" t="s">
        <v>16</v>
      </c>
      <c r="B239" s="843"/>
      <c r="C239" s="117">
        <f>SUM(C240:C243)</f>
        <v>1243</v>
      </c>
      <c r="D239" s="117">
        <f>SUM(D240:D243)</f>
        <v>1233</v>
      </c>
      <c r="E239" s="117">
        <f>SUM(E240:E243)</f>
        <v>1719</v>
      </c>
      <c r="F239" s="117"/>
      <c r="G239" s="117">
        <f>SUM(G240:G243)</f>
        <v>1300</v>
      </c>
      <c r="H239" s="537" t="s">
        <v>1508</v>
      </c>
      <c r="I239"/>
      <c r="J239"/>
      <c r="K239"/>
      <c r="L239"/>
      <c r="M239"/>
      <c r="N239"/>
      <c r="O239"/>
    </row>
    <row r="240" spans="1:15" s="123" customFormat="1" ht="36.75">
      <c r="A240" s="124" t="s">
        <v>24</v>
      </c>
      <c r="B240" s="137" t="s">
        <v>463</v>
      </c>
      <c r="C240" s="121">
        <v>848</v>
      </c>
      <c r="D240" s="121">
        <v>848</v>
      </c>
      <c r="E240" s="122">
        <v>0</v>
      </c>
      <c r="F240" s="122">
        <v>2232</v>
      </c>
      <c r="G240" s="545"/>
      <c r="H240" s="122"/>
      <c r="I240"/>
      <c r="J240"/>
      <c r="K240"/>
      <c r="L240"/>
      <c r="M240"/>
      <c r="N240"/>
      <c r="O240"/>
    </row>
    <row r="241" spans="1:8" ht="24.75">
      <c r="A241" s="124" t="s">
        <v>26</v>
      </c>
      <c r="B241" s="159" t="s">
        <v>464</v>
      </c>
      <c r="C241" s="126">
        <v>0</v>
      </c>
      <c r="D241" s="127">
        <v>0</v>
      </c>
      <c r="E241" s="128">
        <v>848</v>
      </c>
      <c r="F241" s="128">
        <v>2239</v>
      </c>
      <c r="G241" s="546">
        <v>848</v>
      </c>
      <c r="H241" s="128"/>
    </row>
    <row r="242" spans="1:8" ht="24.75">
      <c r="A242" s="124" t="s">
        <v>28</v>
      </c>
      <c r="B242" s="159" t="s">
        <v>1123</v>
      </c>
      <c r="C242" s="126">
        <v>0</v>
      </c>
      <c r="D242" s="127">
        <v>0</v>
      </c>
      <c r="E242" s="128">
        <v>371</v>
      </c>
      <c r="F242" s="128">
        <v>2239</v>
      </c>
      <c r="G242" s="546">
        <v>52</v>
      </c>
      <c r="H242" s="128"/>
    </row>
    <row r="243" spans="1:15" s="123" customFormat="1" ht="15">
      <c r="A243" s="130" t="s">
        <v>30</v>
      </c>
      <c r="B243" s="131" t="s">
        <v>465</v>
      </c>
      <c r="C243" s="160">
        <v>395</v>
      </c>
      <c r="D243" s="122">
        <v>385</v>
      </c>
      <c r="E243" s="122">
        <v>500</v>
      </c>
      <c r="F243" s="122">
        <v>2370</v>
      </c>
      <c r="G243" s="545">
        <v>400</v>
      </c>
      <c r="H243" s="122"/>
      <c r="I243"/>
      <c r="J243"/>
      <c r="K243"/>
      <c r="L243"/>
      <c r="M243"/>
      <c r="N243"/>
      <c r="O243"/>
    </row>
    <row r="244" spans="1:15" s="114" customFormat="1" ht="15">
      <c r="A244" s="844" t="s">
        <v>17</v>
      </c>
      <c r="B244" s="845"/>
      <c r="C244" s="161">
        <f>C239+C11</f>
        <v>14921</v>
      </c>
      <c r="D244" s="161">
        <f>D239+D11</f>
        <v>12393</v>
      </c>
      <c r="E244" s="161">
        <f>E239+E11</f>
        <v>46120</v>
      </c>
      <c r="F244" s="161"/>
      <c r="G244" s="161">
        <f>G239+G11</f>
        <v>39965</v>
      </c>
      <c r="H244" s="537" t="s">
        <v>1608</v>
      </c>
      <c r="I244"/>
      <c r="J244"/>
      <c r="K244"/>
      <c r="L244"/>
      <c r="M244"/>
      <c r="N244"/>
      <c r="O244"/>
    </row>
    <row r="245" ht="15"/>
    <row r="246" ht="15"/>
    <row r="247" ht="15"/>
    <row r="248" ht="15"/>
    <row r="249" ht="15"/>
    <row r="250" ht="15"/>
    <row r="251" ht="15"/>
    <row r="252" ht="15"/>
    <row r="253" ht="15"/>
    <row r="254" ht="15"/>
    <row r="255" ht="15"/>
    <row r="256" ht="15"/>
    <row r="257" ht="15"/>
    <row r="258" ht="15"/>
    <row r="259" ht="15"/>
    <row r="260" spans="1:15" s="114" customFormat="1" ht="15">
      <c r="A260" s="162"/>
      <c r="B260" s="163"/>
      <c r="C260" s="164"/>
      <c r="I260"/>
      <c r="J260"/>
      <c r="K260"/>
      <c r="L260"/>
      <c r="M260"/>
      <c r="N260"/>
      <c r="O260"/>
    </row>
    <row r="261" spans="1:15" s="114" customFormat="1" ht="15">
      <c r="A261" s="162"/>
      <c r="B261" s="163"/>
      <c r="C261" s="164"/>
      <c r="I261"/>
      <c r="J261"/>
      <c r="K261"/>
      <c r="L261"/>
      <c r="M261"/>
      <c r="N261"/>
      <c r="O261"/>
    </row>
    <row r="262" spans="1:15" s="114" customFormat="1" ht="15">
      <c r="A262" s="162"/>
      <c r="B262" s="163"/>
      <c r="C262" s="164"/>
      <c r="I262"/>
      <c r="J262"/>
      <c r="K262"/>
      <c r="L262"/>
      <c r="M262"/>
      <c r="N262"/>
      <c r="O262"/>
    </row>
    <row r="263" spans="1:15" s="114" customFormat="1" ht="15">
      <c r="A263" s="162"/>
      <c r="B263" s="163"/>
      <c r="C263" s="164"/>
      <c r="I263"/>
      <c r="J263"/>
      <c r="K263"/>
      <c r="L263"/>
      <c r="M263"/>
      <c r="N263"/>
      <c r="O263"/>
    </row>
    <row r="264" spans="1:15" s="114" customFormat="1" ht="15">
      <c r="A264" s="162"/>
      <c r="B264" s="163"/>
      <c r="C264" s="164"/>
      <c r="I264"/>
      <c r="J264"/>
      <c r="K264"/>
      <c r="L264"/>
      <c r="M264"/>
      <c r="N264"/>
      <c r="O264"/>
    </row>
    <row r="265" spans="1:15" s="114" customFormat="1" ht="15">
      <c r="A265" s="162"/>
      <c r="B265" s="163"/>
      <c r="C265" s="164"/>
      <c r="I265"/>
      <c r="J265"/>
      <c r="K265"/>
      <c r="L265"/>
      <c r="M265"/>
      <c r="N265"/>
      <c r="O265"/>
    </row>
    <row r="266" spans="1:15" s="114" customFormat="1" ht="15">
      <c r="A266" s="162"/>
      <c r="B266" s="163"/>
      <c r="C266" s="164"/>
      <c r="I266"/>
      <c r="J266"/>
      <c r="K266"/>
      <c r="L266"/>
      <c r="M266"/>
      <c r="N266"/>
      <c r="O266"/>
    </row>
    <row r="267" spans="1:15" s="114" customFormat="1" ht="15">
      <c r="A267" s="162"/>
      <c r="B267" s="163"/>
      <c r="C267" s="164"/>
      <c r="I267"/>
      <c r="J267"/>
      <c r="K267"/>
      <c r="L267"/>
      <c r="M267"/>
      <c r="N267"/>
      <c r="O267"/>
    </row>
    <row r="268" spans="1:15" s="114" customFormat="1" ht="15">
      <c r="A268" s="162"/>
      <c r="B268" s="163"/>
      <c r="C268" s="164"/>
      <c r="I268"/>
      <c r="J268"/>
      <c r="K268"/>
      <c r="L268"/>
      <c r="M268"/>
      <c r="N268"/>
      <c r="O268"/>
    </row>
    <row r="269" spans="1:15" s="114" customFormat="1" ht="15">
      <c r="A269" s="162"/>
      <c r="B269" s="163"/>
      <c r="C269" s="164"/>
      <c r="I269"/>
      <c r="J269"/>
      <c r="K269"/>
      <c r="L269"/>
      <c r="M269"/>
      <c r="N269"/>
      <c r="O269"/>
    </row>
    <row r="270" spans="1:15" s="114" customFormat="1" ht="15">
      <c r="A270" s="162"/>
      <c r="B270" s="163"/>
      <c r="C270" s="164"/>
      <c r="I270"/>
      <c r="J270"/>
      <c r="K270"/>
      <c r="L270"/>
      <c r="M270"/>
      <c r="N270"/>
      <c r="O270"/>
    </row>
    <row r="271" spans="1:15" s="114" customFormat="1" ht="15">
      <c r="A271" s="162"/>
      <c r="B271" s="163"/>
      <c r="C271" s="164"/>
      <c r="I271"/>
      <c r="J271"/>
      <c r="K271"/>
      <c r="L271"/>
      <c r="M271"/>
      <c r="N271"/>
      <c r="O271"/>
    </row>
    <row r="272" spans="1:15" s="114" customFormat="1" ht="15">
      <c r="A272" s="162"/>
      <c r="B272" s="163"/>
      <c r="C272" s="164"/>
      <c r="I272"/>
      <c r="J272"/>
      <c r="K272"/>
      <c r="L272"/>
      <c r="M272"/>
      <c r="N272"/>
      <c r="O272"/>
    </row>
    <row r="273" spans="1:15" s="114" customFormat="1" ht="15">
      <c r="A273" s="162"/>
      <c r="B273" s="163"/>
      <c r="C273" s="164"/>
      <c r="I273"/>
      <c r="J273"/>
      <c r="K273"/>
      <c r="L273"/>
      <c r="M273"/>
      <c r="N273"/>
      <c r="O273"/>
    </row>
    <row r="274" spans="1:15" s="114" customFormat="1" ht="15">
      <c r="A274" s="162"/>
      <c r="B274" s="163"/>
      <c r="C274" s="164"/>
      <c r="I274"/>
      <c r="J274"/>
      <c r="K274"/>
      <c r="L274"/>
      <c r="M274"/>
      <c r="N274"/>
      <c r="O274"/>
    </row>
    <row r="275" spans="1:15" s="114" customFormat="1" ht="15">
      <c r="A275" s="162"/>
      <c r="B275" s="163"/>
      <c r="C275" s="164"/>
      <c r="I275"/>
      <c r="J275"/>
      <c r="K275"/>
      <c r="L275"/>
      <c r="M275"/>
      <c r="N275"/>
      <c r="O275"/>
    </row>
    <row r="276" spans="1:15" s="114" customFormat="1" ht="15">
      <c r="A276" s="162"/>
      <c r="B276" s="163"/>
      <c r="C276" s="164"/>
      <c r="I276"/>
      <c r="J276"/>
      <c r="K276"/>
      <c r="L276"/>
      <c r="M276"/>
      <c r="N276"/>
      <c r="O276"/>
    </row>
    <row r="277" spans="1:15" s="114" customFormat="1" ht="15">
      <c r="A277" s="162"/>
      <c r="B277" s="163"/>
      <c r="C277" s="164"/>
      <c r="I277"/>
      <c r="J277"/>
      <c r="K277"/>
      <c r="L277"/>
      <c r="M277"/>
      <c r="N277"/>
      <c r="O277"/>
    </row>
    <row r="278" ht="15">
      <c r="B278" s="163"/>
    </row>
  </sheetData>
  <sheetProtection/>
  <mergeCells count="135">
    <mergeCell ref="C4:H4"/>
    <mergeCell ref="A5:H5"/>
    <mergeCell ref="C6:H6"/>
    <mergeCell ref="C7:H7"/>
    <mergeCell ref="C8:H8"/>
    <mergeCell ref="A9:A10"/>
    <mergeCell ref="B9:B10"/>
    <mergeCell ref="C9:C10"/>
    <mergeCell ref="D9:D10"/>
    <mergeCell ref="E9:E10"/>
    <mergeCell ref="H9:H10"/>
    <mergeCell ref="A11:B11"/>
    <mergeCell ref="A21:A22"/>
    <mergeCell ref="B21:B22"/>
    <mergeCell ref="C24:C25"/>
    <mergeCell ref="D24:D25"/>
    <mergeCell ref="H51:H52"/>
    <mergeCell ref="A54:A55"/>
    <mergeCell ref="B54:B55"/>
    <mergeCell ref="A31:A32"/>
    <mergeCell ref="B31:B32"/>
    <mergeCell ref="A36:A39"/>
    <mergeCell ref="B36:B39"/>
    <mergeCell ref="A40:A42"/>
    <mergeCell ref="B40:B42"/>
    <mergeCell ref="A101:A103"/>
    <mergeCell ref="B101:B103"/>
    <mergeCell ref="A44:A45"/>
    <mergeCell ref="B44:B45"/>
    <mergeCell ref="A47:A52"/>
    <mergeCell ref="B47:B52"/>
    <mergeCell ref="B77:B79"/>
    <mergeCell ref="A80:A82"/>
    <mergeCell ref="B80:B82"/>
    <mergeCell ref="A83:A85"/>
    <mergeCell ref="B83:B85"/>
    <mergeCell ref="A86:A88"/>
    <mergeCell ref="A56:A58"/>
    <mergeCell ref="B56:B58"/>
    <mergeCell ref="A59:A62"/>
    <mergeCell ref="B59:B62"/>
    <mergeCell ref="A65:A67"/>
    <mergeCell ref="B65:B67"/>
    <mergeCell ref="H66:H67"/>
    <mergeCell ref="A110:A111"/>
    <mergeCell ref="B110:B111"/>
    <mergeCell ref="A112:A113"/>
    <mergeCell ref="B112:B113"/>
    <mergeCell ref="A114:A117"/>
    <mergeCell ref="B114:B117"/>
    <mergeCell ref="B74:B76"/>
    <mergeCell ref="A74:A76"/>
    <mergeCell ref="A77:A79"/>
    <mergeCell ref="A118:A119"/>
    <mergeCell ref="B118:B119"/>
    <mergeCell ref="A121:A122"/>
    <mergeCell ref="B121:B122"/>
    <mergeCell ref="A124:A125"/>
    <mergeCell ref="B124:B125"/>
    <mergeCell ref="A128:A129"/>
    <mergeCell ref="B128:B129"/>
    <mergeCell ref="A132:A136"/>
    <mergeCell ref="B132:B136"/>
    <mergeCell ref="A139:A140"/>
    <mergeCell ref="B139:B140"/>
    <mergeCell ref="A141:A142"/>
    <mergeCell ref="B141:B142"/>
    <mergeCell ref="A143:A144"/>
    <mergeCell ref="B143:B144"/>
    <mergeCell ref="A145:A147"/>
    <mergeCell ref="B145:B147"/>
    <mergeCell ref="A148:A149"/>
    <mergeCell ref="B148:B149"/>
    <mergeCell ref="A158:A159"/>
    <mergeCell ref="B158:B159"/>
    <mergeCell ref="A160:A162"/>
    <mergeCell ref="B160:B162"/>
    <mergeCell ref="A163:A164"/>
    <mergeCell ref="B163:B164"/>
    <mergeCell ref="A165:A166"/>
    <mergeCell ref="B165:B166"/>
    <mergeCell ref="A167:A168"/>
    <mergeCell ref="B167:B168"/>
    <mergeCell ref="A174:A175"/>
    <mergeCell ref="B174:B175"/>
    <mergeCell ref="A177:A178"/>
    <mergeCell ref="B177:B178"/>
    <mergeCell ref="A179:A181"/>
    <mergeCell ref="B179:B181"/>
    <mergeCell ref="A183:A186"/>
    <mergeCell ref="B183:B186"/>
    <mergeCell ref="H183:H184"/>
    <mergeCell ref="A187:A189"/>
    <mergeCell ref="B187:B189"/>
    <mergeCell ref="A190:A192"/>
    <mergeCell ref="B190:B192"/>
    <mergeCell ref="A195:A196"/>
    <mergeCell ref="B195:B196"/>
    <mergeCell ref="A200:A201"/>
    <mergeCell ref="B200:B201"/>
    <mergeCell ref="A204:A209"/>
    <mergeCell ref="B204:B209"/>
    <mergeCell ref="H205:H206"/>
    <mergeCell ref="A211:A213"/>
    <mergeCell ref="B211:B213"/>
    <mergeCell ref="H211:H213"/>
    <mergeCell ref="A214:A216"/>
    <mergeCell ref="B214:B216"/>
    <mergeCell ref="H214:H216"/>
    <mergeCell ref="E237:E238"/>
    <mergeCell ref="H237:H238"/>
    <mergeCell ref="A217:A219"/>
    <mergeCell ref="B217:B219"/>
    <mergeCell ref="H217:H219"/>
    <mergeCell ref="A224:A227"/>
    <mergeCell ref="B224:B227"/>
    <mergeCell ref="A228:A232"/>
    <mergeCell ref="B228:B232"/>
    <mergeCell ref="A98:A100"/>
    <mergeCell ref="B98:B100"/>
    <mergeCell ref="A239:B239"/>
    <mergeCell ref="A244:B244"/>
    <mergeCell ref="C235:H235"/>
    <mergeCell ref="C236:H236"/>
    <mergeCell ref="A237:A238"/>
    <mergeCell ref="B237:B238"/>
    <mergeCell ref="C237:C238"/>
    <mergeCell ref="D237:D238"/>
    <mergeCell ref="B86:B88"/>
    <mergeCell ref="A89:A91"/>
    <mergeCell ref="B89:B91"/>
    <mergeCell ref="A92:A94"/>
    <mergeCell ref="B92:B94"/>
    <mergeCell ref="A95:A97"/>
    <mergeCell ref="B95:B97"/>
  </mergeCells>
  <printOptions/>
  <pageMargins left="0.3937007874015748" right="0.3937007874015748" top="0.7874015748031497" bottom="0.7874015748031497" header="0.5118110236220472" footer="0.5118110236220472"/>
  <pageSetup fitToHeight="0"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FF66FF"/>
    <pageSetUpPr fitToPage="1"/>
  </sheetPr>
  <dimension ref="A1:K16"/>
  <sheetViews>
    <sheetView zoomScalePageLayoutView="0" workbookViewId="0" topLeftCell="B1">
      <selection activeCell="I21" sqref="I21"/>
    </sheetView>
  </sheetViews>
  <sheetFormatPr defaultColWidth="9.140625" defaultRowHeight="15"/>
  <cols>
    <col min="1" max="1" width="6.140625" style="1" customWidth="1"/>
    <col min="2" max="2" width="44.8515625" style="1" customWidth="1"/>
    <col min="3" max="3" width="11.8515625" style="1" customWidth="1"/>
    <col min="4" max="4" width="11.140625" style="1" customWidth="1"/>
    <col min="5" max="5" width="10.28125" style="1" customWidth="1"/>
    <col min="6" max="6" width="10.57421875" style="1" customWidth="1"/>
    <col min="7" max="7" width="9.7109375" style="1" customWidth="1"/>
    <col min="8" max="8" width="16.7109375" style="1" customWidth="1"/>
    <col min="12" max="16384" width="9.140625" style="1" customWidth="1"/>
  </cols>
  <sheetData>
    <row r="1" spans="8:11" s="727" customFormat="1" ht="15.75">
      <c r="H1" s="728" t="s">
        <v>1637</v>
      </c>
      <c r="I1"/>
      <c r="J1"/>
      <c r="K1"/>
    </row>
    <row r="2" spans="8:11" s="727" customFormat="1" ht="15.75">
      <c r="H2" s="728" t="s">
        <v>1627</v>
      </c>
      <c r="I2"/>
      <c r="J2"/>
      <c r="K2"/>
    </row>
    <row r="3" spans="8:11" s="727" customFormat="1" ht="15.75">
      <c r="H3" s="728" t="s">
        <v>1628</v>
      </c>
      <c r="I3"/>
      <c r="J3"/>
      <c r="K3"/>
    </row>
    <row r="4" spans="1:8" ht="15">
      <c r="A4" s="1" t="s">
        <v>466</v>
      </c>
      <c r="B4" s="2"/>
      <c r="C4" s="822" t="s">
        <v>1</v>
      </c>
      <c r="D4" s="822"/>
      <c r="E4" s="822"/>
      <c r="F4" s="822"/>
      <c r="G4" s="822"/>
      <c r="H4" s="822"/>
    </row>
    <row r="5" spans="1:8" ht="15.75">
      <c r="A5" s="835" t="s">
        <v>2</v>
      </c>
      <c r="B5" s="835"/>
      <c r="C5" s="835"/>
      <c r="D5" s="835"/>
      <c r="E5" s="835"/>
      <c r="F5" s="835"/>
      <c r="G5" s="835"/>
      <c r="H5" s="835"/>
    </row>
    <row r="6" spans="1:8" ht="15">
      <c r="A6" s="1" t="s">
        <v>3</v>
      </c>
      <c r="C6" s="822" t="s">
        <v>467</v>
      </c>
      <c r="D6" s="822"/>
      <c r="E6" s="822"/>
      <c r="F6" s="822"/>
      <c r="G6" s="822"/>
      <c r="H6" s="822"/>
    </row>
    <row r="7" spans="1:8" ht="15">
      <c r="A7" s="1" t="s">
        <v>4</v>
      </c>
      <c r="C7" s="806" t="s">
        <v>1482</v>
      </c>
      <c r="D7" s="806"/>
      <c r="E7" s="806"/>
      <c r="F7" s="806"/>
      <c r="G7" s="806"/>
      <c r="H7" s="806"/>
    </row>
    <row r="8" spans="1:8" ht="15">
      <c r="A8" s="1" t="s">
        <v>20</v>
      </c>
      <c r="C8" s="806" t="s">
        <v>164</v>
      </c>
      <c r="D8" s="806"/>
      <c r="E8" s="806"/>
      <c r="F8" s="806"/>
      <c r="G8" s="806"/>
      <c r="H8" s="806"/>
    </row>
    <row r="9" spans="1:8" ht="36.75">
      <c r="A9" s="803" t="s">
        <v>7</v>
      </c>
      <c r="B9" s="803" t="s">
        <v>8</v>
      </c>
      <c r="C9" s="803" t="s">
        <v>9</v>
      </c>
      <c r="D9" s="803" t="s">
        <v>936</v>
      </c>
      <c r="E9" s="803" t="s">
        <v>10</v>
      </c>
      <c r="F9" s="4" t="s">
        <v>11</v>
      </c>
      <c r="G9" s="4" t="s">
        <v>12</v>
      </c>
      <c r="H9" s="803" t="s">
        <v>13</v>
      </c>
    </row>
    <row r="10" spans="1:8" ht="36">
      <c r="A10" s="803"/>
      <c r="B10" s="803"/>
      <c r="C10" s="803"/>
      <c r="D10" s="803"/>
      <c r="E10" s="803"/>
      <c r="F10" s="5" t="s">
        <v>14</v>
      </c>
      <c r="G10" s="5" t="s">
        <v>15</v>
      </c>
      <c r="H10" s="803"/>
    </row>
    <row r="11" spans="1:8" ht="15">
      <c r="A11" s="804" t="s">
        <v>16</v>
      </c>
      <c r="B11" s="805"/>
      <c r="C11" s="6">
        <f>SUM(C12:C15)</f>
        <v>57750</v>
      </c>
      <c r="D11" s="6">
        <f>SUM(D12:D15)</f>
        <v>45383</v>
      </c>
      <c r="E11" s="6">
        <f>SUM(E12:E15)</f>
        <v>50600</v>
      </c>
      <c r="F11" s="6"/>
      <c r="G11" s="6">
        <f>SUM(G12:G15)</f>
        <v>44600</v>
      </c>
      <c r="H11" s="537" t="s">
        <v>1509</v>
      </c>
    </row>
    <row r="12" spans="1:8" ht="12.75" customHeight="1">
      <c r="A12" s="167">
        <v>1</v>
      </c>
      <c r="B12" s="168" t="s">
        <v>468</v>
      </c>
      <c r="C12" s="16">
        <v>19000</v>
      </c>
      <c r="D12" s="16">
        <v>18966</v>
      </c>
      <c r="E12" s="16">
        <v>30600</v>
      </c>
      <c r="F12" s="17">
        <v>2276</v>
      </c>
      <c r="G12" s="16">
        <v>30600</v>
      </c>
      <c r="H12" s="7"/>
    </row>
    <row r="13" spans="1:8" ht="15">
      <c r="A13" s="7">
        <v>2</v>
      </c>
      <c r="B13" s="7" t="s">
        <v>469</v>
      </c>
      <c r="C13" s="16">
        <v>15279</v>
      </c>
      <c r="D13" s="16">
        <v>13200</v>
      </c>
      <c r="E13" s="16">
        <v>0</v>
      </c>
      <c r="F13" s="17">
        <v>2276</v>
      </c>
      <c r="G13" s="16">
        <v>0</v>
      </c>
      <c r="H13" s="7"/>
    </row>
    <row r="14" spans="1:8" ht="15">
      <c r="A14" s="7">
        <v>3</v>
      </c>
      <c r="B14" s="7" t="s">
        <v>470</v>
      </c>
      <c r="C14" s="16">
        <v>10000</v>
      </c>
      <c r="D14" s="16">
        <v>7135</v>
      </c>
      <c r="E14" s="16">
        <v>10000</v>
      </c>
      <c r="F14" s="17">
        <v>2239</v>
      </c>
      <c r="G14" s="16">
        <v>7000</v>
      </c>
      <c r="H14" s="7"/>
    </row>
    <row r="15" spans="1:8" ht="15">
      <c r="A15" s="7">
        <v>4</v>
      </c>
      <c r="B15" s="7" t="s">
        <v>471</v>
      </c>
      <c r="C15" s="16">
        <v>13471</v>
      </c>
      <c r="D15" s="16">
        <v>6082</v>
      </c>
      <c r="E15" s="16">
        <v>10000</v>
      </c>
      <c r="F15" s="17">
        <v>2519</v>
      </c>
      <c r="G15" s="16">
        <v>7000</v>
      </c>
      <c r="H15" s="7"/>
    </row>
    <row r="16" spans="1:8" ht="15">
      <c r="A16" s="784" t="s">
        <v>17</v>
      </c>
      <c r="B16" s="785"/>
      <c r="C16" s="13">
        <f>SUM(C11)</f>
        <v>57750</v>
      </c>
      <c r="D16" s="13">
        <f>SUM(D11)</f>
        <v>45383</v>
      </c>
      <c r="E16" s="13">
        <f>SUM(E11)</f>
        <v>50600</v>
      </c>
      <c r="F16" s="13"/>
      <c r="G16" s="13">
        <f>SUM(G11)</f>
        <v>44600</v>
      </c>
      <c r="H16" s="14"/>
    </row>
    <row r="17" ht="15"/>
    <row r="18" ht="15"/>
    <row r="19" ht="15"/>
    <row r="20" ht="15"/>
    <row r="21" ht="15"/>
    <row r="22" ht="15"/>
    <row r="23" ht="15"/>
    <row r="24" ht="15"/>
    <row r="25" ht="15"/>
    <row r="26" ht="15"/>
  </sheetData>
  <sheetProtection/>
  <mergeCells count="13">
    <mergeCell ref="C9:C10"/>
    <mergeCell ref="D9:D10"/>
    <mergeCell ref="E9:E10"/>
    <mergeCell ref="H9:H10"/>
    <mergeCell ref="A11:B11"/>
    <mergeCell ref="A16:B16"/>
    <mergeCell ref="C4:H4"/>
    <mergeCell ref="A5:H5"/>
    <mergeCell ref="C6:H6"/>
    <mergeCell ref="C7:H7"/>
    <mergeCell ref="C8:H8"/>
    <mergeCell ref="A9:A10"/>
    <mergeCell ref="B9:B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tabColor rgb="FFFF66FF"/>
    <pageSetUpPr fitToPage="1"/>
  </sheetPr>
  <dimension ref="A1:Q13"/>
  <sheetViews>
    <sheetView zoomScalePageLayoutView="0" workbookViewId="0" topLeftCell="A5">
      <selection activeCell="I21" sqref="I21"/>
    </sheetView>
  </sheetViews>
  <sheetFormatPr defaultColWidth="9.140625" defaultRowHeight="15"/>
  <cols>
    <col min="1" max="1" width="6.140625" style="1" customWidth="1"/>
    <col min="2" max="2" width="44.8515625" style="1" customWidth="1"/>
    <col min="3" max="3" width="11.8515625" style="1" customWidth="1"/>
    <col min="4" max="4" width="11.140625" style="1" customWidth="1"/>
    <col min="5" max="5" width="10.28125" style="1" customWidth="1"/>
    <col min="6" max="6" width="10.57421875" style="1" customWidth="1"/>
    <col min="7" max="7" width="9.7109375" style="1" customWidth="1"/>
    <col min="8" max="8" width="29.140625" style="1" customWidth="1"/>
    <col min="18" max="16384" width="9.140625" style="1" customWidth="1"/>
  </cols>
  <sheetData>
    <row r="1" spans="8:17" s="727" customFormat="1" ht="15.75">
      <c r="H1" s="728" t="s">
        <v>1638</v>
      </c>
      <c r="I1"/>
      <c r="J1"/>
      <c r="K1"/>
      <c r="L1"/>
      <c r="M1"/>
      <c r="N1"/>
      <c r="O1"/>
      <c r="P1"/>
      <c r="Q1"/>
    </row>
    <row r="2" spans="8:17" s="727" customFormat="1" ht="15.75">
      <c r="H2" s="728" t="s">
        <v>1627</v>
      </c>
      <c r="I2"/>
      <c r="J2"/>
      <c r="K2"/>
      <c r="L2"/>
      <c r="M2"/>
      <c r="N2"/>
      <c r="O2"/>
      <c r="P2"/>
      <c r="Q2"/>
    </row>
    <row r="3" spans="8:17" s="727" customFormat="1" ht="15.75">
      <c r="H3" s="728" t="s">
        <v>1628</v>
      </c>
      <c r="I3"/>
      <c r="J3"/>
      <c r="K3"/>
      <c r="L3"/>
      <c r="M3"/>
      <c r="N3"/>
      <c r="O3"/>
      <c r="P3"/>
      <c r="Q3"/>
    </row>
    <row r="4" spans="1:8" ht="15">
      <c r="A4" s="1" t="s">
        <v>0</v>
      </c>
      <c r="B4" s="2"/>
      <c r="C4" s="822" t="s">
        <v>1</v>
      </c>
      <c r="D4" s="822"/>
      <c r="E4" s="822"/>
      <c r="F4" s="822"/>
      <c r="G4" s="822"/>
      <c r="H4" s="822"/>
    </row>
    <row r="5" spans="1:8" ht="15.75">
      <c r="A5" s="835" t="s">
        <v>2</v>
      </c>
      <c r="B5" s="835"/>
      <c r="C5" s="835"/>
      <c r="D5" s="835"/>
      <c r="E5" s="835"/>
      <c r="F5" s="835"/>
      <c r="G5" s="835"/>
      <c r="H5" s="835"/>
    </row>
    <row r="6" spans="1:8" ht="15">
      <c r="A6" s="1" t="s">
        <v>472</v>
      </c>
      <c r="C6" s="822" t="s">
        <v>473</v>
      </c>
      <c r="D6" s="822"/>
      <c r="E6" s="822"/>
      <c r="F6" s="822"/>
      <c r="G6" s="822"/>
      <c r="H6" s="822"/>
    </row>
    <row r="7" spans="1:8" ht="15">
      <c r="A7" s="1" t="s">
        <v>4</v>
      </c>
      <c r="C7" s="806" t="s">
        <v>1395</v>
      </c>
      <c r="D7" s="806"/>
      <c r="E7" s="806"/>
      <c r="F7" s="806"/>
      <c r="G7" s="806"/>
      <c r="H7" s="806"/>
    </row>
    <row r="8" spans="1:8" ht="15">
      <c r="A8" s="1" t="s">
        <v>20</v>
      </c>
      <c r="C8" s="806" t="s">
        <v>223</v>
      </c>
      <c r="D8" s="806"/>
      <c r="E8" s="806"/>
      <c r="F8" s="806"/>
      <c r="G8" s="806"/>
      <c r="H8" s="806"/>
    </row>
    <row r="9" spans="1:8" ht="36.75">
      <c r="A9" s="803" t="s">
        <v>7</v>
      </c>
      <c r="B9" s="803" t="s">
        <v>8</v>
      </c>
      <c r="C9" s="803" t="s">
        <v>9</v>
      </c>
      <c r="D9" s="803" t="s">
        <v>936</v>
      </c>
      <c r="E9" s="803" t="s">
        <v>10</v>
      </c>
      <c r="F9" s="4" t="s">
        <v>11</v>
      </c>
      <c r="G9" s="4" t="s">
        <v>12</v>
      </c>
      <c r="H9" s="803" t="s">
        <v>13</v>
      </c>
    </row>
    <row r="10" spans="1:8" ht="36">
      <c r="A10" s="803"/>
      <c r="B10" s="803"/>
      <c r="C10" s="803"/>
      <c r="D10" s="803"/>
      <c r="E10" s="803"/>
      <c r="F10" s="5" t="s">
        <v>14</v>
      </c>
      <c r="G10" s="5" t="s">
        <v>15</v>
      </c>
      <c r="H10" s="803"/>
    </row>
    <row r="11" spans="1:8" ht="15">
      <c r="A11" s="804" t="s">
        <v>16</v>
      </c>
      <c r="B11" s="805"/>
      <c r="C11" s="6">
        <f>SUM(C12:C12)</f>
        <v>3477</v>
      </c>
      <c r="D11" s="6">
        <f>SUM(D12:D12)</f>
        <v>3477</v>
      </c>
      <c r="E11" s="6">
        <f>SUM(E12:E12)</f>
        <v>10000</v>
      </c>
      <c r="F11" s="6"/>
      <c r="G11" s="6">
        <f>SUM(G12:G12)</f>
        <v>3500</v>
      </c>
      <c r="H11" s="7"/>
    </row>
    <row r="12" spans="1:8" ht="48.75">
      <c r="A12" s="7">
        <v>1</v>
      </c>
      <c r="B12" s="7" t="s">
        <v>474</v>
      </c>
      <c r="C12" s="16">
        <v>3477</v>
      </c>
      <c r="D12" s="16">
        <v>3477</v>
      </c>
      <c r="E12" s="16">
        <v>10000</v>
      </c>
      <c r="F12" s="17">
        <v>2239</v>
      </c>
      <c r="G12" s="16">
        <v>3500</v>
      </c>
      <c r="H12" s="103" t="s">
        <v>475</v>
      </c>
    </row>
    <row r="13" spans="1:8" ht="15">
      <c r="A13" s="784" t="s">
        <v>17</v>
      </c>
      <c r="B13" s="785"/>
      <c r="C13" s="13">
        <f>SUM(C11)</f>
        <v>3477</v>
      </c>
      <c r="D13" s="13">
        <f>SUM(D11)</f>
        <v>3477</v>
      </c>
      <c r="E13" s="13">
        <f>SUM(E11)</f>
        <v>10000</v>
      </c>
      <c r="F13" s="13"/>
      <c r="G13" s="13">
        <f>SUM(G11)</f>
        <v>3500</v>
      </c>
      <c r="H13" s="537" t="s">
        <v>1510</v>
      </c>
    </row>
    <row r="14" ht="15"/>
    <row r="15" ht="15"/>
    <row r="16" ht="15"/>
    <row r="17" ht="15"/>
    <row r="18" ht="15"/>
    <row r="19" ht="15"/>
    <row r="20" ht="15"/>
    <row r="21" ht="15"/>
    <row r="22" ht="15"/>
    <row r="23" ht="15"/>
    <row r="24" ht="15"/>
    <row r="25" ht="15"/>
    <row r="26" ht="15"/>
    <row r="27" ht="15"/>
    <row r="28" ht="15"/>
  </sheetData>
  <sheetProtection/>
  <mergeCells count="13">
    <mergeCell ref="C9:C10"/>
    <mergeCell ref="D9:D10"/>
    <mergeCell ref="E9:E10"/>
    <mergeCell ref="H9:H10"/>
    <mergeCell ref="A11:B11"/>
    <mergeCell ref="A13:B13"/>
    <mergeCell ref="C4:H4"/>
    <mergeCell ref="A5:H5"/>
    <mergeCell ref="C6:H6"/>
    <mergeCell ref="C7:H7"/>
    <mergeCell ref="C8:H8"/>
    <mergeCell ref="A9:A10"/>
    <mergeCell ref="B9:B10"/>
  </mergeCells>
  <printOptions/>
  <pageMargins left="0.3937007874015748" right="0.3937007874015748" top="0.7874015748031497" bottom="0.7874015748031497" header="0.5118110236220472" footer="0.5118110236220472"/>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2015-07-14T11:20:21Z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