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020" windowHeight="10110" tabRatio="940" activeTab="10"/>
  </bookViews>
  <sheets>
    <sheet name="3.piel." sheetId="5" r:id="rId1"/>
    <sheet name="4.piel." sheetId="40" r:id="rId2"/>
    <sheet name="5.piel." sheetId="30" r:id="rId3"/>
    <sheet name="6.piel." sheetId="6" r:id="rId4"/>
    <sheet name="7.piel." sheetId="15" r:id="rId5"/>
    <sheet name="8.piel." sheetId="19" r:id="rId6"/>
    <sheet name="9.piel." sheetId="20" r:id="rId7"/>
    <sheet name="10.piel." sheetId="22" r:id="rId8"/>
    <sheet name="11.piel." sheetId="41" r:id="rId9"/>
    <sheet name="12.piel." sheetId="14" r:id="rId10"/>
    <sheet name="13.piel." sheetId="18" r:id="rId11"/>
    <sheet name="14.piel." sheetId="13" r:id="rId12"/>
    <sheet name="15.piel." sheetId="17" r:id="rId13"/>
    <sheet name="16.piel." sheetId="9" r:id="rId14"/>
    <sheet name="17.piel." sheetId="12" r:id="rId15"/>
    <sheet name="18.piel." sheetId="11" r:id="rId16"/>
    <sheet name="19.piel." sheetId="10" r:id="rId17"/>
    <sheet name="20.piel." sheetId="8" r:id="rId18"/>
    <sheet name="21.piel." sheetId="32" r:id="rId19"/>
    <sheet name="22.piel." sheetId="16" r:id="rId20"/>
    <sheet name="23.piel." sheetId="24" r:id="rId21"/>
    <sheet name="24.piel." sheetId="23" r:id="rId22"/>
    <sheet name="25.piel." sheetId="36" r:id="rId23"/>
    <sheet name="26.piel." sheetId="35" r:id="rId24"/>
    <sheet name="27.piel." sheetId="29" r:id="rId25"/>
    <sheet name="28.piel." sheetId="34" r:id="rId26"/>
    <sheet name="29.piel." sheetId="37" r:id="rId27"/>
    <sheet name="30.piel." sheetId="38" r:id="rId28"/>
    <sheet name="Sheet3" sheetId="39" r:id="rId29"/>
  </sheets>
  <definedNames>
    <definedName name="_xlnm._FilterDatabase" localSheetId="17" hidden="1">'20.piel.'!$A$14:$K$319</definedName>
    <definedName name="_xlnm._FilterDatabase" localSheetId="19" hidden="1">'22.piel.'!$A$16:$I$357</definedName>
    <definedName name="_xlnm._FilterDatabase" localSheetId="24" hidden="1">'27.piel.'!$A$13:$I$39</definedName>
    <definedName name="_xlnm.Print_Area" localSheetId="7">'10.piel.'!$A$1:$I$56</definedName>
    <definedName name="_xlnm.Print_Area" localSheetId="8">'11.piel.'!$A$1:$L$64</definedName>
    <definedName name="_xlnm.Print_Area" localSheetId="9">'12.piel.'!$A$1:$I$19</definedName>
    <definedName name="_xlnm.Print_Area" localSheetId="10">'13.piel.'!$A$1:$I$222</definedName>
    <definedName name="_xlnm.Print_Area" localSheetId="11">'14.piel.'!$A$1:$I$122</definedName>
    <definedName name="_xlnm.Print_Area" localSheetId="12">'15.piel.'!$A$1:$I$21</definedName>
    <definedName name="_xlnm.Print_Area" localSheetId="13">'16.piel.'!$A$1:$I$65</definedName>
    <definedName name="_xlnm.Print_Area" localSheetId="14">'17.piel.'!$A$1:$I$24</definedName>
    <definedName name="_xlnm.Print_Area" localSheetId="15">'18.piel.'!$A$1:$I$34</definedName>
    <definedName name="_xlnm.Print_Area" localSheetId="16">'19.piel.'!$A$1:$I$64</definedName>
    <definedName name="_xlnm.Print_Area" localSheetId="17">'20.piel.'!$A$1:$K$320</definedName>
    <definedName name="_xlnm.Print_Area" localSheetId="18">'21.piel.'!$A$1:$I$26</definedName>
    <definedName name="_xlnm.Print_Area" localSheetId="19">'22.piel.'!$A$1:$I$386</definedName>
    <definedName name="_xlnm.Print_Area" localSheetId="21">'24.piel.'!$A$1:$I$105</definedName>
    <definedName name="_xlnm.Print_Area" localSheetId="22">'25.piel.'!$A$1:$M$405</definedName>
    <definedName name="_xlnm.Print_Area" localSheetId="23">'26.piel.'!$A$1:$I$182</definedName>
    <definedName name="_xlnm.Print_Area" localSheetId="24">'27.piel.'!$A$1:$I$51</definedName>
    <definedName name="_xlnm.Print_Area" localSheetId="26">'29.piel.'!$A$1:$I$69</definedName>
    <definedName name="_xlnm.Print_Area" localSheetId="0">'3.piel.'!$A$1:$R$43</definedName>
    <definedName name="_xlnm.Print_Area" localSheetId="27">'30.piel.'!$A$1:$I$126</definedName>
    <definedName name="_xlnm.Print_Area" localSheetId="1">'4.piel.'!$A$1:$P$57</definedName>
    <definedName name="_xlnm.Print_Area" localSheetId="3">'6.piel.'!$A$1:$N$74</definedName>
    <definedName name="_xlnm.Print_Area" localSheetId="4">'7.piel.'!$A$1:$I$22</definedName>
    <definedName name="_xlnm.Print_Area" localSheetId="5">'8.piel.'!$A$1:$I$30</definedName>
    <definedName name="_xlnm.Print_Area" localSheetId="6">'9.piel.'!$A$1:$I$49</definedName>
  </definedNames>
  <calcPr calcId="145621"/>
</workbook>
</file>

<file path=xl/calcChain.xml><?xml version="1.0" encoding="utf-8"?>
<calcChain xmlns="http://schemas.openxmlformats.org/spreadsheetml/2006/main">
  <c r="E27" i="13" l="1"/>
  <c r="D27" i="13"/>
  <c r="C27" i="13"/>
  <c r="H14" i="5"/>
  <c r="L26" i="5"/>
  <c r="L21" i="5"/>
  <c r="L13" i="5" s="1"/>
  <c r="L14" i="5"/>
  <c r="H31" i="5"/>
  <c r="K63" i="41" l="1"/>
  <c r="K62" i="41"/>
  <c r="K61" i="41"/>
  <c r="K60" i="41"/>
  <c r="K59" i="41"/>
  <c r="J58" i="41"/>
  <c r="K58" i="41" s="1"/>
  <c r="K40" i="41" s="1"/>
  <c r="G58" i="41"/>
  <c r="K57" i="41"/>
  <c r="K56" i="41"/>
  <c r="K55" i="41"/>
  <c r="K54" i="41"/>
  <c r="K53" i="41"/>
  <c r="K52" i="41"/>
  <c r="K51" i="41"/>
  <c r="K50" i="41"/>
  <c r="K49" i="41"/>
  <c r="J49" i="41"/>
  <c r="K48" i="41"/>
  <c r="K47" i="41"/>
  <c r="K46" i="41"/>
  <c r="K45" i="41"/>
  <c r="K44" i="41"/>
  <c r="K43" i="41"/>
  <c r="K42" i="41"/>
  <c r="K41" i="41"/>
  <c r="J40" i="41"/>
  <c r="H40" i="41"/>
  <c r="G40" i="41"/>
  <c r="F40" i="41"/>
  <c r="E40" i="41"/>
  <c r="D40" i="41"/>
  <c r="C40" i="41"/>
  <c r="H32" i="41"/>
  <c r="H31" i="41"/>
  <c r="C31" i="41"/>
  <c r="H30" i="41"/>
  <c r="H29" i="41"/>
  <c r="H28" i="41" s="1"/>
  <c r="G28" i="41"/>
  <c r="E28" i="41"/>
  <c r="D28" i="41"/>
  <c r="C28" i="41"/>
  <c r="H22" i="41"/>
  <c r="H21" i="41"/>
  <c r="H20" i="41"/>
  <c r="G19" i="41"/>
  <c r="H19" i="41" s="1"/>
  <c r="H18" i="41"/>
  <c r="H17" i="41"/>
  <c r="H15" i="41" s="1"/>
  <c r="H16" i="41"/>
  <c r="I15" i="41"/>
  <c r="G15" i="41"/>
  <c r="E15" i="41"/>
  <c r="D15" i="41"/>
  <c r="C15" i="41"/>
  <c r="I37" i="34" l="1"/>
  <c r="I34" i="34" s="1"/>
  <c r="H34" i="34"/>
  <c r="F34" i="34"/>
  <c r="E34" i="34"/>
  <c r="D34" i="34"/>
  <c r="I33" i="34"/>
  <c r="I32" i="34"/>
  <c r="I20" i="34"/>
  <c r="I19" i="34" s="1"/>
  <c r="I29" i="34" l="1"/>
  <c r="I28" i="34" s="1"/>
  <c r="I38" i="34" s="1"/>
  <c r="J56" i="40"/>
  <c r="P56" i="40" s="1"/>
  <c r="H56" i="40"/>
  <c r="N56" i="40" s="1"/>
  <c r="F56" i="40"/>
  <c r="L56" i="40" s="1"/>
  <c r="C56" i="40"/>
  <c r="J55" i="40"/>
  <c r="P55" i="40" s="1"/>
  <c r="P54" i="40" s="1"/>
  <c r="H55" i="40"/>
  <c r="N55" i="40" s="1"/>
  <c r="N54" i="40" s="1"/>
  <c r="F55" i="40"/>
  <c r="L55" i="40" s="1"/>
  <c r="L54" i="40" s="1"/>
  <c r="C55" i="40"/>
  <c r="I54" i="40"/>
  <c r="H54" i="40"/>
  <c r="G54" i="40"/>
  <c r="E54" i="40"/>
  <c r="C54" i="40"/>
  <c r="J53" i="40"/>
  <c r="P53" i="40" s="1"/>
  <c r="H53" i="40"/>
  <c r="N53" i="40" s="1"/>
  <c r="F53" i="40"/>
  <c r="L53" i="40" s="1"/>
  <c r="C53" i="40"/>
  <c r="J52" i="40"/>
  <c r="P52" i="40" s="1"/>
  <c r="H52" i="40"/>
  <c r="N52" i="40" s="1"/>
  <c r="F52" i="40"/>
  <c r="L52" i="40" s="1"/>
  <c r="C52" i="40"/>
  <c r="J51" i="40"/>
  <c r="P51" i="40" s="1"/>
  <c r="H51" i="40"/>
  <c r="N51" i="40" s="1"/>
  <c r="F51" i="40"/>
  <c r="L51" i="40" s="1"/>
  <c r="C51" i="40"/>
  <c r="J50" i="40"/>
  <c r="P50" i="40" s="1"/>
  <c r="H50" i="40"/>
  <c r="N50" i="40" s="1"/>
  <c r="F50" i="40"/>
  <c r="L50" i="40" s="1"/>
  <c r="C50" i="40"/>
  <c r="J49" i="40"/>
  <c r="P49" i="40" s="1"/>
  <c r="H49" i="40"/>
  <c r="N49" i="40" s="1"/>
  <c r="F49" i="40"/>
  <c r="L49" i="40" s="1"/>
  <c r="C49" i="40"/>
  <c r="J48" i="40"/>
  <c r="P48" i="40" s="1"/>
  <c r="H48" i="40"/>
  <c r="N48" i="40" s="1"/>
  <c r="F48" i="40"/>
  <c r="L48" i="40" s="1"/>
  <c r="C48" i="40"/>
  <c r="J47" i="40"/>
  <c r="P47" i="40" s="1"/>
  <c r="H47" i="40"/>
  <c r="N47" i="40" s="1"/>
  <c r="F47" i="40"/>
  <c r="L47" i="40" s="1"/>
  <c r="C47" i="40"/>
  <c r="J46" i="40"/>
  <c r="P46" i="40" s="1"/>
  <c r="H46" i="40"/>
  <c r="N46" i="40" s="1"/>
  <c r="F46" i="40"/>
  <c r="L46" i="40" s="1"/>
  <c r="C46" i="40"/>
  <c r="J45" i="40"/>
  <c r="P45" i="40" s="1"/>
  <c r="H45" i="40"/>
  <c r="N45" i="40" s="1"/>
  <c r="F45" i="40"/>
  <c r="L45" i="40" s="1"/>
  <c r="C45" i="40"/>
  <c r="J44" i="40"/>
  <c r="P44" i="40" s="1"/>
  <c r="H44" i="40"/>
  <c r="N44" i="40" s="1"/>
  <c r="F44" i="40"/>
  <c r="L44" i="40" s="1"/>
  <c r="C44" i="40"/>
  <c r="I43" i="40"/>
  <c r="H43" i="40"/>
  <c r="N43" i="40" s="1"/>
  <c r="G43" i="40"/>
  <c r="E43" i="40"/>
  <c r="C43" i="40"/>
  <c r="J42" i="40"/>
  <c r="P42" i="40" s="1"/>
  <c r="H42" i="40"/>
  <c r="N42" i="40" s="1"/>
  <c r="F42" i="40"/>
  <c r="L42" i="40" s="1"/>
  <c r="C42" i="40"/>
  <c r="J41" i="40"/>
  <c r="P41" i="40" s="1"/>
  <c r="H41" i="40"/>
  <c r="N41" i="40" s="1"/>
  <c r="F41" i="40"/>
  <c r="L41" i="40" s="1"/>
  <c r="C41" i="40"/>
  <c r="J40" i="40"/>
  <c r="P40" i="40" s="1"/>
  <c r="H40" i="40"/>
  <c r="N40" i="40" s="1"/>
  <c r="F40" i="40"/>
  <c r="L40" i="40" s="1"/>
  <c r="C40" i="40"/>
  <c r="J39" i="40"/>
  <c r="P39" i="40" s="1"/>
  <c r="H39" i="40"/>
  <c r="N39" i="40" s="1"/>
  <c r="F39" i="40"/>
  <c r="L39" i="40" s="1"/>
  <c r="C39" i="40"/>
  <c r="J38" i="40"/>
  <c r="P38" i="40" s="1"/>
  <c r="H38" i="40"/>
  <c r="N38" i="40" s="1"/>
  <c r="F38" i="40"/>
  <c r="L38" i="40" s="1"/>
  <c r="C38" i="40"/>
  <c r="J37" i="40"/>
  <c r="P37" i="40" s="1"/>
  <c r="H37" i="40"/>
  <c r="N37" i="40" s="1"/>
  <c r="F37" i="40"/>
  <c r="L37" i="40" s="1"/>
  <c r="C37" i="40"/>
  <c r="J36" i="40"/>
  <c r="P36" i="40" s="1"/>
  <c r="H36" i="40"/>
  <c r="N36" i="40" s="1"/>
  <c r="F36" i="40"/>
  <c r="L36" i="40" s="1"/>
  <c r="C36" i="40"/>
  <c r="J35" i="40"/>
  <c r="P35" i="40" s="1"/>
  <c r="H35" i="40"/>
  <c r="N35" i="40" s="1"/>
  <c r="F35" i="40"/>
  <c r="L35" i="40" s="1"/>
  <c r="C35" i="40"/>
  <c r="J34" i="40"/>
  <c r="P34" i="40" s="1"/>
  <c r="H34" i="40"/>
  <c r="N34" i="40" s="1"/>
  <c r="F34" i="40"/>
  <c r="C34" i="40"/>
  <c r="J33" i="40"/>
  <c r="P33" i="40" s="1"/>
  <c r="H33" i="40"/>
  <c r="N33" i="40" s="1"/>
  <c r="F33" i="40"/>
  <c r="L33" i="40" s="1"/>
  <c r="C33" i="40"/>
  <c r="J32" i="40"/>
  <c r="P32" i="40" s="1"/>
  <c r="H32" i="40"/>
  <c r="N32" i="40" s="1"/>
  <c r="F32" i="40"/>
  <c r="L32" i="40" s="1"/>
  <c r="C32" i="40"/>
  <c r="J31" i="40"/>
  <c r="P31" i="40" s="1"/>
  <c r="H31" i="40"/>
  <c r="N31" i="40" s="1"/>
  <c r="F31" i="40"/>
  <c r="L31" i="40" s="1"/>
  <c r="D31" i="40"/>
  <c r="C31" i="40"/>
  <c r="J30" i="40"/>
  <c r="P30" i="40" s="1"/>
  <c r="I30" i="40"/>
  <c r="H30" i="40"/>
  <c r="N30" i="40" s="1"/>
  <c r="N29" i="40" s="1"/>
  <c r="G30" i="40"/>
  <c r="F30" i="40"/>
  <c r="L30" i="40" s="1"/>
  <c r="E30" i="40"/>
  <c r="D30" i="40"/>
  <c r="C30" i="40"/>
  <c r="I29" i="40"/>
  <c r="H29" i="40"/>
  <c r="G29" i="40"/>
  <c r="E29" i="40"/>
  <c r="C29" i="40"/>
  <c r="J28" i="40"/>
  <c r="P28" i="40" s="1"/>
  <c r="H28" i="40"/>
  <c r="N28" i="40" s="1"/>
  <c r="F28" i="40"/>
  <c r="L28" i="40" s="1"/>
  <c r="C28" i="40"/>
  <c r="J27" i="40"/>
  <c r="P27" i="40" s="1"/>
  <c r="P26" i="40" s="1"/>
  <c r="H27" i="40"/>
  <c r="N27" i="40" s="1"/>
  <c r="N26" i="40" s="1"/>
  <c r="F27" i="40"/>
  <c r="L27" i="40" s="1"/>
  <c r="L26" i="40" s="1"/>
  <c r="C27" i="40"/>
  <c r="J26" i="40"/>
  <c r="I26" i="40"/>
  <c r="H26" i="40"/>
  <c r="G26" i="40"/>
  <c r="F26" i="40"/>
  <c r="E26" i="40"/>
  <c r="D26" i="40"/>
  <c r="C26" i="40"/>
  <c r="J25" i="40"/>
  <c r="P25" i="40" s="1"/>
  <c r="H25" i="40"/>
  <c r="N25" i="40" s="1"/>
  <c r="F25" i="40"/>
  <c r="L25" i="40" s="1"/>
  <c r="C25" i="40"/>
  <c r="J24" i="40"/>
  <c r="P24" i="40" s="1"/>
  <c r="H24" i="40"/>
  <c r="N24" i="40" s="1"/>
  <c r="F24" i="40"/>
  <c r="L24" i="40" s="1"/>
  <c r="C24" i="40"/>
  <c r="J23" i="40"/>
  <c r="P23" i="40" s="1"/>
  <c r="H23" i="40"/>
  <c r="N23" i="40" s="1"/>
  <c r="F23" i="40"/>
  <c r="L23" i="40" s="1"/>
  <c r="C23" i="40"/>
  <c r="C21" i="40" s="1"/>
  <c r="J22" i="40"/>
  <c r="P22" i="40" s="1"/>
  <c r="P21" i="40" s="1"/>
  <c r="H22" i="40"/>
  <c r="N22" i="40" s="1"/>
  <c r="F22" i="40"/>
  <c r="L22" i="40" s="1"/>
  <c r="L21" i="40" s="1"/>
  <c r="C22" i="40"/>
  <c r="J21" i="40"/>
  <c r="I21" i="40"/>
  <c r="H21" i="40"/>
  <c r="G21" i="40"/>
  <c r="F21" i="40"/>
  <c r="E21" i="40"/>
  <c r="J20" i="40"/>
  <c r="P20" i="40" s="1"/>
  <c r="H20" i="40"/>
  <c r="N20" i="40" s="1"/>
  <c r="F20" i="40"/>
  <c r="L20" i="40" s="1"/>
  <c r="C20" i="40"/>
  <c r="C19" i="40" s="1"/>
  <c r="I19" i="40"/>
  <c r="H19" i="40"/>
  <c r="N19" i="40" s="1"/>
  <c r="G19" i="40"/>
  <c r="E19" i="40"/>
  <c r="I18" i="40"/>
  <c r="G18" i="40"/>
  <c r="E18" i="40"/>
  <c r="I17" i="40"/>
  <c r="G17" i="40"/>
  <c r="E17" i="40"/>
  <c r="I15" i="40"/>
  <c r="G15" i="40"/>
  <c r="E15" i="40"/>
  <c r="I14" i="40"/>
  <c r="G14" i="40"/>
  <c r="E14" i="40"/>
  <c r="C14" i="40" s="1"/>
  <c r="K18" i="40" l="1"/>
  <c r="K19" i="40"/>
  <c r="N21" i="40"/>
  <c r="D24" i="40"/>
  <c r="D27" i="40"/>
  <c r="K17" i="40"/>
  <c r="O17" i="40"/>
  <c r="O18" i="40"/>
  <c r="H18" i="40"/>
  <c r="D22" i="40"/>
  <c r="M17" i="40"/>
  <c r="C18" i="40"/>
  <c r="C17" i="40" s="1"/>
  <c r="C15" i="40" s="1"/>
  <c r="M18" i="40"/>
  <c r="M19" i="40"/>
  <c r="O19" i="40"/>
  <c r="K30" i="40"/>
  <c r="M30" i="40"/>
  <c r="O30" i="40"/>
  <c r="D33" i="40"/>
  <c r="D35" i="40"/>
  <c r="D37" i="40"/>
  <c r="D39" i="40"/>
  <c r="D41" i="40"/>
  <c r="F43" i="40"/>
  <c r="J43" i="40"/>
  <c r="D44" i="40"/>
  <c r="D46" i="40"/>
  <c r="D48" i="40"/>
  <c r="D50" i="40"/>
  <c r="D52" i="40"/>
  <c r="F54" i="40"/>
  <c r="J54" i="40"/>
  <c r="D55" i="40"/>
  <c r="N18" i="40"/>
  <c r="H17" i="40"/>
  <c r="M55" i="40"/>
  <c r="M52" i="40"/>
  <c r="M50" i="40"/>
  <c r="M48" i="40"/>
  <c r="M46" i="40"/>
  <c r="M44" i="40"/>
  <c r="M41" i="40"/>
  <c r="M39" i="40"/>
  <c r="M37" i="40"/>
  <c r="M35" i="40"/>
  <c r="M56" i="40"/>
  <c r="M53" i="40"/>
  <c r="M51" i="40"/>
  <c r="M49" i="40"/>
  <c r="M47" i="40"/>
  <c r="M45" i="40"/>
  <c r="M42" i="40"/>
  <c r="M40" i="40"/>
  <c r="M38" i="40"/>
  <c r="M36" i="40"/>
  <c r="M34" i="40"/>
  <c r="M32" i="40"/>
  <c r="K55" i="40"/>
  <c r="K52" i="40"/>
  <c r="K50" i="40"/>
  <c r="K48" i="40"/>
  <c r="K46" i="40"/>
  <c r="K44" i="40"/>
  <c r="K41" i="40"/>
  <c r="K39" i="40"/>
  <c r="K37" i="40"/>
  <c r="K35" i="40"/>
  <c r="K56" i="40"/>
  <c r="K53" i="40"/>
  <c r="K51" i="40"/>
  <c r="K49" i="40"/>
  <c r="K47" i="40"/>
  <c r="K45" i="40"/>
  <c r="K42" i="40"/>
  <c r="K40" i="40"/>
  <c r="K38" i="40"/>
  <c r="K36" i="40"/>
  <c r="K34" i="40"/>
  <c r="O55" i="40"/>
  <c r="O52" i="40"/>
  <c r="O50" i="40"/>
  <c r="O48" i="40"/>
  <c r="O46" i="40"/>
  <c r="O44" i="40"/>
  <c r="O41" i="40"/>
  <c r="O39" i="40"/>
  <c r="O37" i="40"/>
  <c r="O35" i="40"/>
  <c r="O56" i="40"/>
  <c r="O53" i="40"/>
  <c r="O51" i="40"/>
  <c r="O49" i="40"/>
  <c r="O47" i="40"/>
  <c r="O45" i="40"/>
  <c r="O42" i="40"/>
  <c r="O40" i="40"/>
  <c r="O38" i="40"/>
  <c r="O36" i="40"/>
  <c r="O34" i="40"/>
  <c r="O32" i="40"/>
  <c r="F19" i="40"/>
  <c r="J19" i="40"/>
  <c r="D20" i="40"/>
  <c r="D19" i="40" s="1"/>
  <c r="K20" i="40"/>
  <c r="M20" i="40"/>
  <c r="O20" i="40"/>
  <c r="D23" i="40"/>
  <c r="K23" i="40"/>
  <c r="M23" i="40"/>
  <c r="O23" i="40"/>
  <c r="D25" i="40"/>
  <c r="K25" i="40"/>
  <c r="M25" i="40"/>
  <c r="O25" i="40"/>
  <c r="D28" i="40"/>
  <c r="K28" i="40"/>
  <c r="M28" i="40"/>
  <c r="O28" i="40"/>
  <c r="D32" i="40"/>
  <c r="K32" i="40"/>
  <c r="M33" i="40"/>
  <c r="K22" i="40"/>
  <c r="M22" i="40"/>
  <c r="O22" i="40"/>
  <c r="K24" i="40"/>
  <c r="M24" i="40"/>
  <c r="O24" i="40"/>
  <c r="K27" i="40"/>
  <c r="K26" i="40" s="1"/>
  <c r="M27" i="40"/>
  <c r="M26" i="40" s="1"/>
  <c r="O27" i="40"/>
  <c r="O26" i="40" s="1"/>
  <c r="K31" i="40"/>
  <c r="M31" i="40"/>
  <c r="O31" i="40"/>
  <c r="K33" i="40"/>
  <c r="O33" i="40"/>
  <c r="L34" i="40"/>
  <c r="D34" i="40"/>
  <c r="K43" i="40"/>
  <c r="M43" i="40"/>
  <c r="O43" i="40"/>
  <c r="D36" i="40"/>
  <c r="D38" i="40"/>
  <c r="D40" i="40"/>
  <c r="D42" i="40"/>
  <c r="D45" i="40"/>
  <c r="D47" i="40"/>
  <c r="D49" i="40"/>
  <c r="D51" i="40"/>
  <c r="D53" i="40"/>
  <c r="D56" i="40"/>
  <c r="L43" i="40" l="1"/>
  <c r="L29" i="40" s="1"/>
  <c r="D43" i="40"/>
  <c r="F29" i="40"/>
  <c r="M21" i="40"/>
  <c r="D54" i="40"/>
  <c r="P43" i="40"/>
  <c r="P29" i="40" s="1"/>
  <c r="J29" i="40"/>
  <c r="D21" i="40"/>
  <c r="L19" i="40"/>
  <c r="F18" i="40"/>
  <c r="O54" i="40"/>
  <c r="O29" i="40" s="1"/>
  <c r="O15" i="40" s="1"/>
  <c r="N17" i="40"/>
  <c r="N15" i="40" s="1"/>
  <c r="H15" i="40"/>
  <c r="O21" i="40"/>
  <c r="K21" i="40"/>
  <c r="P19" i="40"/>
  <c r="J18" i="40"/>
  <c r="K54" i="40"/>
  <c r="K29" i="40" s="1"/>
  <c r="K15" i="40" s="1"/>
  <c r="M54" i="40"/>
  <c r="M29" i="40" s="1"/>
  <c r="M15" i="40" s="1"/>
  <c r="D29" i="40" l="1"/>
  <c r="L18" i="40"/>
  <c r="D18" i="40"/>
  <c r="D17" i="40" s="1"/>
  <c r="D15" i="40" s="1"/>
  <c r="F17" i="40"/>
  <c r="P18" i="40"/>
  <c r="J17" i="40"/>
  <c r="P17" i="40" l="1"/>
  <c r="P15" i="40" s="1"/>
  <c r="J15" i="40"/>
  <c r="L17" i="40"/>
  <c r="L15" i="40" s="1"/>
  <c r="F15" i="40"/>
  <c r="H15" i="11" l="1"/>
  <c r="H15" i="12"/>
  <c r="H68" i="38" l="1"/>
  <c r="H18" i="37" l="1"/>
  <c r="H19" i="37"/>
  <c r="H20" i="37"/>
  <c r="H21" i="37"/>
  <c r="H22" i="37"/>
  <c r="H23" i="37"/>
  <c r="H24" i="37"/>
  <c r="H25" i="37"/>
  <c r="H26" i="37"/>
  <c r="H27" i="37"/>
  <c r="H28" i="37"/>
  <c r="H29" i="37"/>
  <c r="H17" i="37"/>
  <c r="H126" i="38" l="1"/>
  <c r="H125" i="38"/>
  <c r="H124" i="38"/>
  <c r="H123" i="38"/>
  <c r="H122" i="38" s="1"/>
  <c r="G122" i="38"/>
  <c r="E122" i="38"/>
  <c r="H121" i="38"/>
  <c r="H120" i="38"/>
  <c r="H119" i="38"/>
  <c r="H118" i="38"/>
  <c r="H117" i="38"/>
  <c r="H116" i="38"/>
  <c r="H115" i="38"/>
  <c r="H114" i="38"/>
  <c r="H113" i="38"/>
  <c r="H112" i="38"/>
  <c r="H111" i="38"/>
  <c r="H110" i="38"/>
  <c r="G109" i="38"/>
  <c r="E109" i="38"/>
  <c r="H108" i="38"/>
  <c r="H107" i="38"/>
  <c r="H106" i="38"/>
  <c r="H105" i="38" s="1"/>
  <c r="G105" i="38"/>
  <c r="E105" i="38"/>
  <c r="H104" i="38"/>
  <c r="G102" i="38"/>
  <c r="H102" i="38" s="1"/>
  <c r="H101" i="38"/>
  <c r="H100" i="38"/>
  <c r="H99" i="38"/>
  <c r="H98" i="38"/>
  <c r="H97" i="38"/>
  <c r="H96" i="38"/>
  <c r="H95" i="38"/>
  <c r="H94" i="38"/>
  <c r="H93" i="38"/>
  <c r="H92" i="38"/>
  <c r="H91" i="38"/>
  <c r="H90" i="38"/>
  <c r="H89" i="38"/>
  <c r="H88" i="38"/>
  <c r="G87" i="38"/>
  <c r="E87" i="38"/>
  <c r="H85" i="38"/>
  <c r="H84" i="38"/>
  <c r="H83" i="38"/>
  <c r="H82" i="38"/>
  <c r="H81" i="38"/>
  <c r="G80" i="38"/>
  <c r="E80" i="38"/>
  <c r="H79" i="38"/>
  <c r="H78" i="38"/>
  <c r="H77" i="38"/>
  <c r="H76" i="38"/>
  <c r="H75" i="38"/>
  <c r="H74" i="38"/>
  <c r="H73" i="38"/>
  <c r="H72" i="38" s="1"/>
  <c r="G72" i="38"/>
  <c r="E72" i="38"/>
  <c r="H71" i="38"/>
  <c r="H70" i="38"/>
  <c r="H69" i="38"/>
  <c r="G67" i="38"/>
  <c r="E67" i="38"/>
  <c r="H66" i="38"/>
  <c r="H65" i="38"/>
  <c r="H64" i="38"/>
  <c r="H63" i="38"/>
  <c r="H62" i="38"/>
  <c r="H61" i="38"/>
  <c r="H60" i="38"/>
  <c r="H59" i="38"/>
  <c r="H57" i="38"/>
  <c r="G56" i="38"/>
  <c r="E56" i="38"/>
  <c r="H55" i="38"/>
  <c r="H54" i="38"/>
  <c r="H53" i="38"/>
  <c r="H52" i="38"/>
  <c r="H51" i="38"/>
  <c r="H50" i="38"/>
  <c r="H49" i="38"/>
  <c r="H48" i="38"/>
  <c r="H47" i="38"/>
  <c r="H46" i="38"/>
  <c r="H45" i="38"/>
  <c r="H44" i="38"/>
  <c r="H43" i="38"/>
  <c r="H41" i="38"/>
  <c r="H40" i="38"/>
  <c r="H39" i="38"/>
  <c r="G38" i="38"/>
  <c r="E38" i="38"/>
  <c r="H37" i="38"/>
  <c r="H36" i="38"/>
  <c r="H34" i="38"/>
  <c r="H33" i="38"/>
  <c r="H32" i="38"/>
  <c r="H31" i="38"/>
  <c r="H30" i="38"/>
  <c r="G29" i="38"/>
  <c r="E29" i="38"/>
  <c r="H26" i="38"/>
  <c r="H25" i="38"/>
  <c r="H24" i="38"/>
  <c r="H23" i="38"/>
  <c r="H22" i="38"/>
  <c r="H19" i="38"/>
  <c r="H18" i="38"/>
  <c r="H17" i="38"/>
  <c r="H16" i="38"/>
  <c r="H15" i="38"/>
  <c r="H14" i="38"/>
  <c r="G13" i="38"/>
  <c r="G12" i="38" s="1"/>
  <c r="E13" i="38"/>
  <c r="E12" i="38" s="1"/>
  <c r="D12" i="38"/>
  <c r="D98" i="38" s="1"/>
  <c r="C12" i="38"/>
  <c r="C98" i="38" s="1"/>
  <c r="H80" i="38" l="1"/>
  <c r="H38" i="38"/>
  <c r="H67" i="38"/>
  <c r="H13" i="38"/>
  <c r="H56" i="38"/>
  <c r="H109" i="38"/>
  <c r="H29" i="38"/>
  <c r="H87" i="38"/>
  <c r="H66" i="37"/>
  <c r="H65" i="37" s="1"/>
  <c r="G65" i="37"/>
  <c r="F65" i="37"/>
  <c r="E65" i="37"/>
  <c r="H61" i="37"/>
  <c r="H60" i="37"/>
  <c r="H59" i="37"/>
  <c r="H57" i="37"/>
  <c r="H56" i="37"/>
  <c r="G53" i="37"/>
  <c r="E53" i="37"/>
  <c r="D53" i="37"/>
  <c r="C53" i="37"/>
  <c r="H47" i="37"/>
  <c r="H46" i="37"/>
  <c r="H44" i="37"/>
  <c r="H42" i="37"/>
  <c r="H39" i="37"/>
  <c r="H38" i="37"/>
  <c r="H35" i="37" s="1"/>
  <c r="G35" i="37"/>
  <c r="E35" i="37"/>
  <c r="D35" i="37"/>
  <c r="C35" i="37"/>
  <c r="H14" i="37"/>
  <c r="G14" i="37"/>
  <c r="G68" i="37" s="1"/>
  <c r="E14" i="37"/>
  <c r="E68" i="37" s="1"/>
  <c r="D14" i="37"/>
  <c r="C14" i="37"/>
  <c r="C68" i="37" s="1"/>
  <c r="C65" i="37" s="1"/>
  <c r="H12" i="38" l="1"/>
  <c r="H53" i="37"/>
  <c r="H68" i="37" s="1"/>
  <c r="D68" i="37"/>
  <c r="D65" i="37" s="1"/>
  <c r="E14" i="29"/>
  <c r="D20" i="29"/>
  <c r="C20" i="29"/>
  <c r="D19" i="29"/>
  <c r="D14" i="29" s="1"/>
  <c r="C19" i="29"/>
  <c r="C14" i="29" s="1"/>
  <c r="G15" i="11" l="1"/>
  <c r="D15" i="11"/>
  <c r="E15" i="11"/>
  <c r="C15" i="11"/>
  <c r="H34" i="11"/>
  <c r="K43" i="5" l="1"/>
  <c r="G43" i="5"/>
  <c r="G23" i="5"/>
  <c r="G34" i="18"/>
  <c r="D185" i="18"/>
  <c r="C13" i="32" l="1"/>
  <c r="D13" i="32"/>
  <c r="E13" i="32"/>
  <c r="G13" i="32"/>
  <c r="H25" i="32"/>
  <c r="G252" i="36" l="1"/>
  <c r="C252" i="36"/>
  <c r="G27" i="20" l="1"/>
  <c r="E27" i="20"/>
  <c r="G19" i="19"/>
  <c r="G39" i="13"/>
  <c r="H37" i="9" l="1"/>
  <c r="H62" i="9"/>
  <c r="H61" i="9"/>
  <c r="G26" i="10" l="1"/>
  <c r="L39" i="5" l="1"/>
  <c r="L33" i="5"/>
  <c r="L34" i="5"/>
  <c r="L35" i="5"/>
  <c r="L36" i="5"/>
  <c r="L37" i="5"/>
  <c r="L32" i="5"/>
  <c r="L30" i="5"/>
  <c r="L27" i="5"/>
  <c r="L23" i="5"/>
  <c r="L24" i="5"/>
  <c r="L25" i="5"/>
  <c r="L16" i="5"/>
  <c r="L18" i="5"/>
  <c r="L19" i="5"/>
  <c r="L20" i="5"/>
  <c r="L15" i="5"/>
  <c r="G38" i="29" l="1"/>
  <c r="G39" i="29"/>
  <c r="G40" i="29"/>
  <c r="G41" i="29"/>
  <c r="G33" i="29"/>
  <c r="G34" i="29"/>
  <c r="G35" i="29"/>
  <c r="G36" i="29"/>
  <c r="G37" i="29"/>
  <c r="G32" i="29"/>
  <c r="G29" i="29"/>
  <c r="G24" i="29"/>
  <c r="G23" i="29"/>
  <c r="G21" i="29"/>
  <c r="G17" i="29"/>
  <c r="G16" i="29"/>
  <c r="G14" i="29" l="1"/>
  <c r="G66" i="16" l="1"/>
  <c r="H89" i="16"/>
  <c r="G31" i="5"/>
  <c r="G26" i="5"/>
  <c r="K21" i="5"/>
  <c r="K22" i="5"/>
  <c r="G21" i="5"/>
  <c r="G26" i="32" l="1"/>
  <c r="E26" i="32" l="1"/>
  <c r="E29" i="30"/>
  <c r="E31" i="30" l="1"/>
  <c r="I276" i="8"/>
  <c r="G191" i="16" l="1"/>
  <c r="H221" i="16"/>
  <c r="I271" i="8" l="1"/>
  <c r="I237" i="8"/>
  <c r="I236" i="8"/>
  <c r="G17" i="19" l="1"/>
  <c r="H19" i="19"/>
  <c r="H20" i="19"/>
  <c r="H21" i="19"/>
  <c r="H22" i="19"/>
  <c r="H23" i="19"/>
  <c r="H24" i="19"/>
  <c r="H25" i="19"/>
  <c r="H26" i="19"/>
  <c r="H27" i="19"/>
  <c r="E17" i="19"/>
  <c r="H15" i="32" l="1"/>
  <c r="H16" i="32"/>
  <c r="H17" i="32"/>
  <c r="H18" i="32"/>
  <c r="H19" i="32"/>
  <c r="H20" i="32"/>
  <c r="H21" i="32"/>
  <c r="H22" i="32"/>
  <c r="H23" i="32"/>
  <c r="H24" i="32"/>
  <c r="H14" i="32"/>
  <c r="D26" i="32"/>
  <c r="C26" i="32"/>
  <c r="G193" i="18"/>
  <c r="E193" i="18"/>
  <c r="H196" i="18"/>
  <c r="G120" i="18"/>
  <c r="H128" i="18"/>
  <c r="E120" i="18"/>
  <c r="H13" i="32" l="1"/>
  <c r="G79" i="18"/>
  <c r="E79" i="18"/>
  <c r="H87" i="18"/>
  <c r="G63" i="18"/>
  <c r="E63" i="18"/>
  <c r="H67" i="18"/>
  <c r="H68" i="18"/>
  <c r="H69" i="18"/>
  <c r="H70" i="18"/>
  <c r="H71" i="18"/>
  <c r="H72" i="18"/>
  <c r="H73" i="18"/>
  <c r="H74" i="18"/>
  <c r="H65" i="18"/>
  <c r="H66" i="18"/>
  <c r="G23" i="18"/>
  <c r="E23" i="18"/>
  <c r="G15" i="18"/>
  <c r="H26" i="32" l="1"/>
  <c r="D17" i="19" l="1"/>
  <c r="C17" i="19"/>
  <c r="H33" i="11" l="1"/>
  <c r="D120" i="18"/>
  <c r="C120" i="18"/>
  <c r="G97" i="13"/>
  <c r="G99" i="13"/>
  <c r="D63" i="18"/>
  <c r="C63" i="18"/>
  <c r="G113" i="18"/>
  <c r="D79" i="18"/>
  <c r="C79" i="18"/>
  <c r="D193" i="18"/>
  <c r="C193" i="18"/>
  <c r="C23" i="18"/>
  <c r="D23" i="18"/>
  <c r="H26" i="18"/>
  <c r="H48" i="29" l="1"/>
  <c r="H47" i="29" s="1"/>
  <c r="G47" i="29"/>
  <c r="E47" i="29"/>
  <c r="E50" i="29" l="1"/>
  <c r="M264" i="36"/>
  <c r="M263" i="36"/>
  <c r="M254" i="36"/>
  <c r="M255" i="36"/>
  <c r="M256" i="36"/>
  <c r="M257" i="36"/>
  <c r="M258" i="36"/>
  <c r="M253" i="36"/>
  <c r="M224" i="36"/>
  <c r="M225" i="36"/>
  <c r="M226" i="36"/>
  <c r="M227" i="36"/>
  <c r="M228" i="36"/>
  <c r="M229" i="36"/>
  <c r="M223" i="36"/>
  <c r="M17" i="36"/>
  <c r="K394" i="36" l="1"/>
  <c r="K386" i="36"/>
  <c r="K352" i="36"/>
  <c r="K349" i="36" s="1"/>
  <c r="J352" i="36"/>
  <c r="J349" i="36"/>
  <c r="J344" i="36"/>
  <c r="J338" i="36" s="1"/>
  <c r="J334" i="36"/>
  <c r="J330" i="36"/>
  <c r="J326" i="36"/>
  <c r="J322" i="36"/>
  <c r="J317" i="36"/>
  <c r="J314" i="36"/>
  <c r="J311" i="36"/>
  <c r="J308" i="36"/>
  <c r="J305" i="36"/>
  <c r="J302" i="36"/>
  <c r="J299" i="36"/>
  <c r="J295" i="36"/>
  <c r="J291" i="36"/>
  <c r="J285" i="36"/>
  <c r="J279" i="36"/>
  <c r="J270" i="36"/>
  <c r="K266" i="36"/>
  <c r="J266" i="36"/>
  <c r="J252" i="36"/>
  <c r="J246" i="36"/>
  <c r="J240" i="36"/>
  <c r="J234" i="36"/>
  <c r="J230" i="36"/>
  <c r="J222" i="36"/>
  <c r="K218" i="36"/>
  <c r="J218" i="36"/>
  <c r="K214" i="36"/>
  <c r="J214" i="36"/>
  <c r="K211" i="36"/>
  <c r="J211" i="36"/>
  <c r="J205" i="36"/>
  <c r="J201" i="36"/>
  <c r="K194" i="36"/>
  <c r="J191" i="36"/>
  <c r="J188" i="36"/>
  <c r="J183" i="36"/>
  <c r="J178" i="36"/>
  <c r="J171" i="36"/>
  <c r="J165" i="36"/>
  <c r="J160" i="36"/>
  <c r="J153" i="36"/>
  <c r="J151" i="36"/>
  <c r="J141" i="36"/>
  <c r="J136" i="36"/>
  <c r="J130" i="36"/>
  <c r="J123" i="36"/>
  <c r="J117" i="36"/>
  <c r="J112" i="36"/>
  <c r="J108" i="36"/>
  <c r="J104" i="36"/>
  <c r="J101" i="36"/>
  <c r="J96" i="36"/>
  <c r="J93" i="36"/>
  <c r="J89" i="36"/>
  <c r="J87" i="36"/>
  <c r="J83" i="36"/>
  <c r="J77" i="36"/>
  <c r="J71" i="36"/>
  <c r="J64" i="36"/>
  <c r="J59" i="36"/>
  <c r="J56" i="36"/>
  <c r="J51" i="36"/>
  <c r="J44" i="36"/>
  <c r="J22" i="36"/>
  <c r="J16" i="36"/>
  <c r="J15" i="36" s="1"/>
  <c r="L405" i="36" l="1"/>
  <c r="L404" i="36"/>
  <c r="L403" i="36"/>
  <c r="L402" i="36"/>
  <c r="L401" i="36"/>
  <c r="L398" i="36"/>
  <c r="L397" i="36"/>
  <c r="L396" i="36"/>
  <c r="L395" i="36"/>
  <c r="L393" i="36"/>
  <c r="L392" i="36"/>
  <c r="L388" i="36"/>
  <c r="L389" i="36"/>
  <c r="L390" i="36"/>
  <c r="L387" i="36"/>
  <c r="L385" i="36"/>
  <c r="L384" i="36"/>
  <c r="L381" i="36"/>
  <c r="L382" i="36"/>
  <c r="L380" i="36"/>
  <c r="L378" i="36"/>
  <c r="L368" i="36"/>
  <c r="L369" i="36"/>
  <c r="L370" i="36"/>
  <c r="L371" i="36"/>
  <c r="L372" i="36"/>
  <c r="L373" i="36"/>
  <c r="L374" i="36"/>
  <c r="L375" i="36"/>
  <c r="L376" i="36"/>
  <c r="L377" i="36"/>
  <c r="L360" i="36"/>
  <c r="L361" i="36"/>
  <c r="L362" i="36"/>
  <c r="L363" i="36"/>
  <c r="L364" i="36"/>
  <c r="L365" i="36"/>
  <c r="L366" i="36"/>
  <c r="L367" i="36"/>
  <c r="L359" i="36"/>
  <c r="L358" i="36"/>
  <c r="L357" i="36"/>
  <c r="L356" i="36"/>
  <c r="L354" i="36"/>
  <c r="L355" i="36"/>
  <c r="L353" i="36"/>
  <c r="L351" i="36"/>
  <c r="L350" i="36"/>
  <c r="L346" i="36"/>
  <c r="L347" i="36"/>
  <c r="L348" i="36"/>
  <c r="L345" i="36"/>
  <c r="L340" i="36"/>
  <c r="L341" i="36"/>
  <c r="L342" i="36"/>
  <c r="L343" i="36"/>
  <c r="L339" i="36"/>
  <c r="L336" i="36"/>
  <c r="L337" i="36"/>
  <c r="L335" i="36"/>
  <c r="L332" i="36"/>
  <c r="L333" i="36"/>
  <c r="L331" i="36"/>
  <c r="L328" i="36"/>
  <c r="L329" i="36"/>
  <c r="L327" i="36"/>
  <c r="L324" i="36"/>
  <c r="L325" i="36"/>
  <c r="L323" i="36"/>
  <c r="L319" i="36"/>
  <c r="L320" i="36"/>
  <c r="L321" i="36"/>
  <c r="L318" i="36"/>
  <c r="L316" i="36"/>
  <c r="L315" i="36"/>
  <c r="L313" i="36"/>
  <c r="L312" i="36"/>
  <c r="L310" i="36"/>
  <c r="L309" i="36"/>
  <c r="L307" i="36"/>
  <c r="L306" i="36"/>
  <c r="L304" i="36"/>
  <c r="L303" i="36"/>
  <c r="L301" i="36"/>
  <c r="L300" i="36"/>
  <c r="L297" i="36"/>
  <c r="L298" i="36"/>
  <c r="L296" i="36"/>
  <c r="L293" i="36"/>
  <c r="L294" i="36"/>
  <c r="L292" i="36"/>
  <c r="L287" i="36"/>
  <c r="L288" i="36"/>
  <c r="L289" i="36"/>
  <c r="L290" i="36"/>
  <c r="L286" i="36"/>
  <c r="L281" i="36"/>
  <c r="L282" i="36"/>
  <c r="L283" i="36"/>
  <c r="L284" i="36"/>
  <c r="L280" i="36"/>
  <c r="L278" i="36"/>
  <c r="L276" i="36"/>
  <c r="L277" i="36"/>
  <c r="L275" i="36"/>
  <c r="L272" i="36"/>
  <c r="L273" i="36"/>
  <c r="L271" i="36"/>
  <c r="L268" i="36"/>
  <c r="L269" i="36"/>
  <c r="L267" i="36"/>
  <c r="L265" i="36"/>
  <c r="L264" i="36"/>
  <c r="L263" i="36"/>
  <c r="L260" i="36"/>
  <c r="L261" i="36"/>
  <c r="L262" i="36"/>
  <c r="L259" i="36"/>
  <c r="L254" i="36"/>
  <c r="L255" i="36"/>
  <c r="L256" i="36"/>
  <c r="L257" i="36"/>
  <c r="L258" i="36"/>
  <c r="L253" i="36"/>
  <c r="L248" i="36"/>
  <c r="L249" i="36"/>
  <c r="L250" i="36"/>
  <c r="L251" i="36"/>
  <c r="L247" i="36"/>
  <c r="L242" i="36"/>
  <c r="L243" i="36"/>
  <c r="L244" i="36"/>
  <c r="L245" i="36"/>
  <c r="L241" i="36"/>
  <c r="L236" i="36"/>
  <c r="L237" i="36"/>
  <c r="L238" i="36"/>
  <c r="L239" i="36"/>
  <c r="L235" i="36"/>
  <c r="L232" i="36"/>
  <c r="L233" i="36"/>
  <c r="L231" i="36"/>
  <c r="L224" i="36"/>
  <c r="L225" i="36"/>
  <c r="L226" i="36"/>
  <c r="L227" i="36"/>
  <c r="L228" i="36"/>
  <c r="L229" i="36"/>
  <c r="L223" i="36"/>
  <c r="L220" i="36"/>
  <c r="L221" i="36"/>
  <c r="L219" i="36"/>
  <c r="L216" i="36"/>
  <c r="L217" i="36"/>
  <c r="L215" i="36"/>
  <c r="L213" i="36"/>
  <c r="L212" i="36"/>
  <c r="L207" i="36"/>
  <c r="L208" i="36"/>
  <c r="L209" i="36"/>
  <c r="L210" i="36"/>
  <c r="L206" i="36"/>
  <c r="L203" i="36"/>
  <c r="L204" i="36"/>
  <c r="L202" i="36"/>
  <c r="L196" i="36"/>
  <c r="L197" i="36"/>
  <c r="L198" i="36"/>
  <c r="L199" i="36"/>
  <c r="L200" i="36"/>
  <c r="L195" i="36"/>
  <c r="L193" i="36"/>
  <c r="L192" i="36"/>
  <c r="L190" i="36"/>
  <c r="L189" i="36"/>
  <c r="L185" i="36"/>
  <c r="L186" i="36"/>
  <c r="L187" i="36"/>
  <c r="L184" i="36"/>
  <c r="L180" i="36"/>
  <c r="L181" i="36"/>
  <c r="L182" i="36"/>
  <c r="L179" i="36"/>
  <c r="L173" i="36"/>
  <c r="L174" i="36"/>
  <c r="L175" i="36"/>
  <c r="L176" i="36"/>
  <c r="L177" i="36"/>
  <c r="L172" i="36"/>
  <c r="L167" i="36"/>
  <c r="L168" i="36"/>
  <c r="L169" i="36"/>
  <c r="L170" i="36"/>
  <c r="L166" i="36"/>
  <c r="L162" i="36"/>
  <c r="L163" i="36"/>
  <c r="L164" i="36"/>
  <c r="L161" i="36"/>
  <c r="L155" i="36"/>
  <c r="L156" i="36"/>
  <c r="L157" i="36"/>
  <c r="L158" i="36"/>
  <c r="L159" i="36"/>
  <c r="L154" i="36"/>
  <c r="L152" i="36"/>
  <c r="L151" i="36" s="1"/>
  <c r="L148" i="36"/>
  <c r="L149" i="36"/>
  <c r="L150" i="36"/>
  <c r="L147" i="36"/>
  <c r="L143" i="36"/>
  <c r="L144" i="36"/>
  <c r="L145" i="36"/>
  <c r="L142" i="36"/>
  <c r="L138" i="36"/>
  <c r="L139" i="36"/>
  <c r="L140" i="36"/>
  <c r="L137" i="36"/>
  <c r="L132" i="36"/>
  <c r="L133" i="36"/>
  <c r="L134" i="36"/>
  <c r="L135" i="36"/>
  <c r="L131" i="36"/>
  <c r="L125" i="36"/>
  <c r="L126" i="36"/>
  <c r="L127" i="36"/>
  <c r="L128" i="36"/>
  <c r="L129" i="36"/>
  <c r="L124" i="36"/>
  <c r="L119" i="36"/>
  <c r="L120" i="36"/>
  <c r="L121" i="36"/>
  <c r="L122" i="36"/>
  <c r="L118" i="36"/>
  <c r="L114" i="36"/>
  <c r="L115" i="36"/>
  <c r="L116" i="36"/>
  <c r="L113" i="36"/>
  <c r="L110" i="36"/>
  <c r="L111" i="36"/>
  <c r="L109" i="36"/>
  <c r="L106" i="36"/>
  <c r="L107" i="36"/>
  <c r="L105" i="36"/>
  <c r="L103" i="36"/>
  <c r="L102" i="36"/>
  <c r="L98" i="36"/>
  <c r="L99" i="36"/>
  <c r="L97" i="36"/>
  <c r="L95" i="36"/>
  <c r="L94" i="36"/>
  <c r="L93" i="36" s="1"/>
  <c r="L91" i="36"/>
  <c r="L92" i="36"/>
  <c r="L90" i="36"/>
  <c r="L88" i="36"/>
  <c r="L87" i="36" s="1"/>
  <c r="L85" i="36"/>
  <c r="L86" i="36"/>
  <c r="L84" i="36"/>
  <c r="L83" i="36" s="1"/>
  <c r="L31" i="36"/>
  <c r="L32" i="36"/>
  <c r="L33" i="36"/>
  <c r="L34" i="36"/>
  <c r="L35" i="36"/>
  <c r="L36" i="36"/>
  <c r="L37" i="36"/>
  <c r="L38" i="36"/>
  <c r="L39" i="36"/>
  <c r="L40" i="36"/>
  <c r="L41" i="36"/>
  <c r="L42" i="36"/>
  <c r="L30" i="36"/>
  <c r="K16" i="36"/>
  <c r="L188" i="36" l="1"/>
  <c r="L302" i="36"/>
  <c r="L96" i="36"/>
  <c r="L214" i="36"/>
  <c r="L108" i="36"/>
  <c r="L123" i="36"/>
  <c r="L153" i="36"/>
  <c r="L218" i="36"/>
  <c r="L252" i="36"/>
  <c r="L270" i="36"/>
  <c r="L285" i="36"/>
  <c r="L295" i="36"/>
  <c r="L334" i="36"/>
  <c r="L344" i="36"/>
  <c r="L104" i="36"/>
  <c r="L178" i="36"/>
  <c r="L183" i="36"/>
  <c r="L194" i="36"/>
  <c r="L234" i="36"/>
  <c r="L266" i="36"/>
  <c r="L291" i="36"/>
  <c r="L308" i="36"/>
  <c r="L314" i="36"/>
  <c r="L330" i="36"/>
  <c r="L386" i="36"/>
  <c r="L130" i="36"/>
  <c r="L160" i="36"/>
  <c r="L165" i="36"/>
  <c r="L205" i="36"/>
  <c r="L230" i="36"/>
  <c r="L240" i="36"/>
  <c r="L326" i="36"/>
  <c r="L352" i="36"/>
  <c r="L349" i="36" s="1"/>
  <c r="L89" i="36"/>
  <c r="L101" i="36"/>
  <c r="L112" i="36"/>
  <c r="L117" i="36"/>
  <c r="L136" i="36"/>
  <c r="L141" i="36"/>
  <c r="L171" i="36"/>
  <c r="L191" i="36"/>
  <c r="L201" i="36"/>
  <c r="L211" i="36"/>
  <c r="L222" i="36"/>
  <c r="L246" i="36"/>
  <c r="L279" i="36"/>
  <c r="L299" i="36"/>
  <c r="L305" i="36"/>
  <c r="L311" i="36"/>
  <c r="L317" i="36"/>
  <c r="L322" i="36"/>
  <c r="L338" i="36"/>
  <c r="L394" i="36"/>
  <c r="E71" i="23" l="1"/>
  <c r="E30" i="23" l="1"/>
  <c r="E82" i="23"/>
  <c r="M18" i="36" l="1"/>
  <c r="M19" i="36"/>
  <c r="M20" i="36"/>
  <c r="M21" i="36"/>
  <c r="L24" i="36"/>
  <c r="L25" i="36"/>
  <c r="L26" i="36"/>
  <c r="L27" i="36"/>
  <c r="L18" i="36"/>
  <c r="L19" i="36"/>
  <c r="L20" i="36"/>
  <c r="L21" i="36"/>
  <c r="M79" i="36" l="1"/>
  <c r="M80" i="36"/>
  <c r="M81" i="36"/>
  <c r="M82" i="36"/>
  <c r="M78" i="36"/>
  <c r="L79" i="36"/>
  <c r="L80" i="36"/>
  <c r="L81" i="36"/>
  <c r="L82" i="36"/>
  <c r="M73" i="36"/>
  <c r="M74" i="36"/>
  <c r="M75" i="36"/>
  <c r="M76" i="36"/>
  <c r="M72" i="36"/>
  <c r="L73" i="36"/>
  <c r="L74" i="36"/>
  <c r="L75" i="36"/>
  <c r="L76" i="36"/>
  <c r="M66" i="36"/>
  <c r="M67" i="36"/>
  <c r="M68" i="36"/>
  <c r="M69" i="36"/>
  <c r="M70" i="36"/>
  <c r="M65" i="36"/>
  <c r="L66" i="36"/>
  <c r="L67" i="36"/>
  <c r="L68" i="36"/>
  <c r="L69" i="36"/>
  <c r="L70" i="36"/>
  <c r="M61" i="36"/>
  <c r="M62" i="36"/>
  <c r="M63" i="36"/>
  <c r="M60" i="36"/>
  <c r="L61" i="36"/>
  <c r="L62" i="36"/>
  <c r="L63" i="36"/>
  <c r="L78" i="36"/>
  <c r="L72" i="36"/>
  <c r="L71" i="36" s="1"/>
  <c r="L65" i="36"/>
  <c r="L60" i="36"/>
  <c r="M58" i="36"/>
  <c r="M57" i="36"/>
  <c r="L58" i="36"/>
  <c r="L57" i="36"/>
  <c r="L56" i="36" s="1"/>
  <c r="M53" i="36"/>
  <c r="M54" i="36"/>
  <c r="M55" i="36"/>
  <c r="M52" i="36"/>
  <c r="L53" i="36"/>
  <c r="L54" i="36"/>
  <c r="L55" i="36"/>
  <c r="L52" i="36"/>
  <c r="M46" i="36"/>
  <c r="M47" i="36"/>
  <c r="M48" i="36"/>
  <c r="M49" i="36"/>
  <c r="M50" i="36"/>
  <c r="M45" i="36"/>
  <c r="L46" i="36"/>
  <c r="L47" i="36"/>
  <c r="L48" i="36"/>
  <c r="L49" i="36"/>
  <c r="L50" i="36"/>
  <c r="L45" i="36"/>
  <c r="M31" i="36"/>
  <c r="M32" i="36"/>
  <c r="M33" i="36"/>
  <c r="M34" i="36"/>
  <c r="M35" i="36"/>
  <c r="M36" i="36"/>
  <c r="M37" i="36"/>
  <c r="M38" i="36"/>
  <c r="M39" i="36"/>
  <c r="M40" i="36"/>
  <c r="M41" i="36"/>
  <c r="M42" i="36"/>
  <c r="M30" i="36"/>
  <c r="M24" i="36"/>
  <c r="M25" i="36"/>
  <c r="M26" i="36"/>
  <c r="M27" i="36"/>
  <c r="M23" i="36"/>
  <c r="L23" i="36"/>
  <c r="M16" i="36"/>
  <c r="L17" i="36"/>
  <c r="M386" i="36"/>
  <c r="J386" i="36"/>
  <c r="M352" i="36"/>
  <c r="K153" i="36"/>
  <c r="M153" i="36"/>
  <c r="L22" i="36" l="1"/>
  <c r="L64" i="36"/>
  <c r="L16" i="36"/>
  <c r="L15" i="36" s="1"/>
  <c r="L77" i="36"/>
  <c r="L44" i="36"/>
  <c r="L51" i="36"/>
  <c r="L59" i="36"/>
  <c r="M400" i="36"/>
  <c r="M399" i="36" s="1"/>
  <c r="L400" i="36"/>
  <c r="L399" i="36" s="1"/>
  <c r="K400" i="36"/>
  <c r="J400" i="36"/>
  <c r="J399" i="36" s="1"/>
  <c r="H400" i="36"/>
  <c r="G400" i="36"/>
  <c r="G399" i="36" s="1"/>
  <c r="F400" i="36"/>
  <c r="E400" i="36"/>
  <c r="D400" i="36"/>
  <c r="C400" i="36"/>
  <c r="C399" i="36" s="1"/>
  <c r="K399" i="36"/>
  <c r="H399" i="36"/>
  <c r="F399" i="36"/>
  <c r="E399" i="36"/>
  <c r="D399" i="36"/>
  <c r="M394" i="36"/>
  <c r="J394" i="36"/>
  <c r="H394" i="36"/>
  <c r="G394" i="36"/>
  <c r="F394" i="36"/>
  <c r="E394" i="36"/>
  <c r="D394" i="36"/>
  <c r="C394" i="36"/>
  <c r="H386" i="36"/>
  <c r="G386" i="36"/>
  <c r="F386" i="36"/>
  <c r="E386" i="36"/>
  <c r="D386" i="36"/>
  <c r="C386" i="36"/>
  <c r="M383" i="36"/>
  <c r="M379" i="36" s="1"/>
  <c r="L383" i="36"/>
  <c r="L379" i="36" s="1"/>
  <c r="K383" i="36"/>
  <c r="K379" i="36" s="1"/>
  <c r="J383" i="36"/>
  <c r="J379" i="36" s="1"/>
  <c r="H383" i="36"/>
  <c r="H379" i="36" s="1"/>
  <c r="G383" i="36"/>
  <c r="G379" i="36" s="1"/>
  <c r="F383" i="36"/>
  <c r="E383" i="36"/>
  <c r="E379" i="36" s="1"/>
  <c r="D383" i="36"/>
  <c r="C383" i="36"/>
  <c r="C379" i="36" s="1"/>
  <c r="F379" i="36"/>
  <c r="D379" i="36"/>
  <c r="H352" i="36"/>
  <c r="H349" i="36" s="1"/>
  <c r="G352" i="36"/>
  <c r="F352" i="36"/>
  <c r="E352" i="36"/>
  <c r="E349" i="36" s="1"/>
  <c r="D352" i="36"/>
  <c r="C352" i="36"/>
  <c r="C349" i="36" s="1"/>
  <c r="M349" i="36"/>
  <c r="G349" i="36"/>
  <c r="M344" i="36"/>
  <c r="M338" i="36" s="1"/>
  <c r="K344" i="36"/>
  <c r="K338" i="36" s="1"/>
  <c r="H344" i="36"/>
  <c r="G344" i="36"/>
  <c r="G338" i="36" s="1"/>
  <c r="F344" i="36"/>
  <c r="E344" i="36"/>
  <c r="D344" i="36"/>
  <c r="C344" i="36"/>
  <c r="H338" i="36"/>
  <c r="F338" i="36"/>
  <c r="E338" i="36"/>
  <c r="D338" i="36"/>
  <c r="C338" i="36"/>
  <c r="M334" i="36"/>
  <c r="K334" i="36"/>
  <c r="H334" i="36"/>
  <c r="G334" i="36"/>
  <c r="F334" i="36"/>
  <c r="E334" i="36"/>
  <c r="D334" i="36"/>
  <c r="C334" i="36"/>
  <c r="M330" i="36"/>
  <c r="K330" i="36"/>
  <c r="H330" i="36"/>
  <c r="G330" i="36"/>
  <c r="F330" i="36"/>
  <c r="E330" i="36"/>
  <c r="D330" i="36"/>
  <c r="C330" i="36"/>
  <c r="M326" i="36"/>
  <c r="K326" i="36"/>
  <c r="H326" i="36"/>
  <c r="G326" i="36"/>
  <c r="F326" i="36"/>
  <c r="E326" i="36"/>
  <c r="D326" i="36"/>
  <c r="C326" i="36"/>
  <c r="M322" i="36"/>
  <c r="K322" i="36"/>
  <c r="H322" i="36"/>
  <c r="G322" i="36"/>
  <c r="F322" i="36"/>
  <c r="E322" i="36"/>
  <c r="D322" i="36"/>
  <c r="C322" i="36"/>
  <c r="M317" i="36"/>
  <c r="K317" i="36"/>
  <c r="H317" i="36"/>
  <c r="G317" i="36"/>
  <c r="F317" i="36"/>
  <c r="E317" i="36"/>
  <c r="D317" i="36"/>
  <c r="C317" i="36"/>
  <c r="M314" i="36"/>
  <c r="K314" i="36"/>
  <c r="H314" i="36"/>
  <c r="G314" i="36"/>
  <c r="F314" i="36"/>
  <c r="E314" i="36"/>
  <c r="D314" i="36"/>
  <c r="C314" i="36"/>
  <c r="M311" i="36"/>
  <c r="K311" i="36"/>
  <c r="H311" i="36"/>
  <c r="G311" i="36"/>
  <c r="F311" i="36"/>
  <c r="E311" i="36"/>
  <c r="D311" i="36"/>
  <c r="C311" i="36"/>
  <c r="M308" i="36"/>
  <c r="K308" i="36"/>
  <c r="H308" i="36"/>
  <c r="G308" i="36"/>
  <c r="F308" i="36"/>
  <c r="E308" i="36"/>
  <c r="D308" i="36"/>
  <c r="C308" i="36"/>
  <c r="M305" i="36"/>
  <c r="K305" i="36"/>
  <c r="H305" i="36"/>
  <c r="G305" i="36"/>
  <c r="F305" i="36"/>
  <c r="E305" i="36"/>
  <c r="D305" i="36"/>
  <c r="C305" i="36"/>
  <c r="M302" i="36"/>
  <c r="K302" i="36"/>
  <c r="H302" i="36"/>
  <c r="G302" i="36"/>
  <c r="F302" i="36"/>
  <c r="E302" i="36"/>
  <c r="D302" i="36"/>
  <c r="C302" i="36"/>
  <c r="M299" i="36"/>
  <c r="K299" i="36"/>
  <c r="H299" i="36"/>
  <c r="G299" i="36"/>
  <c r="F299" i="36"/>
  <c r="E299" i="36"/>
  <c r="D299" i="36"/>
  <c r="C299" i="36"/>
  <c r="M295" i="36"/>
  <c r="K295" i="36"/>
  <c r="H295" i="36"/>
  <c r="G295" i="36"/>
  <c r="F295" i="36"/>
  <c r="E295" i="36"/>
  <c r="D295" i="36"/>
  <c r="C295" i="36"/>
  <c r="M291" i="36"/>
  <c r="K291" i="36"/>
  <c r="H291" i="36"/>
  <c r="G291" i="36"/>
  <c r="F291" i="36"/>
  <c r="E291" i="36"/>
  <c r="D291" i="36"/>
  <c r="C291" i="36"/>
  <c r="M285" i="36"/>
  <c r="K285" i="36"/>
  <c r="H285" i="36"/>
  <c r="G285" i="36"/>
  <c r="F285" i="36"/>
  <c r="E285" i="36"/>
  <c r="D285" i="36"/>
  <c r="C285" i="36"/>
  <c r="M279" i="36"/>
  <c r="K279" i="36"/>
  <c r="H279" i="36"/>
  <c r="G279" i="36"/>
  <c r="F279" i="36"/>
  <c r="E279" i="36"/>
  <c r="D279" i="36"/>
  <c r="C279" i="36"/>
  <c r="M274" i="36"/>
  <c r="L274" i="36"/>
  <c r="K274" i="36"/>
  <c r="J274" i="36"/>
  <c r="H274" i="36"/>
  <c r="G274" i="36"/>
  <c r="F274" i="36"/>
  <c r="E274" i="36"/>
  <c r="D274" i="36"/>
  <c r="C274" i="36"/>
  <c r="M270" i="36"/>
  <c r="K270" i="36"/>
  <c r="H270" i="36"/>
  <c r="G270" i="36"/>
  <c r="F270" i="36"/>
  <c r="E270" i="36"/>
  <c r="D270" i="36"/>
  <c r="C270" i="36"/>
  <c r="M266" i="36"/>
  <c r="H266" i="36"/>
  <c r="G266" i="36"/>
  <c r="F266" i="36"/>
  <c r="E266" i="36"/>
  <c r="D266" i="36"/>
  <c r="C266" i="36"/>
  <c r="M252" i="36"/>
  <c r="K252" i="36"/>
  <c r="H252" i="36"/>
  <c r="F252" i="36"/>
  <c r="E252" i="36"/>
  <c r="D252" i="36"/>
  <c r="M246" i="36"/>
  <c r="K246" i="36"/>
  <c r="H246" i="36"/>
  <c r="G246" i="36"/>
  <c r="F246" i="36"/>
  <c r="E246" i="36"/>
  <c r="D246" i="36"/>
  <c r="C246" i="36"/>
  <c r="M240" i="36"/>
  <c r="K240" i="36"/>
  <c r="H240" i="36"/>
  <c r="G240" i="36"/>
  <c r="F240" i="36"/>
  <c r="E240" i="36"/>
  <c r="D240" i="36"/>
  <c r="C240" i="36"/>
  <c r="M234" i="36"/>
  <c r="K234" i="36"/>
  <c r="H234" i="36"/>
  <c r="G234" i="36"/>
  <c r="F234" i="36"/>
  <c r="E234" i="36"/>
  <c r="D234" i="36"/>
  <c r="C234" i="36"/>
  <c r="M230" i="36"/>
  <c r="K230" i="36"/>
  <c r="H230" i="36"/>
  <c r="G230" i="36"/>
  <c r="F230" i="36"/>
  <c r="E230" i="36"/>
  <c r="D230" i="36"/>
  <c r="C230" i="36"/>
  <c r="M222" i="36"/>
  <c r="K222" i="36"/>
  <c r="H222" i="36"/>
  <c r="G222" i="36"/>
  <c r="F222" i="36"/>
  <c r="E222" i="36"/>
  <c r="D222" i="36"/>
  <c r="C222" i="36"/>
  <c r="M218" i="36"/>
  <c r="H218" i="36"/>
  <c r="G218" i="36"/>
  <c r="F218" i="36"/>
  <c r="E218" i="36"/>
  <c r="D218" i="36"/>
  <c r="C218" i="36"/>
  <c r="M214" i="36"/>
  <c r="H214" i="36"/>
  <c r="G214" i="36"/>
  <c r="F214" i="36"/>
  <c r="E214" i="36"/>
  <c r="D214" i="36"/>
  <c r="C214" i="36"/>
  <c r="M211" i="36"/>
  <c r="H211" i="36"/>
  <c r="G211" i="36"/>
  <c r="F211" i="36"/>
  <c r="E211" i="36"/>
  <c r="D211" i="36"/>
  <c r="C211" i="36"/>
  <c r="M205" i="36"/>
  <c r="K205" i="36"/>
  <c r="H205" i="36"/>
  <c r="G205" i="36"/>
  <c r="F205" i="36"/>
  <c r="E205" i="36"/>
  <c r="D205" i="36"/>
  <c r="C205" i="36"/>
  <c r="M201" i="36"/>
  <c r="K201" i="36"/>
  <c r="H201" i="36"/>
  <c r="G201" i="36"/>
  <c r="F201" i="36"/>
  <c r="E201" i="36"/>
  <c r="D201" i="36"/>
  <c r="C201" i="36"/>
  <c r="M194" i="36"/>
  <c r="J194" i="36"/>
  <c r="H194" i="36"/>
  <c r="G194" i="36"/>
  <c r="F194" i="36"/>
  <c r="E194" i="36"/>
  <c r="D194" i="36"/>
  <c r="C194" i="36"/>
  <c r="M191" i="36"/>
  <c r="K191" i="36"/>
  <c r="H191" i="36"/>
  <c r="G191" i="36"/>
  <c r="F191" i="36"/>
  <c r="E191" i="36"/>
  <c r="D191" i="36"/>
  <c r="C191" i="36"/>
  <c r="M188" i="36"/>
  <c r="K188" i="36"/>
  <c r="H188" i="36"/>
  <c r="G188" i="36"/>
  <c r="F188" i="36"/>
  <c r="E188" i="36"/>
  <c r="D188" i="36"/>
  <c r="C188" i="36"/>
  <c r="M183" i="36"/>
  <c r="K183" i="36"/>
  <c r="H183" i="36"/>
  <c r="G183" i="36"/>
  <c r="F183" i="36"/>
  <c r="E183" i="36"/>
  <c r="D183" i="36"/>
  <c r="C183" i="36"/>
  <c r="M178" i="36"/>
  <c r="K178" i="36"/>
  <c r="H178" i="36"/>
  <c r="G178" i="36"/>
  <c r="F178" i="36"/>
  <c r="E178" i="36"/>
  <c r="D178" i="36"/>
  <c r="C178" i="36"/>
  <c r="M171" i="36"/>
  <c r="K171" i="36"/>
  <c r="H171" i="36"/>
  <c r="G171" i="36"/>
  <c r="F171" i="36"/>
  <c r="E171" i="36"/>
  <c r="D171" i="36"/>
  <c r="C171" i="36"/>
  <c r="M165" i="36"/>
  <c r="K165" i="36"/>
  <c r="H165" i="36"/>
  <c r="G165" i="36"/>
  <c r="F165" i="36"/>
  <c r="E165" i="36"/>
  <c r="D165" i="36"/>
  <c r="C165" i="36"/>
  <c r="M160" i="36"/>
  <c r="K160" i="36"/>
  <c r="H160" i="36"/>
  <c r="G160" i="36"/>
  <c r="F160" i="36"/>
  <c r="E160" i="36"/>
  <c r="D160" i="36"/>
  <c r="C160" i="36"/>
  <c r="H153" i="36"/>
  <c r="G153" i="36"/>
  <c r="F153" i="36"/>
  <c r="E153" i="36"/>
  <c r="D153" i="36"/>
  <c r="C153" i="36"/>
  <c r="M151" i="36"/>
  <c r="K151" i="36"/>
  <c r="H151" i="36"/>
  <c r="G151" i="36"/>
  <c r="F151" i="36"/>
  <c r="E151" i="36"/>
  <c r="D151" i="36"/>
  <c r="C151" i="36"/>
  <c r="M146" i="36"/>
  <c r="L146" i="36"/>
  <c r="L100" i="36" s="1"/>
  <c r="K146" i="36"/>
  <c r="J146" i="36"/>
  <c r="J100" i="36" s="1"/>
  <c r="H146" i="36"/>
  <c r="G146" i="36"/>
  <c r="F146" i="36"/>
  <c r="E146" i="36"/>
  <c r="D146" i="36"/>
  <c r="C146" i="36"/>
  <c r="M141" i="36"/>
  <c r="K141" i="36"/>
  <c r="H141" i="36"/>
  <c r="G141" i="36"/>
  <c r="F141" i="36"/>
  <c r="E141" i="36"/>
  <c r="D141" i="36"/>
  <c r="C141" i="36"/>
  <c r="M136" i="36"/>
  <c r="K136" i="36"/>
  <c r="H136" i="36"/>
  <c r="G136" i="36"/>
  <c r="F136" i="36"/>
  <c r="E136" i="36"/>
  <c r="D136" i="36"/>
  <c r="C136" i="36"/>
  <c r="M130" i="36"/>
  <c r="K130" i="36"/>
  <c r="H130" i="36"/>
  <c r="G130" i="36"/>
  <c r="F130" i="36"/>
  <c r="E130" i="36"/>
  <c r="D130" i="36"/>
  <c r="C130" i="36"/>
  <c r="M123" i="36"/>
  <c r="K123" i="36"/>
  <c r="H123" i="36"/>
  <c r="G123" i="36"/>
  <c r="F123" i="36"/>
  <c r="F350" i="36" s="1"/>
  <c r="E123" i="36"/>
  <c r="D123" i="36"/>
  <c r="D350" i="36" s="1"/>
  <c r="D349" i="36" s="1"/>
  <c r="C123" i="36"/>
  <c r="M122" i="36"/>
  <c r="M121" i="36"/>
  <c r="M120" i="36"/>
  <c r="M119" i="36"/>
  <c r="M118" i="36"/>
  <c r="K117" i="36"/>
  <c r="H117" i="36"/>
  <c r="G117" i="36"/>
  <c r="F117" i="36"/>
  <c r="E117" i="36"/>
  <c r="D117" i="36"/>
  <c r="C117" i="36"/>
  <c r="M116" i="36"/>
  <c r="M115" i="36"/>
  <c r="K112" i="36"/>
  <c r="H112" i="36"/>
  <c r="G112" i="36"/>
  <c r="F112" i="36"/>
  <c r="E112" i="36"/>
  <c r="D112" i="36"/>
  <c r="C112" i="36"/>
  <c r="M111" i="36"/>
  <c r="M110" i="36"/>
  <c r="M109" i="36"/>
  <c r="K108" i="36"/>
  <c r="H108" i="36"/>
  <c r="G108" i="36"/>
  <c r="F108" i="36"/>
  <c r="E108" i="36"/>
  <c r="D108" i="36"/>
  <c r="C108" i="36"/>
  <c r="M107" i="36"/>
  <c r="M106" i="36"/>
  <c r="M105" i="36"/>
  <c r="K104" i="36"/>
  <c r="H104" i="36"/>
  <c r="G104" i="36"/>
  <c r="F104" i="36"/>
  <c r="E104" i="36"/>
  <c r="D104" i="36"/>
  <c r="C104" i="36"/>
  <c r="M103" i="36"/>
  <c r="K101" i="36"/>
  <c r="H101" i="36"/>
  <c r="G101" i="36"/>
  <c r="F101" i="36"/>
  <c r="E101" i="36"/>
  <c r="E100" i="36" s="1"/>
  <c r="D101" i="36"/>
  <c r="C101" i="36"/>
  <c r="M96" i="36"/>
  <c r="K96" i="36"/>
  <c r="H96" i="36"/>
  <c r="G96" i="36"/>
  <c r="F96" i="36"/>
  <c r="E96" i="36"/>
  <c r="D96" i="36"/>
  <c r="C96" i="36"/>
  <c r="M93" i="36"/>
  <c r="K93" i="36"/>
  <c r="H93" i="36"/>
  <c r="G93" i="36"/>
  <c r="F93" i="36"/>
  <c r="E93" i="36"/>
  <c r="D93" i="36"/>
  <c r="C93" i="36"/>
  <c r="M89" i="36"/>
  <c r="K89" i="36"/>
  <c r="H89" i="36"/>
  <c r="G89" i="36"/>
  <c r="F89" i="36"/>
  <c r="E89" i="36"/>
  <c r="D89" i="36"/>
  <c r="C89" i="36"/>
  <c r="M87" i="36"/>
  <c r="K87" i="36"/>
  <c r="H87" i="36"/>
  <c r="G87" i="36"/>
  <c r="F87" i="36"/>
  <c r="E87" i="36"/>
  <c r="D87" i="36"/>
  <c r="C87" i="36"/>
  <c r="M83" i="36"/>
  <c r="K83" i="36"/>
  <c r="H83" i="36"/>
  <c r="G83" i="36"/>
  <c r="F83" i="36"/>
  <c r="E83" i="36"/>
  <c r="D83" i="36"/>
  <c r="C83" i="36"/>
  <c r="M77" i="36"/>
  <c r="K77" i="36"/>
  <c r="H77" i="36"/>
  <c r="G77" i="36"/>
  <c r="F77" i="36"/>
  <c r="E77" i="36"/>
  <c r="D77" i="36"/>
  <c r="C77" i="36"/>
  <c r="M71" i="36"/>
  <c r="K71" i="36"/>
  <c r="H71" i="36"/>
  <c r="G71" i="36"/>
  <c r="F71" i="36"/>
  <c r="E71" i="36"/>
  <c r="D71" i="36"/>
  <c r="C71" i="36"/>
  <c r="M64" i="36"/>
  <c r="K64" i="36"/>
  <c r="H64" i="36"/>
  <c r="G64" i="36"/>
  <c r="F64" i="36"/>
  <c r="E64" i="36"/>
  <c r="D64" i="36"/>
  <c r="C64" i="36"/>
  <c r="M59" i="36"/>
  <c r="K59" i="36"/>
  <c r="H59" i="36"/>
  <c r="G59" i="36"/>
  <c r="F59" i="36"/>
  <c r="E59" i="36"/>
  <c r="D59" i="36"/>
  <c r="C59" i="36"/>
  <c r="M56" i="36"/>
  <c r="K56" i="36"/>
  <c r="H56" i="36"/>
  <c r="G56" i="36"/>
  <c r="F56" i="36"/>
  <c r="E56" i="36"/>
  <c r="D56" i="36"/>
  <c r="C56" i="36"/>
  <c r="M51" i="36"/>
  <c r="K51" i="36"/>
  <c r="H51" i="36"/>
  <c r="G51" i="36"/>
  <c r="F51" i="36"/>
  <c r="E51" i="36"/>
  <c r="D51" i="36"/>
  <c r="C51" i="36"/>
  <c r="M44" i="36"/>
  <c r="K44" i="36"/>
  <c r="H44" i="36"/>
  <c r="G44" i="36"/>
  <c r="G43" i="36" s="1"/>
  <c r="F44" i="36"/>
  <c r="E44" i="36"/>
  <c r="E43" i="36" s="1"/>
  <c r="D44" i="36"/>
  <c r="D43" i="36" s="1"/>
  <c r="C44" i="36"/>
  <c r="C43" i="36" s="1"/>
  <c r="M43" i="36"/>
  <c r="K43" i="36"/>
  <c r="J43" i="36"/>
  <c r="H43" i="36"/>
  <c r="F43" i="36"/>
  <c r="M29" i="36"/>
  <c r="M28" i="36" s="1"/>
  <c r="L29" i="36"/>
  <c r="L28" i="36" s="1"/>
  <c r="K29" i="36"/>
  <c r="K28" i="36" s="1"/>
  <c r="J29" i="36"/>
  <c r="J28" i="36" s="1"/>
  <c r="G29" i="36"/>
  <c r="G28" i="36" s="1"/>
  <c r="F29" i="36"/>
  <c r="F28" i="36" s="1"/>
  <c r="E29" i="36"/>
  <c r="D29" i="36"/>
  <c r="D28" i="36" s="1"/>
  <c r="C29" i="36"/>
  <c r="C28" i="36" s="1"/>
  <c r="E28" i="36"/>
  <c r="M22" i="36"/>
  <c r="M15" i="36" s="1"/>
  <c r="K22" i="36"/>
  <c r="K15" i="36" s="1"/>
  <c r="H22" i="36"/>
  <c r="G22" i="36"/>
  <c r="F22" i="36"/>
  <c r="E22" i="36"/>
  <c r="D22" i="36"/>
  <c r="C22" i="36"/>
  <c r="H16" i="36"/>
  <c r="G16" i="36"/>
  <c r="F16" i="36"/>
  <c r="E16" i="36"/>
  <c r="D16" i="36"/>
  <c r="C16" i="36"/>
  <c r="I14" i="36"/>
  <c r="M112" i="36" l="1"/>
  <c r="M108" i="36"/>
  <c r="K100" i="36"/>
  <c r="D100" i="36"/>
  <c r="F100" i="36"/>
  <c r="H100" i="36"/>
  <c r="H14" i="36" s="1"/>
  <c r="E14" i="36"/>
  <c r="K14" i="36"/>
  <c r="M117" i="36"/>
  <c r="C100" i="36"/>
  <c r="C14" i="36" s="1"/>
  <c r="G100" i="36"/>
  <c r="L43" i="36"/>
  <c r="L14" i="36" s="1"/>
  <c r="D14" i="36"/>
  <c r="M101" i="36"/>
  <c r="G15" i="36"/>
  <c r="M104" i="36"/>
  <c r="F349" i="36"/>
  <c r="F14" i="36" s="1"/>
  <c r="J14" i="36"/>
  <c r="G178" i="16"/>
  <c r="G14" i="36" l="1"/>
  <c r="M100" i="36"/>
  <c r="M14" i="36" s="1"/>
  <c r="F20" i="34"/>
  <c r="F19" i="34" s="1"/>
  <c r="H180" i="35"/>
  <c r="H98" i="35"/>
  <c r="H99" i="35"/>
  <c r="H100" i="35"/>
  <c r="H101" i="35"/>
  <c r="H102" i="35"/>
  <c r="H105" i="35"/>
  <c r="H106" i="35"/>
  <c r="H107" i="35"/>
  <c r="H110" i="35"/>
  <c r="H111" i="35"/>
  <c r="H112" i="35"/>
  <c r="H113" i="35"/>
  <c r="H114" i="35"/>
  <c r="H116" i="35"/>
  <c r="H117" i="35"/>
  <c r="H120" i="35"/>
  <c r="H121" i="35"/>
  <c r="H122" i="35"/>
  <c r="H124" i="35"/>
  <c r="H125" i="35"/>
  <c r="H126" i="35"/>
  <c r="H127" i="35"/>
  <c r="H129" i="35"/>
  <c r="H130" i="35"/>
  <c r="H132" i="35"/>
  <c r="H133" i="35"/>
  <c r="H134" i="35"/>
  <c r="H135" i="35"/>
  <c r="H136" i="35"/>
  <c r="H137" i="35"/>
  <c r="H138" i="35"/>
  <c r="H141" i="35"/>
  <c r="H142" i="35"/>
  <c r="H143" i="35"/>
  <c r="H146" i="35"/>
  <c r="H147" i="35"/>
  <c r="H148" i="35"/>
  <c r="H150" i="35"/>
  <c r="H151" i="35"/>
  <c r="H153" i="35"/>
  <c r="H154" i="35"/>
  <c r="H155" i="35"/>
  <c r="H157" i="35"/>
  <c r="H158" i="35"/>
  <c r="H159" i="35"/>
  <c r="H160" i="35"/>
  <c r="H161" i="35"/>
  <c r="H163" i="35"/>
  <c r="H164" i="35"/>
  <c r="H166" i="35"/>
  <c r="H167" i="35"/>
  <c r="H169" i="35"/>
  <c r="H171" i="35"/>
  <c r="H172" i="35"/>
  <c r="H173" i="35"/>
  <c r="H176" i="35"/>
  <c r="H177" i="35"/>
  <c r="H178" i="35"/>
  <c r="H97" i="35"/>
  <c r="H62" i="35"/>
  <c r="H65" i="35"/>
  <c r="H66" i="35"/>
  <c r="H67" i="35"/>
  <c r="H68" i="35"/>
  <c r="H69" i="35"/>
  <c r="H72" i="35"/>
  <c r="H73" i="35"/>
  <c r="H76" i="35"/>
  <c r="H77" i="35"/>
  <c r="H78" i="35"/>
  <c r="H79" i="35"/>
  <c r="H80" i="35"/>
  <c r="H83" i="35"/>
  <c r="H86" i="35"/>
  <c r="H87" i="35"/>
  <c r="H88" i="35"/>
  <c r="H89" i="35"/>
  <c r="H90" i="35"/>
  <c r="H61" i="35"/>
  <c r="H53" i="35"/>
  <c r="H54" i="35"/>
  <c r="H52" i="35"/>
  <c r="H42" i="35"/>
  <c r="H43" i="35"/>
  <c r="H44" i="35"/>
  <c r="H45" i="35"/>
  <c r="H46" i="35"/>
  <c r="H47" i="35"/>
  <c r="H48" i="35"/>
  <c r="H49" i="35"/>
  <c r="H41" i="35"/>
  <c r="H36" i="35"/>
  <c r="H37" i="35"/>
  <c r="H38" i="35"/>
  <c r="H35" i="35"/>
  <c r="H26" i="35"/>
  <c r="H27" i="35"/>
  <c r="H28" i="35"/>
  <c r="H29" i="35"/>
  <c r="H30" i="35"/>
  <c r="H31" i="35"/>
  <c r="H32" i="35"/>
  <c r="H25" i="35"/>
  <c r="H16" i="35"/>
  <c r="H17" i="35"/>
  <c r="H18" i="35"/>
  <c r="H19" i="35"/>
  <c r="H20" i="35"/>
  <c r="H21" i="35"/>
  <c r="H22" i="35"/>
  <c r="H15" i="35"/>
  <c r="H95" i="35" l="1"/>
  <c r="G95" i="35"/>
  <c r="E95" i="35"/>
  <c r="D95" i="35"/>
  <c r="C95" i="35"/>
  <c r="H59" i="35"/>
  <c r="G59" i="35"/>
  <c r="E59" i="35"/>
  <c r="D59" i="35"/>
  <c r="C59" i="35"/>
  <c r="H14" i="35"/>
  <c r="H13" i="35" s="1"/>
  <c r="H182" i="35" s="1"/>
  <c r="G13" i="35"/>
  <c r="E13" i="35"/>
  <c r="D13" i="35"/>
  <c r="D182" i="35" s="1"/>
  <c r="C13" i="35"/>
  <c r="C182" i="35" s="1"/>
  <c r="E182" i="35" l="1"/>
  <c r="G182" i="35"/>
  <c r="E36" i="34"/>
  <c r="F33" i="34"/>
  <c r="F32" i="34"/>
  <c r="F31" i="34"/>
  <c r="H29" i="34"/>
  <c r="H28" i="34" s="1"/>
  <c r="E29" i="34"/>
  <c r="D29" i="34"/>
  <c r="D28" i="34" s="1"/>
  <c r="H20" i="34"/>
  <c r="H19" i="34" s="1"/>
  <c r="E20" i="34"/>
  <c r="E19" i="34" s="1"/>
  <c r="D20" i="34"/>
  <c r="D19" i="34" s="1"/>
  <c r="E28" i="34" l="1"/>
  <c r="F29" i="34"/>
  <c r="F28" i="34" s="1"/>
  <c r="F38" i="34" s="1"/>
  <c r="D38" i="34"/>
  <c r="E38" i="34"/>
  <c r="H38" i="34"/>
  <c r="G94" i="23"/>
  <c r="G91" i="23"/>
  <c r="G88" i="23"/>
  <c r="G82" i="23" s="1"/>
  <c r="G73" i="23"/>
  <c r="G32" i="23"/>
  <c r="G30" i="23" s="1"/>
  <c r="P37" i="5" l="1"/>
  <c r="P34" i="5"/>
  <c r="P32" i="5"/>
  <c r="P29" i="5"/>
  <c r="D20" i="9" l="1"/>
  <c r="G21" i="20" l="1"/>
  <c r="E21" i="20"/>
  <c r="H22" i="20"/>
  <c r="G20" i="20"/>
  <c r="E20" i="20"/>
  <c r="G162" i="18" l="1"/>
  <c r="H125" i="18"/>
  <c r="G216" i="18" l="1"/>
  <c r="E216" i="18"/>
  <c r="H218" i="18"/>
  <c r="H219" i="18"/>
  <c r="H220" i="18"/>
  <c r="H217" i="18"/>
  <c r="G205" i="18"/>
  <c r="E205" i="18"/>
  <c r="H207" i="18"/>
  <c r="H208" i="18"/>
  <c r="H209" i="18"/>
  <c r="H206" i="18"/>
  <c r="H195" i="18"/>
  <c r="H194" i="18"/>
  <c r="H193" i="18" s="1"/>
  <c r="E162" i="18"/>
  <c r="H172" i="18"/>
  <c r="H173" i="18"/>
  <c r="H174" i="18"/>
  <c r="H175" i="18"/>
  <c r="H176" i="18"/>
  <c r="H177" i="18"/>
  <c r="H178" i="18"/>
  <c r="H179" i="18"/>
  <c r="H180" i="18"/>
  <c r="H181" i="18"/>
  <c r="H182" i="18"/>
  <c r="H183" i="18"/>
  <c r="H184" i="18"/>
  <c r="H185" i="18"/>
  <c r="H186" i="18"/>
  <c r="H187" i="18"/>
  <c r="H164" i="18"/>
  <c r="H165" i="18"/>
  <c r="H166" i="18"/>
  <c r="H167" i="18"/>
  <c r="H168" i="18"/>
  <c r="H169" i="18"/>
  <c r="H170" i="18"/>
  <c r="H171" i="18"/>
  <c r="H163" i="18"/>
  <c r="G143" i="18"/>
  <c r="E143" i="18"/>
  <c r="H145" i="18"/>
  <c r="H146" i="18"/>
  <c r="H147" i="18"/>
  <c r="H148" i="18"/>
  <c r="H149" i="18"/>
  <c r="H150" i="18"/>
  <c r="H151" i="18"/>
  <c r="H152" i="18"/>
  <c r="H153" i="18"/>
  <c r="H154" i="18"/>
  <c r="H144" i="18"/>
  <c r="E133" i="18"/>
  <c r="G133" i="18"/>
  <c r="H135" i="18"/>
  <c r="H136" i="18"/>
  <c r="H137" i="18"/>
  <c r="H134" i="18"/>
  <c r="H122" i="18"/>
  <c r="H123" i="18"/>
  <c r="H124" i="18"/>
  <c r="H126" i="18"/>
  <c r="H127" i="18"/>
  <c r="H121" i="18"/>
  <c r="H111" i="18"/>
  <c r="H112" i="18"/>
  <c r="H113" i="18"/>
  <c r="H114" i="18"/>
  <c r="H110" i="18"/>
  <c r="G109" i="18"/>
  <c r="E109" i="18"/>
  <c r="H101" i="18"/>
  <c r="H102" i="18"/>
  <c r="H103" i="18"/>
  <c r="H100" i="18"/>
  <c r="G99" i="18"/>
  <c r="E99" i="18"/>
  <c r="H93" i="18"/>
  <c r="G92" i="18"/>
  <c r="E92" i="18"/>
  <c r="H81" i="18"/>
  <c r="H82" i="18"/>
  <c r="H83" i="18"/>
  <c r="H84" i="18"/>
  <c r="H85" i="18"/>
  <c r="H86" i="18"/>
  <c r="H80" i="18"/>
  <c r="H64" i="18"/>
  <c r="G32" i="18"/>
  <c r="E32" i="18"/>
  <c r="H35" i="18"/>
  <c r="H36" i="18"/>
  <c r="H37" i="18"/>
  <c r="H38" i="18"/>
  <c r="H39" i="18"/>
  <c r="H40" i="18"/>
  <c r="H41" i="18"/>
  <c r="H42" i="18"/>
  <c r="H43" i="18"/>
  <c r="H44" i="18"/>
  <c r="H45" i="18"/>
  <c r="H46" i="18"/>
  <c r="H47" i="18"/>
  <c r="H48" i="18"/>
  <c r="H49" i="18"/>
  <c r="H50" i="18"/>
  <c r="H51" i="18"/>
  <c r="H52" i="18"/>
  <c r="H53" i="18"/>
  <c r="H54" i="18"/>
  <c r="H55" i="18"/>
  <c r="H56" i="18"/>
  <c r="H57" i="18"/>
  <c r="H34" i="18"/>
  <c r="H25" i="18"/>
  <c r="H24" i="18"/>
  <c r="H23" i="18" s="1"/>
  <c r="H17" i="18"/>
  <c r="H16" i="18"/>
  <c r="E15" i="18"/>
  <c r="H63" i="18" l="1"/>
  <c r="E222" i="18"/>
  <c r="H120" i="18"/>
  <c r="G222" i="18"/>
  <c r="H79" i="18"/>
  <c r="H92" i="18"/>
  <c r="H216" i="18"/>
  <c r="H143" i="18"/>
  <c r="H133" i="18"/>
  <c r="H32" i="18"/>
  <c r="H205" i="18"/>
  <c r="H162" i="18"/>
  <c r="H109" i="18"/>
  <c r="H99" i="18"/>
  <c r="H15" i="18"/>
  <c r="H222" i="18" l="1"/>
  <c r="E100" i="23" l="1"/>
  <c r="H101" i="23"/>
  <c r="H100" i="23" s="1"/>
  <c r="G100" i="23"/>
  <c r="H84" i="23"/>
  <c r="H85" i="23"/>
  <c r="H86" i="23"/>
  <c r="H87" i="23"/>
  <c r="H88" i="23"/>
  <c r="H89" i="23"/>
  <c r="H90" i="23"/>
  <c r="H91" i="23"/>
  <c r="H92" i="23"/>
  <c r="H93" i="23"/>
  <c r="H94" i="23"/>
  <c r="H83" i="23"/>
  <c r="G71" i="23"/>
  <c r="H73" i="23"/>
  <c r="H74" i="23"/>
  <c r="H75" i="23"/>
  <c r="H76" i="23"/>
  <c r="H72" i="23"/>
  <c r="H57" i="23"/>
  <c r="H58" i="23"/>
  <c r="H59" i="23"/>
  <c r="H60" i="23"/>
  <c r="H61" i="23"/>
  <c r="H62" i="23"/>
  <c r="H63" i="23"/>
  <c r="H64" i="23"/>
  <c r="H65" i="23"/>
  <c r="H56" i="23"/>
  <c r="G55" i="23"/>
  <c r="E55" i="23"/>
  <c r="H48" i="23"/>
  <c r="H49" i="23"/>
  <c r="H47" i="23"/>
  <c r="G46" i="23"/>
  <c r="E46" i="23"/>
  <c r="H40" i="23"/>
  <c r="H39" i="23"/>
  <c r="H38" i="23"/>
  <c r="H37" i="23"/>
  <c r="H36" i="23"/>
  <c r="H35" i="23"/>
  <c r="H34" i="23"/>
  <c r="H33" i="23"/>
  <c r="H32" i="23"/>
  <c r="H31" i="23"/>
  <c r="E21" i="23"/>
  <c r="E14" i="23"/>
  <c r="E103" i="23" s="1"/>
  <c r="G14" i="23"/>
  <c r="G21" i="23"/>
  <c r="H23" i="23"/>
  <c r="H24" i="23"/>
  <c r="H22" i="23"/>
  <c r="H15" i="23"/>
  <c r="H14" i="23" s="1"/>
  <c r="G47" i="24"/>
  <c r="H49" i="24"/>
  <c r="H50" i="24"/>
  <c r="H51" i="24"/>
  <c r="H52" i="24"/>
  <c r="H53" i="24"/>
  <c r="H54" i="24"/>
  <c r="H55" i="24"/>
  <c r="H56" i="24"/>
  <c r="H48" i="24"/>
  <c r="H40" i="24"/>
  <c r="H41" i="24"/>
  <c r="H25" i="24"/>
  <c r="H26" i="24"/>
  <c r="H27" i="24"/>
  <c r="H28" i="24"/>
  <c r="H29" i="24"/>
  <c r="H30" i="24"/>
  <c r="H31" i="24"/>
  <c r="H32" i="24"/>
  <c r="H33" i="24"/>
  <c r="H34" i="24"/>
  <c r="H35" i="24"/>
  <c r="H36" i="24"/>
  <c r="H37" i="24"/>
  <c r="H38" i="24"/>
  <c r="H39" i="24"/>
  <c r="H17" i="24"/>
  <c r="H16" i="24"/>
  <c r="H15" i="24" s="1"/>
  <c r="E15" i="24"/>
  <c r="G15" i="24"/>
  <c r="E29" i="9"/>
  <c r="G29" i="9"/>
  <c r="H21" i="23" l="1"/>
  <c r="H47" i="24"/>
  <c r="H24" i="24"/>
  <c r="H23" i="24" s="1"/>
  <c r="H57" i="24" s="1"/>
  <c r="H55" i="23"/>
  <c r="H30" i="23"/>
  <c r="H46" i="23"/>
  <c r="H71" i="23"/>
  <c r="H82" i="23"/>
  <c r="H376" i="16"/>
  <c r="H377" i="16"/>
  <c r="H378" i="16"/>
  <c r="H379" i="16"/>
  <c r="H380" i="16"/>
  <c r="H381" i="16"/>
  <c r="H382" i="16"/>
  <c r="H383" i="16"/>
  <c r="H375" i="16"/>
  <c r="H366" i="16"/>
  <c r="H354" i="16"/>
  <c r="H355" i="16"/>
  <c r="H356" i="16"/>
  <c r="H357" i="16"/>
  <c r="H332" i="16"/>
  <c r="H333" i="16"/>
  <c r="H334" i="16"/>
  <c r="H335" i="16"/>
  <c r="H336" i="16"/>
  <c r="H337" i="16"/>
  <c r="H338" i="16"/>
  <c r="H339" i="16"/>
  <c r="H340" i="16"/>
  <c r="H341" i="16"/>
  <c r="H342" i="16"/>
  <c r="H343" i="16"/>
  <c r="H344" i="16"/>
  <c r="H345" i="16"/>
  <c r="H346" i="16"/>
  <c r="H347" i="16"/>
  <c r="H348" i="16"/>
  <c r="H349" i="16"/>
  <c r="H350" i="16"/>
  <c r="H351" i="16"/>
  <c r="H352" i="16"/>
  <c r="H353" i="16"/>
  <c r="H313" i="16"/>
  <c r="H314" i="16"/>
  <c r="H315" i="16"/>
  <c r="H316" i="16"/>
  <c r="H317" i="16"/>
  <c r="H318" i="16"/>
  <c r="H319" i="16"/>
  <c r="H320" i="16"/>
  <c r="H321" i="16"/>
  <c r="H322" i="16"/>
  <c r="H323" i="16"/>
  <c r="H324" i="16"/>
  <c r="H325" i="16"/>
  <c r="H326" i="16"/>
  <c r="H327" i="16"/>
  <c r="H328" i="16"/>
  <c r="H329" i="16"/>
  <c r="H330" i="16"/>
  <c r="H331" i="16"/>
  <c r="H298" i="16"/>
  <c r="H299" i="16"/>
  <c r="H300" i="16"/>
  <c r="H301" i="16"/>
  <c r="H302" i="16"/>
  <c r="H303" i="16"/>
  <c r="H304" i="16"/>
  <c r="H305" i="16"/>
  <c r="H306" i="16"/>
  <c r="H307" i="16"/>
  <c r="H308" i="16"/>
  <c r="H309" i="16"/>
  <c r="H310" i="16"/>
  <c r="H311" i="16"/>
  <c r="H312" i="16"/>
  <c r="H273" i="16"/>
  <c r="H274" i="16"/>
  <c r="H275" i="16"/>
  <c r="H276" i="16"/>
  <c r="H277" i="16"/>
  <c r="H278" i="16"/>
  <c r="H279" i="16"/>
  <c r="H280" i="16"/>
  <c r="H281" i="16"/>
  <c r="H282" i="16"/>
  <c r="H283" i="16"/>
  <c r="H284" i="16"/>
  <c r="H285" i="16"/>
  <c r="H286" i="16"/>
  <c r="H287" i="16"/>
  <c r="H288" i="16"/>
  <c r="H289" i="16"/>
  <c r="H290" i="16"/>
  <c r="H291" i="16"/>
  <c r="H292" i="16"/>
  <c r="H293" i="16"/>
  <c r="H294" i="16"/>
  <c r="H295" i="16"/>
  <c r="H296" i="16"/>
  <c r="H297" i="16"/>
  <c r="H272" i="16"/>
  <c r="H265" i="16"/>
  <c r="H266" i="16"/>
  <c r="H267" i="16"/>
  <c r="H268" i="16"/>
  <c r="H269" i="16"/>
  <c r="H270" i="16"/>
  <c r="H264" i="16"/>
  <c r="H255" i="16"/>
  <c r="H256" i="16"/>
  <c r="H257" i="16"/>
  <c r="H258" i="16"/>
  <c r="H259" i="16"/>
  <c r="H260" i="16"/>
  <c r="H261" i="16"/>
  <c r="H262" i="16"/>
  <c r="H243" i="16"/>
  <c r="H244" i="16"/>
  <c r="H245" i="16"/>
  <c r="H246" i="16"/>
  <c r="H247" i="16"/>
  <c r="H248" i="16"/>
  <c r="H249" i="16"/>
  <c r="H250" i="16"/>
  <c r="H251" i="16"/>
  <c r="H252" i="16"/>
  <c r="H253" i="16"/>
  <c r="H254" i="16"/>
  <c r="H242" i="16"/>
  <c r="H229" i="16"/>
  <c r="H230" i="16"/>
  <c r="H231" i="16"/>
  <c r="H232" i="16"/>
  <c r="H233" i="16"/>
  <c r="H234" i="16"/>
  <c r="H235" i="16"/>
  <c r="H236" i="16"/>
  <c r="H237" i="16"/>
  <c r="H238" i="16"/>
  <c r="H239" i="16"/>
  <c r="H240" i="16"/>
  <c r="H228" i="16"/>
  <c r="H224" i="16"/>
  <c r="H225" i="16"/>
  <c r="H226" i="16"/>
  <c r="H223" i="16"/>
  <c r="H218" i="16"/>
  <c r="H219" i="16"/>
  <c r="H220" i="16"/>
  <c r="H193" i="16"/>
  <c r="H194" i="16"/>
  <c r="H195" i="16"/>
  <c r="H196" i="16"/>
  <c r="H197" i="16"/>
  <c r="H198" i="16"/>
  <c r="H199" i="16"/>
  <c r="H200" i="16"/>
  <c r="H201" i="16"/>
  <c r="H202" i="16"/>
  <c r="H203" i="16"/>
  <c r="H204" i="16"/>
  <c r="H205" i="16"/>
  <c r="H206" i="16"/>
  <c r="H207" i="16"/>
  <c r="H208" i="16"/>
  <c r="H209" i="16"/>
  <c r="H210" i="16"/>
  <c r="H211" i="16"/>
  <c r="H212" i="16"/>
  <c r="H213" i="16"/>
  <c r="H214" i="16"/>
  <c r="H215" i="16"/>
  <c r="H216" i="16"/>
  <c r="H217" i="16"/>
  <c r="H192" i="16"/>
  <c r="H188" i="16"/>
  <c r="H189" i="16"/>
  <c r="H190" i="16"/>
  <c r="H187" i="16"/>
  <c r="H182" i="16"/>
  <c r="H183" i="16"/>
  <c r="H184" i="16"/>
  <c r="H181" i="16"/>
  <c r="H177" i="16"/>
  <c r="H178" i="16"/>
  <c r="H176" i="16"/>
  <c r="H160" i="16"/>
  <c r="H161" i="16"/>
  <c r="H162" i="16"/>
  <c r="H163" i="16"/>
  <c r="H164" i="16"/>
  <c r="H165" i="16"/>
  <c r="H166" i="16"/>
  <c r="H167" i="16"/>
  <c r="H168" i="16"/>
  <c r="H169" i="16"/>
  <c r="H170" i="16"/>
  <c r="H171" i="16"/>
  <c r="H172" i="16"/>
  <c r="H173" i="16"/>
  <c r="H174" i="16"/>
  <c r="H159" i="16"/>
  <c r="H144" i="16"/>
  <c r="H145" i="16"/>
  <c r="H146" i="16"/>
  <c r="H147" i="16"/>
  <c r="H148" i="16"/>
  <c r="H149" i="16"/>
  <c r="H150" i="16"/>
  <c r="H151" i="16"/>
  <c r="H152" i="16"/>
  <c r="H153" i="16"/>
  <c r="H154" i="16"/>
  <c r="H155" i="16"/>
  <c r="H156" i="16"/>
  <c r="H127" i="16"/>
  <c r="H128" i="16"/>
  <c r="H129" i="16"/>
  <c r="H130" i="16"/>
  <c r="H131" i="16"/>
  <c r="H132" i="16"/>
  <c r="H133" i="16"/>
  <c r="H134" i="16"/>
  <c r="H135" i="16"/>
  <c r="H136" i="16"/>
  <c r="H137" i="16"/>
  <c r="H138" i="16"/>
  <c r="H139" i="16"/>
  <c r="H140" i="16"/>
  <c r="H141" i="16"/>
  <c r="H142" i="16"/>
  <c r="H143" i="16"/>
  <c r="H105" i="16"/>
  <c r="H106" i="16"/>
  <c r="H107" i="16"/>
  <c r="H108" i="16"/>
  <c r="H109" i="16"/>
  <c r="H110" i="16"/>
  <c r="H111" i="16"/>
  <c r="H112" i="16"/>
  <c r="H113" i="16"/>
  <c r="H114" i="16"/>
  <c r="H115" i="16"/>
  <c r="H116" i="16"/>
  <c r="H117" i="16"/>
  <c r="H118" i="16"/>
  <c r="H119" i="16"/>
  <c r="H120" i="16"/>
  <c r="H121" i="16"/>
  <c r="H122" i="16"/>
  <c r="H123" i="16"/>
  <c r="H124" i="16"/>
  <c r="H125" i="16"/>
  <c r="H126" i="16"/>
  <c r="H104" i="16"/>
  <c r="H98" i="16"/>
  <c r="H99" i="16"/>
  <c r="H100" i="16"/>
  <c r="H101" i="16"/>
  <c r="H102" i="16"/>
  <c r="H97" i="16"/>
  <c r="H92" i="16"/>
  <c r="H93" i="16"/>
  <c r="H94" i="16"/>
  <c r="H95" i="16"/>
  <c r="H91" i="16"/>
  <c r="H80" i="16"/>
  <c r="H81" i="16"/>
  <c r="H82" i="16"/>
  <c r="H83" i="16"/>
  <c r="H84" i="16"/>
  <c r="H85" i="16"/>
  <c r="H86" i="16"/>
  <c r="H87" i="16"/>
  <c r="H88" i="16"/>
  <c r="H68" i="16"/>
  <c r="H69" i="16"/>
  <c r="H70" i="16"/>
  <c r="H71" i="16"/>
  <c r="H72" i="16"/>
  <c r="H73" i="16"/>
  <c r="H74" i="16"/>
  <c r="H75" i="16"/>
  <c r="H76" i="16"/>
  <c r="H77" i="16"/>
  <c r="H78" i="16"/>
  <c r="H79" i="16"/>
  <c r="H67" i="16"/>
  <c r="H49" i="16"/>
  <c r="H50" i="16"/>
  <c r="H51" i="16"/>
  <c r="H52" i="16"/>
  <c r="H53" i="16"/>
  <c r="H54" i="16"/>
  <c r="H55" i="16"/>
  <c r="H56" i="16"/>
  <c r="H57" i="16"/>
  <c r="H58" i="16"/>
  <c r="H59" i="16"/>
  <c r="H60" i="16"/>
  <c r="H61" i="16"/>
  <c r="H62" i="16"/>
  <c r="H63" i="16"/>
  <c r="H64" i="16"/>
  <c r="H65" i="16"/>
  <c r="H29" i="16"/>
  <c r="H30" i="16"/>
  <c r="H31" i="16"/>
  <c r="H32" i="16"/>
  <c r="H33" i="16"/>
  <c r="H34" i="16"/>
  <c r="H35" i="16"/>
  <c r="H36" i="16"/>
  <c r="H37" i="16"/>
  <c r="H38" i="16"/>
  <c r="H39" i="16"/>
  <c r="H40" i="16"/>
  <c r="H41" i="16"/>
  <c r="H42" i="16"/>
  <c r="H43" i="16"/>
  <c r="H44" i="16"/>
  <c r="H45" i="16"/>
  <c r="H46" i="16"/>
  <c r="H47" i="16"/>
  <c r="H48" i="16"/>
  <c r="H28" i="16"/>
  <c r="E16" i="16"/>
  <c r="G16" i="16"/>
  <c r="H18" i="16"/>
  <c r="H19" i="16"/>
  <c r="H20" i="16"/>
  <c r="H21" i="16"/>
  <c r="H22" i="16"/>
  <c r="H23" i="16"/>
  <c r="H24" i="16"/>
  <c r="H25" i="16"/>
  <c r="H17" i="16"/>
  <c r="H374" i="16" l="1"/>
  <c r="H27" i="16"/>
  <c r="H16" i="16"/>
  <c r="I233" i="8"/>
  <c r="E16" i="17" l="1"/>
  <c r="G16" i="17"/>
  <c r="J319" i="8" l="1"/>
  <c r="J235" i="8"/>
  <c r="J236" i="8"/>
  <c r="J237" i="8"/>
  <c r="J238" i="8"/>
  <c r="J239" i="8"/>
  <c r="J240" i="8"/>
  <c r="J241" i="8"/>
  <c r="J242" i="8"/>
  <c r="J243" i="8"/>
  <c r="J244" i="8"/>
  <c r="J245" i="8"/>
  <c r="J246" i="8"/>
  <c r="J247" i="8"/>
  <c r="J248" i="8"/>
  <c r="J249" i="8"/>
  <c r="J250" i="8"/>
  <c r="J251" i="8"/>
  <c r="J252" i="8"/>
  <c r="J253" i="8"/>
  <c r="J254" i="8"/>
  <c r="J255" i="8"/>
  <c r="J256" i="8"/>
  <c r="J257" i="8"/>
  <c r="J258" i="8"/>
  <c r="J259" i="8"/>
  <c r="J260" i="8"/>
  <c r="J261" i="8"/>
  <c r="J262" i="8"/>
  <c r="J263" i="8"/>
  <c r="J264" i="8"/>
  <c r="J265" i="8"/>
  <c r="J266" i="8"/>
  <c r="J267" i="8"/>
  <c r="J268" i="8"/>
  <c r="J269" i="8"/>
  <c r="J270" i="8"/>
  <c r="J271" i="8"/>
  <c r="J272" i="8"/>
  <c r="J273" i="8"/>
  <c r="J274" i="8"/>
  <c r="J275" i="8"/>
  <c r="J276" i="8"/>
  <c r="J277" i="8"/>
  <c r="J278" i="8"/>
  <c r="J279" i="8"/>
  <c r="J280" i="8"/>
  <c r="J281" i="8"/>
  <c r="J282" i="8"/>
  <c r="J283" i="8"/>
  <c r="J284" i="8"/>
  <c r="J285" i="8"/>
  <c r="J286" i="8"/>
  <c r="J287" i="8"/>
  <c r="J288" i="8"/>
  <c r="J289" i="8"/>
  <c r="J290" i="8"/>
  <c r="J291" i="8"/>
  <c r="J292" i="8"/>
  <c r="J293" i="8"/>
  <c r="J294" i="8"/>
  <c r="J295" i="8"/>
  <c r="J296" i="8"/>
  <c r="J297" i="8"/>
  <c r="J298" i="8"/>
  <c r="J299" i="8"/>
  <c r="J300" i="8"/>
  <c r="J301" i="8"/>
  <c r="J302" i="8"/>
  <c r="J303" i="8"/>
  <c r="J304" i="8"/>
  <c r="J305" i="8"/>
  <c r="J306" i="8"/>
  <c r="J307" i="8"/>
  <c r="J308" i="8"/>
  <c r="J309" i="8"/>
  <c r="J310" i="8"/>
  <c r="J311" i="8"/>
  <c r="J312" i="8"/>
  <c r="J313" i="8"/>
  <c r="J314" i="8"/>
  <c r="J315" i="8"/>
  <c r="J316" i="8"/>
  <c r="J317" i="8"/>
  <c r="J234" i="8"/>
  <c r="J231" i="8"/>
  <c r="J232" i="8"/>
  <c r="J230" i="8"/>
  <c r="J223" i="8"/>
  <c r="J224" i="8"/>
  <c r="J225" i="8"/>
  <c r="J226" i="8"/>
  <c r="J227" i="8"/>
  <c r="J228" i="8"/>
  <c r="J222" i="8"/>
  <c r="J214" i="8"/>
  <c r="J215" i="8"/>
  <c r="J216" i="8"/>
  <c r="J217" i="8"/>
  <c r="J218" i="8"/>
  <c r="J219" i="8"/>
  <c r="J220" i="8"/>
  <c r="J213" i="8"/>
  <c r="J204" i="8"/>
  <c r="J205" i="8"/>
  <c r="J206" i="8"/>
  <c r="J207" i="8"/>
  <c r="J208" i="8"/>
  <c r="J209" i="8"/>
  <c r="J210" i="8"/>
  <c r="J211" i="8"/>
  <c r="J203" i="8"/>
  <c r="J190" i="8"/>
  <c r="J191" i="8"/>
  <c r="J192" i="8"/>
  <c r="J193" i="8"/>
  <c r="J194" i="8"/>
  <c r="J195" i="8"/>
  <c r="J196" i="8"/>
  <c r="J197" i="8"/>
  <c r="J198" i="8"/>
  <c r="J199" i="8"/>
  <c r="J200" i="8"/>
  <c r="J201" i="8"/>
  <c r="J179" i="8"/>
  <c r="J180" i="8"/>
  <c r="J181" i="8"/>
  <c r="J182" i="8"/>
  <c r="J183" i="8"/>
  <c r="J184" i="8"/>
  <c r="J185" i="8"/>
  <c r="J186" i="8"/>
  <c r="J187" i="8"/>
  <c r="J188" i="8"/>
  <c r="J189" i="8"/>
  <c r="J178" i="8"/>
  <c r="J173" i="8"/>
  <c r="J174" i="8"/>
  <c r="J175" i="8"/>
  <c r="J176" i="8"/>
  <c r="J172" i="8"/>
  <c r="J167" i="8"/>
  <c r="J168" i="8"/>
  <c r="J169" i="8"/>
  <c r="J170" i="8"/>
  <c r="J166" i="8"/>
  <c r="J163" i="8"/>
  <c r="J164" i="8"/>
  <c r="J162" i="8"/>
  <c r="J152" i="8"/>
  <c r="J153" i="8"/>
  <c r="J154" i="8"/>
  <c r="J155" i="8"/>
  <c r="J156" i="8"/>
  <c r="J157" i="8"/>
  <c r="J158" i="8"/>
  <c r="J159" i="8"/>
  <c r="J160" i="8"/>
  <c r="J151" i="8"/>
  <c r="J149" i="8"/>
  <c r="J148" i="8"/>
  <c r="J146" i="8"/>
  <c r="J145" i="8" s="1"/>
  <c r="J144" i="8"/>
  <c r="J143" i="8" s="1"/>
  <c r="J138" i="8"/>
  <c r="J139" i="8"/>
  <c r="J140" i="8"/>
  <c r="J141" i="8"/>
  <c r="J142" i="8"/>
  <c r="J137" i="8"/>
  <c r="J121" i="8"/>
  <c r="J122" i="8"/>
  <c r="J123" i="8"/>
  <c r="J124" i="8"/>
  <c r="J125" i="8"/>
  <c r="J126" i="8"/>
  <c r="J127" i="8"/>
  <c r="J128" i="8"/>
  <c r="J129" i="8"/>
  <c r="J130" i="8"/>
  <c r="J131" i="8"/>
  <c r="J132" i="8"/>
  <c r="J133" i="8"/>
  <c r="J134" i="8"/>
  <c r="J135" i="8"/>
  <c r="J120" i="8"/>
  <c r="J112" i="8"/>
  <c r="J113" i="8"/>
  <c r="J114" i="8"/>
  <c r="J115" i="8"/>
  <c r="J116" i="8"/>
  <c r="J117" i="8"/>
  <c r="J118" i="8"/>
  <c r="J111" i="8"/>
  <c r="J93" i="8"/>
  <c r="J94" i="8"/>
  <c r="J95" i="8"/>
  <c r="J96" i="8"/>
  <c r="J97" i="8"/>
  <c r="J98" i="8"/>
  <c r="J99" i="8"/>
  <c r="J100" i="8"/>
  <c r="J101" i="8"/>
  <c r="J102" i="8"/>
  <c r="J103" i="8"/>
  <c r="J104" i="8"/>
  <c r="J105" i="8"/>
  <c r="J106" i="8"/>
  <c r="J107" i="8"/>
  <c r="J108" i="8"/>
  <c r="J109" i="8"/>
  <c r="J92" i="8"/>
  <c r="J89" i="8"/>
  <c r="J79" i="8"/>
  <c r="J80" i="8"/>
  <c r="J81" i="8"/>
  <c r="J82" i="8"/>
  <c r="J83" i="8"/>
  <c r="J84" i="8"/>
  <c r="J85" i="8"/>
  <c r="J86" i="8"/>
  <c r="J87" i="8"/>
  <c r="J88" i="8"/>
  <c r="J90" i="8"/>
  <c r="J78" i="8"/>
  <c r="J68" i="8"/>
  <c r="J69" i="8"/>
  <c r="J70" i="8"/>
  <c r="J71" i="8"/>
  <c r="J72" i="8"/>
  <c r="J73" i="8"/>
  <c r="J74" i="8"/>
  <c r="J75" i="8"/>
  <c r="J76" i="8"/>
  <c r="J67" i="8"/>
  <c r="J53" i="8"/>
  <c r="J54" i="8"/>
  <c r="J55" i="8"/>
  <c r="J56" i="8"/>
  <c r="J57" i="8"/>
  <c r="J58" i="8"/>
  <c r="J59" i="8"/>
  <c r="J60" i="8"/>
  <c r="J61" i="8"/>
  <c r="J62" i="8"/>
  <c r="J63" i="8"/>
  <c r="J64" i="8"/>
  <c r="J65" i="8"/>
  <c r="J52" i="8"/>
  <c r="J50" i="8"/>
  <c r="J49" i="8"/>
  <c r="J40" i="8"/>
  <c r="J41" i="8"/>
  <c r="J42" i="8"/>
  <c r="J43" i="8"/>
  <c r="J44" i="8"/>
  <c r="J45" i="8"/>
  <c r="J46" i="8"/>
  <c r="J47" i="8"/>
  <c r="J39" i="8"/>
  <c r="J30" i="8"/>
  <c r="J31" i="8"/>
  <c r="J32" i="8"/>
  <c r="J33" i="8"/>
  <c r="J34" i="8"/>
  <c r="J35" i="8"/>
  <c r="J36" i="8"/>
  <c r="J37" i="8"/>
  <c r="J29" i="8"/>
  <c r="J28" i="8" s="1"/>
  <c r="J20" i="8"/>
  <c r="J21" i="8"/>
  <c r="J22" i="8"/>
  <c r="J23" i="8"/>
  <c r="J24" i="8"/>
  <c r="J25" i="8"/>
  <c r="J26" i="8"/>
  <c r="J27" i="8"/>
  <c r="J19" i="8"/>
  <c r="H62" i="10"/>
  <c r="H61" i="10" s="1"/>
  <c r="G61" i="10"/>
  <c r="E61" i="10"/>
  <c r="G16" i="10"/>
  <c r="G20" i="10"/>
  <c r="G25" i="10"/>
  <c r="G34" i="10"/>
  <c r="G31" i="10"/>
  <c r="G36" i="10"/>
  <c r="G43" i="10"/>
  <c r="E43" i="10"/>
  <c r="H45" i="10"/>
  <c r="H46" i="10"/>
  <c r="H47" i="10"/>
  <c r="H48" i="10"/>
  <c r="H49" i="10"/>
  <c r="H50" i="10"/>
  <c r="H51" i="10"/>
  <c r="H52" i="10"/>
  <c r="H53" i="10"/>
  <c r="H54" i="10"/>
  <c r="H44" i="10"/>
  <c r="H38" i="10"/>
  <c r="H39" i="10"/>
  <c r="H40" i="10"/>
  <c r="H41" i="10"/>
  <c r="H42" i="10"/>
  <c r="H37" i="10"/>
  <c r="H35" i="10"/>
  <c r="H34" i="10" s="1"/>
  <c r="H33" i="10"/>
  <c r="H32" i="10"/>
  <c r="H27" i="10"/>
  <c r="H28" i="10"/>
  <c r="H29" i="10"/>
  <c r="H30" i="10"/>
  <c r="H26" i="10"/>
  <c r="H22" i="10"/>
  <c r="H23" i="10"/>
  <c r="H24" i="10"/>
  <c r="H21" i="10"/>
  <c r="H18" i="10"/>
  <c r="H19" i="10"/>
  <c r="H17" i="10"/>
  <c r="E36" i="10"/>
  <c r="E34" i="10"/>
  <c r="E31" i="10"/>
  <c r="E25" i="10"/>
  <c r="E20" i="10"/>
  <c r="E16" i="10"/>
  <c r="H17" i="11"/>
  <c r="H18" i="11"/>
  <c r="H19" i="11"/>
  <c r="H20" i="11"/>
  <c r="H21" i="11"/>
  <c r="H22" i="11"/>
  <c r="H23" i="11"/>
  <c r="H24" i="11"/>
  <c r="H25" i="11"/>
  <c r="H26" i="11"/>
  <c r="H27" i="11"/>
  <c r="H28" i="11"/>
  <c r="H29" i="11"/>
  <c r="H30" i="11"/>
  <c r="H31" i="11"/>
  <c r="H32" i="11"/>
  <c r="H16" i="11"/>
  <c r="E15" i="12"/>
  <c r="G15" i="12"/>
  <c r="H17" i="12"/>
  <c r="H18" i="12"/>
  <c r="H19" i="12"/>
  <c r="H20" i="12"/>
  <c r="H21" i="12"/>
  <c r="H22" i="12"/>
  <c r="H23" i="12"/>
  <c r="H24" i="12"/>
  <c r="H16" i="12"/>
  <c r="G60" i="9"/>
  <c r="E60" i="9"/>
  <c r="G44" i="9"/>
  <c r="H46" i="9"/>
  <c r="H47" i="9"/>
  <c r="H48" i="9"/>
  <c r="H49" i="9"/>
  <c r="H50" i="9"/>
  <c r="H51" i="9"/>
  <c r="H52" i="9"/>
  <c r="H53" i="9"/>
  <c r="H54" i="9"/>
  <c r="H45" i="9"/>
  <c r="E44" i="9"/>
  <c r="H31" i="9"/>
  <c r="H32" i="9"/>
  <c r="H33" i="9"/>
  <c r="H34" i="9"/>
  <c r="H35" i="9"/>
  <c r="H36" i="9"/>
  <c r="H30" i="9"/>
  <c r="E15" i="9"/>
  <c r="G15" i="9"/>
  <c r="H17" i="9"/>
  <c r="H18" i="9"/>
  <c r="H19" i="9"/>
  <c r="H20" i="9"/>
  <c r="H21" i="9"/>
  <c r="H22" i="9"/>
  <c r="H23" i="9"/>
  <c r="H16" i="9"/>
  <c r="H18" i="17"/>
  <c r="H19" i="17"/>
  <c r="H20" i="17"/>
  <c r="H21" i="17"/>
  <c r="H17" i="17"/>
  <c r="J150" i="8" l="1"/>
  <c r="J18" i="8"/>
  <c r="J38" i="8"/>
  <c r="J147" i="8"/>
  <c r="G64" i="9"/>
  <c r="H43" i="10"/>
  <c r="H36" i="10"/>
  <c r="H16" i="10"/>
  <c r="H44" i="9"/>
  <c r="H25" i="10"/>
  <c r="J77" i="8"/>
  <c r="H16" i="17"/>
  <c r="H31" i="10"/>
  <c r="G15" i="10"/>
  <c r="G63" i="10" s="1"/>
  <c r="H20" i="10"/>
  <c r="H29" i="9"/>
  <c r="E15" i="10"/>
  <c r="E63" i="10" s="1"/>
  <c r="H60" i="9"/>
  <c r="H15" i="9"/>
  <c r="H120" i="13"/>
  <c r="H119" i="13"/>
  <c r="H109" i="13"/>
  <c r="H110" i="13"/>
  <c r="H101" i="13"/>
  <c r="H102" i="13"/>
  <c r="H103" i="13"/>
  <c r="H104" i="13"/>
  <c r="H105" i="13"/>
  <c r="H106" i="13"/>
  <c r="H107" i="13"/>
  <c r="H108" i="13"/>
  <c r="H100" i="13"/>
  <c r="H97" i="13"/>
  <c r="H98" i="13"/>
  <c r="H99" i="13"/>
  <c r="H96" i="13"/>
  <c r="H93" i="13"/>
  <c r="H94" i="13"/>
  <c r="H92" i="13"/>
  <c r="H81" i="13"/>
  <c r="H82" i="13"/>
  <c r="H80" i="13"/>
  <c r="H78" i="13"/>
  <c r="H79" i="13"/>
  <c r="H77" i="13"/>
  <c r="H75" i="13"/>
  <c r="H70" i="13"/>
  <c r="H73" i="13"/>
  <c r="H74" i="13"/>
  <c r="H72" i="13"/>
  <c r="H66" i="13"/>
  <c r="H67" i="13"/>
  <c r="H68" i="13"/>
  <c r="H69" i="13"/>
  <c r="H65" i="13"/>
  <c r="H63" i="13"/>
  <c r="H62" i="13"/>
  <c r="H61" i="13"/>
  <c r="H60" i="13"/>
  <c r="H59" i="13"/>
  <c r="H58" i="13"/>
  <c r="H57" i="13"/>
  <c r="H46" i="13"/>
  <c r="H47" i="13"/>
  <c r="H48" i="13"/>
  <c r="H49" i="13"/>
  <c r="H45" i="13"/>
  <c r="H44" i="13" s="1"/>
  <c r="H40" i="13"/>
  <c r="H41" i="13"/>
  <c r="H42" i="13"/>
  <c r="H43" i="13"/>
  <c r="H39" i="13"/>
  <c r="H37" i="13"/>
  <c r="H36" i="13"/>
  <c r="H31" i="13"/>
  <c r="H32" i="13"/>
  <c r="H33" i="13"/>
  <c r="H34" i="13"/>
  <c r="H35" i="13"/>
  <c r="H30" i="13"/>
  <c r="H28" i="13"/>
  <c r="H27" i="13" s="1"/>
  <c r="H17" i="13"/>
  <c r="H18" i="13"/>
  <c r="H19" i="13"/>
  <c r="H20" i="13"/>
  <c r="H16" i="13"/>
  <c r="H17" i="14"/>
  <c r="H16" i="14" s="1"/>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M18" i="6"/>
  <c r="L18" i="6"/>
  <c r="H71" i="13" l="1"/>
  <c r="H118" i="13"/>
  <c r="M16" i="6"/>
  <c r="K16" i="6"/>
  <c r="H271" i="16" l="1"/>
  <c r="H191" i="16"/>
  <c r="H185" i="16"/>
  <c r="H179" i="16"/>
  <c r="H175" i="16"/>
  <c r="H66" i="16"/>
  <c r="H26" i="16" l="1"/>
  <c r="H15" i="16" l="1"/>
  <c r="H384" i="16" l="1"/>
  <c r="J318" i="8"/>
  <c r="J221" i="8"/>
  <c r="J233" i="8" l="1"/>
  <c r="J229" i="8"/>
  <c r="G22" i="22"/>
  <c r="E22" i="22"/>
  <c r="G47" i="20"/>
  <c r="E47" i="20"/>
  <c r="G35" i="20"/>
  <c r="E35" i="20"/>
  <c r="G14" i="22"/>
  <c r="G37" i="22"/>
  <c r="E46" i="22"/>
  <c r="G46" i="22"/>
  <c r="H48" i="22"/>
  <c r="H49" i="22"/>
  <c r="H50" i="22"/>
  <c r="H51" i="22"/>
  <c r="H52" i="22"/>
  <c r="H53" i="22"/>
  <c r="H54" i="22"/>
  <c r="H55" i="22"/>
  <c r="H47" i="22"/>
  <c r="H39" i="22"/>
  <c r="H40" i="22"/>
  <c r="H38" i="22"/>
  <c r="H24" i="22"/>
  <c r="H25" i="22"/>
  <c r="H26" i="22"/>
  <c r="H27" i="22"/>
  <c r="H28" i="22"/>
  <c r="H29" i="22"/>
  <c r="H30" i="22"/>
  <c r="H31" i="22"/>
  <c r="H23" i="22"/>
  <c r="H16" i="22"/>
  <c r="H15" i="22"/>
  <c r="H14" i="22" s="1"/>
  <c r="H48" i="20"/>
  <c r="H37" i="20"/>
  <c r="H38" i="20"/>
  <c r="H39" i="20"/>
  <c r="H40" i="20"/>
  <c r="H41" i="20"/>
  <c r="H36" i="20"/>
  <c r="H16" i="20"/>
  <c r="H17" i="20"/>
  <c r="H18" i="20"/>
  <c r="H19" i="20"/>
  <c r="H20" i="20"/>
  <c r="H21" i="20"/>
  <c r="H23" i="20"/>
  <c r="H24" i="20"/>
  <c r="H25" i="20"/>
  <c r="H26" i="20"/>
  <c r="H27" i="20"/>
  <c r="H28" i="20"/>
  <c r="H29" i="20"/>
  <c r="H15" i="20"/>
  <c r="H18" i="19"/>
  <c r="H19" i="15"/>
  <c r="H20" i="15"/>
  <c r="H21" i="15"/>
  <c r="H22" i="15"/>
  <c r="H18" i="15"/>
  <c r="H46" i="22" l="1"/>
  <c r="H17" i="19"/>
  <c r="H37" i="22"/>
  <c r="H22" i="22"/>
  <c r="H47" i="20"/>
  <c r="H35" i="20"/>
  <c r="J212" i="8"/>
  <c r="J202" i="8"/>
  <c r="J177" i="8"/>
  <c r="J161" i="8"/>
  <c r="J171" i="8" l="1"/>
  <c r="J165" i="8"/>
  <c r="J136" i="8"/>
  <c r="J119" i="8"/>
  <c r="J110" i="8"/>
  <c r="J91" i="8"/>
  <c r="J66" i="8"/>
  <c r="J51" i="8"/>
  <c r="J48" i="8"/>
  <c r="J17" i="8" l="1"/>
  <c r="J16" i="8" s="1"/>
  <c r="D15" i="12" l="1"/>
  <c r="C15" i="12"/>
  <c r="H17" i="15" l="1"/>
  <c r="H95" i="13" l="1"/>
  <c r="H91" i="13"/>
  <c r="H90" i="13" l="1"/>
  <c r="H64" i="13"/>
  <c r="H38" i="13"/>
  <c r="H76" i="13"/>
  <c r="H29" i="13"/>
  <c r="H56" i="13" l="1"/>
  <c r="C37" i="20" l="1"/>
  <c r="H14" i="20" l="1"/>
  <c r="C37" i="22"/>
  <c r="D37" i="22"/>
  <c r="E37" i="22"/>
  <c r="D22" i="22"/>
  <c r="C22" i="22"/>
  <c r="C14" i="22"/>
  <c r="D14" i="22"/>
  <c r="E14" i="22"/>
  <c r="G14" i="20"/>
  <c r="C14" i="20"/>
  <c r="D14" i="20"/>
  <c r="E14" i="20"/>
  <c r="J16" i="6"/>
  <c r="G16" i="6"/>
  <c r="E49" i="20" l="1"/>
  <c r="H56" i="22"/>
  <c r="H49" i="20"/>
  <c r="G56" i="22"/>
  <c r="D29" i="30"/>
  <c r="D30" i="30" l="1"/>
  <c r="D31" i="30" s="1"/>
  <c r="D47" i="29" l="1"/>
  <c r="C47" i="29"/>
  <c r="D50" i="29"/>
  <c r="C50" i="29"/>
  <c r="C60" i="9" l="1"/>
  <c r="D60" i="9"/>
  <c r="D44" i="9"/>
  <c r="C29" i="9"/>
  <c r="D29" i="9"/>
  <c r="D15" i="9"/>
  <c r="G118" i="13"/>
  <c r="G95" i="13"/>
  <c r="G91" i="13"/>
  <c r="G76" i="13"/>
  <c r="G71" i="13"/>
  <c r="G64" i="13"/>
  <c r="G90" i="13" l="1"/>
  <c r="G56" i="13"/>
  <c r="G44" i="13"/>
  <c r="G38" i="13"/>
  <c r="G29" i="13"/>
  <c r="E56" i="22"/>
  <c r="G365" i="16"/>
  <c r="E365" i="16"/>
  <c r="G374" i="16"/>
  <c r="E374" i="16"/>
  <c r="G271" i="16"/>
  <c r="G185" i="16"/>
  <c r="G179" i="16"/>
  <c r="G175" i="16"/>
  <c r="G27" i="16"/>
  <c r="E185" i="16"/>
  <c r="E179" i="16"/>
  <c r="E175" i="16"/>
  <c r="E66" i="16"/>
  <c r="E26" i="16" s="1"/>
  <c r="E27" i="16"/>
  <c r="D16" i="16"/>
  <c r="I18" i="8"/>
  <c r="I177" i="8"/>
  <c r="I171" i="8"/>
  <c r="I165" i="8"/>
  <c r="I161" i="8"/>
  <c r="I150" i="8"/>
  <c r="I147" i="8"/>
  <c r="I145" i="8"/>
  <c r="I143" i="8"/>
  <c r="I136" i="8"/>
  <c r="I119" i="8"/>
  <c r="I110" i="8"/>
  <c r="I91" i="8"/>
  <c r="I77" i="8"/>
  <c r="I66" i="8"/>
  <c r="I51" i="8"/>
  <c r="I48" i="8"/>
  <c r="I38" i="8"/>
  <c r="I28" i="8"/>
  <c r="F77" i="8"/>
  <c r="F48" i="8"/>
  <c r="I318" i="8"/>
  <c r="I229" i="8"/>
  <c r="I221" i="8"/>
  <c r="I212" i="8"/>
  <c r="I202" i="8"/>
  <c r="G27" i="13" l="1"/>
  <c r="I17" i="8"/>
  <c r="I16" i="8" s="1"/>
  <c r="G26" i="16"/>
  <c r="G15" i="16" s="1"/>
  <c r="G384" i="16" l="1"/>
  <c r="D30" i="23" l="1"/>
  <c r="C30" i="23"/>
  <c r="G24" i="24" l="1"/>
  <c r="G23" i="24" s="1"/>
  <c r="G57" i="24" s="1"/>
  <c r="E24" i="24"/>
  <c r="E23" i="24" s="1"/>
  <c r="E56" i="24" l="1"/>
  <c r="E47" i="24" s="1"/>
  <c r="D47" i="24"/>
  <c r="C47" i="24"/>
  <c r="D24" i="24"/>
  <c r="D23" i="24" s="1"/>
  <c r="C24" i="24"/>
  <c r="C23" i="24" s="1"/>
  <c r="D15" i="24"/>
  <c r="C15" i="24"/>
  <c r="F103" i="23"/>
  <c r="I100" i="23"/>
  <c r="D100" i="23"/>
  <c r="C100" i="23"/>
  <c r="I82" i="23"/>
  <c r="D82" i="23"/>
  <c r="C82" i="23"/>
  <c r="D71" i="23"/>
  <c r="C71" i="23"/>
  <c r="D55" i="23"/>
  <c r="C55" i="23"/>
  <c r="D46" i="23"/>
  <c r="C46" i="23"/>
  <c r="D21" i="23"/>
  <c r="C21" i="23"/>
  <c r="D14" i="23"/>
  <c r="C14" i="23"/>
  <c r="D57" i="24" l="1"/>
  <c r="C57" i="24"/>
  <c r="C103" i="23"/>
  <c r="D103" i="23"/>
  <c r="G103" i="23"/>
  <c r="H103" i="23"/>
  <c r="E57" i="24"/>
  <c r="D46" i="22"/>
  <c r="D56" i="22" s="1"/>
  <c r="C46" i="22"/>
  <c r="G49" i="20"/>
  <c r="D47" i="20"/>
  <c r="C47" i="20"/>
  <c r="D35" i="20"/>
  <c r="C35" i="20"/>
  <c r="D216" i="18"/>
  <c r="C216" i="18"/>
  <c r="D205" i="18"/>
  <c r="C205" i="18"/>
  <c r="D162" i="18"/>
  <c r="C162" i="18"/>
  <c r="D143" i="18"/>
  <c r="C143" i="18"/>
  <c r="D133" i="18"/>
  <c r="C133" i="18"/>
  <c r="D109" i="18"/>
  <c r="C109" i="18"/>
  <c r="D99" i="18"/>
  <c r="C99" i="18"/>
  <c r="D92" i="18"/>
  <c r="C92" i="18"/>
  <c r="D32" i="18"/>
  <c r="C32" i="18"/>
  <c r="D15" i="18"/>
  <c r="C15" i="18"/>
  <c r="C20" i="17"/>
  <c r="C16" i="17" s="1"/>
  <c r="D16" i="17"/>
  <c r="F384" i="16"/>
  <c r="D374" i="16"/>
  <c r="C374" i="16"/>
  <c r="D365" i="16"/>
  <c r="C365" i="16"/>
  <c r="C287" i="16"/>
  <c r="C279" i="16"/>
  <c r="E271" i="16"/>
  <c r="D271" i="16"/>
  <c r="C264" i="16"/>
  <c r="C256" i="16"/>
  <c r="C255" i="16"/>
  <c r="C229" i="16"/>
  <c r="C194" i="16"/>
  <c r="E191" i="16"/>
  <c r="D191" i="16"/>
  <c r="C190" i="16"/>
  <c r="C188" i="16"/>
  <c r="C187" i="16"/>
  <c r="D185" i="16"/>
  <c r="C184" i="16"/>
  <c r="C183" i="16"/>
  <c r="D179" i="16"/>
  <c r="D175" i="16"/>
  <c r="C175" i="16"/>
  <c r="C164" i="16"/>
  <c r="C112" i="16"/>
  <c r="C83" i="16"/>
  <c r="C76" i="16"/>
  <c r="C74" i="16"/>
  <c r="D66" i="16"/>
  <c r="D27" i="16"/>
  <c r="C27" i="16"/>
  <c r="C16" i="16"/>
  <c r="G17" i="15"/>
  <c r="E17" i="15"/>
  <c r="D17" i="15"/>
  <c r="C17" i="15"/>
  <c r="G16" i="14"/>
  <c r="E16" i="14"/>
  <c r="D16" i="14"/>
  <c r="C16" i="14"/>
  <c r="E118" i="13"/>
  <c r="D118" i="13"/>
  <c r="C118" i="13"/>
  <c r="E99" i="13"/>
  <c r="E95" i="13" s="1"/>
  <c r="D95" i="13"/>
  <c r="C95" i="13"/>
  <c r="E92" i="13"/>
  <c r="E91" i="13" s="1"/>
  <c r="D91" i="13"/>
  <c r="C91" i="13"/>
  <c r="C90" i="13" s="1"/>
  <c r="D90" i="13"/>
  <c r="E76" i="13"/>
  <c r="D76" i="13"/>
  <c r="C76" i="13"/>
  <c r="E71" i="13"/>
  <c r="D71" i="13"/>
  <c r="C71" i="13"/>
  <c r="E64" i="13"/>
  <c r="D64" i="13"/>
  <c r="D56" i="13" s="1"/>
  <c r="C64" i="13"/>
  <c r="E44" i="13"/>
  <c r="D44" i="13"/>
  <c r="C44" i="13"/>
  <c r="E38" i="13"/>
  <c r="D38" i="13"/>
  <c r="C38" i="13"/>
  <c r="E29" i="13"/>
  <c r="D29" i="13"/>
  <c r="C29" i="13"/>
  <c r="H15" i="13"/>
  <c r="G15" i="13"/>
  <c r="E15" i="13"/>
  <c r="D15" i="13"/>
  <c r="C15" i="13"/>
  <c r="D61" i="10"/>
  <c r="C61" i="10"/>
  <c r="C46" i="10"/>
  <c r="C45" i="10"/>
  <c r="D43" i="10"/>
  <c r="C41" i="10"/>
  <c r="C40" i="10"/>
  <c r="C39" i="10"/>
  <c r="C37" i="10"/>
  <c r="C36" i="10" s="1"/>
  <c r="D36" i="10"/>
  <c r="D34" i="10"/>
  <c r="C34" i="10"/>
  <c r="C33" i="10"/>
  <c r="C31" i="10" s="1"/>
  <c r="C32" i="10"/>
  <c r="D31" i="10"/>
  <c r="D25" i="10"/>
  <c r="C25" i="10"/>
  <c r="C24" i="10"/>
  <c r="C23" i="10"/>
  <c r="C22" i="10"/>
  <c r="C21" i="10"/>
  <c r="D20" i="10"/>
  <c r="C19" i="10"/>
  <c r="C16" i="10" s="1"/>
  <c r="D16" i="10"/>
  <c r="C46" i="9"/>
  <c r="C45" i="9"/>
  <c r="C20" i="9"/>
  <c r="C15" i="9" s="1"/>
  <c r="G318" i="8"/>
  <c r="F318" i="8"/>
  <c r="E318" i="8"/>
  <c r="D318" i="8"/>
  <c r="C318" i="8"/>
  <c r="C307" i="8"/>
  <c r="C305" i="8"/>
  <c r="C233" i="8" s="1"/>
  <c r="G233" i="8"/>
  <c r="F233" i="8"/>
  <c r="E233" i="8"/>
  <c r="D233" i="8"/>
  <c r="G229" i="8"/>
  <c r="F229" i="8"/>
  <c r="E229" i="8"/>
  <c r="D229" i="8"/>
  <c r="C229" i="8"/>
  <c r="G221" i="8"/>
  <c r="F221" i="8"/>
  <c r="E221" i="8"/>
  <c r="D221" i="8"/>
  <c r="C221" i="8"/>
  <c r="G212" i="8"/>
  <c r="F212" i="8"/>
  <c r="E212" i="8"/>
  <c r="D212" i="8"/>
  <c r="C212" i="8"/>
  <c r="G202" i="8"/>
  <c r="F202" i="8"/>
  <c r="E202" i="8"/>
  <c r="D202" i="8"/>
  <c r="C202" i="8"/>
  <c r="F179" i="8"/>
  <c r="F177" i="8" s="1"/>
  <c r="G177" i="8"/>
  <c r="E177" i="8"/>
  <c r="D177" i="8"/>
  <c r="C177" i="8"/>
  <c r="G171" i="8"/>
  <c r="F171" i="8"/>
  <c r="E171" i="8"/>
  <c r="D171" i="8"/>
  <c r="C171" i="8"/>
  <c r="F167" i="8"/>
  <c r="F165" i="8" s="1"/>
  <c r="G165" i="8"/>
  <c r="E165" i="8"/>
  <c r="D165" i="8"/>
  <c r="C165" i="8"/>
  <c r="G161" i="8"/>
  <c r="F161" i="8"/>
  <c r="E161" i="8"/>
  <c r="D161" i="8"/>
  <c r="C161" i="8"/>
  <c r="F156" i="8"/>
  <c r="F151" i="8"/>
  <c r="F150" i="8" s="1"/>
  <c r="G150" i="8"/>
  <c r="E150" i="8"/>
  <c r="D150" i="8"/>
  <c r="C150" i="8"/>
  <c r="F148" i="8"/>
  <c r="F147" i="8" s="1"/>
  <c r="G147" i="8"/>
  <c r="E147" i="8"/>
  <c r="D147" i="8"/>
  <c r="C147" i="8"/>
  <c r="G145" i="8"/>
  <c r="F145" i="8"/>
  <c r="E145" i="8"/>
  <c r="D145" i="8"/>
  <c r="C145" i="8"/>
  <c r="G143" i="8"/>
  <c r="F143" i="8"/>
  <c r="E143" i="8"/>
  <c r="D143" i="8"/>
  <c r="C143" i="8"/>
  <c r="G136" i="8"/>
  <c r="F136" i="8"/>
  <c r="E136" i="8"/>
  <c r="D136" i="8"/>
  <c r="C136" i="8"/>
  <c r="F132" i="8"/>
  <c r="F126" i="8"/>
  <c r="F120" i="8"/>
  <c r="G119" i="8"/>
  <c r="E119" i="8"/>
  <c r="D119" i="8"/>
  <c r="C119" i="8"/>
  <c r="G110" i="8"/>
  <c r="F110" i="8"/>
  <c r="E110" i="8"/>
  <c r="D110" i="8"/>
  <c r="C110" i="8"/>
  <c r="F108" i="8"/>
  <c r="F106" i="8"/>
  <c r="F104" i="8"/>
  <c r="G91" i="8"/>
  <c r="E91" i="8"/>
  <c r="D91" i="8"/>
  <c r="C91" i="8"/>
  <c r="G77" i="8"/>
  <c r="E77" i="8"/>
  <c r="D77" i="8"/>
  <c r="C77" i="8"/>
  <c r="F75" i="8"/>
  <c r="F71" i="8"/>
  <c r="F69" i="8"/>
  <c r="F67" i="8"/>
  <c r="G66" i="8"/>
  <c r="E66" i="8"/>
  <c r="D66" i="8"/>
  <c r="C66" i="8"/>
  <c r="F61" i="8"/>
  <c r="F51" i="8" s="1"/>
  <c r="G51" i="8"/>
  <c r="E51" i="8"/>
  <c r="D51" i="8"/>
  <c r="C51" i="8"/>
  <c r="G48" i="8"/>
  <c r="E48" i="8"/>
  <c r="D48" i="8"/>
  <c r="C48" i="8"/>
  <c r="F44" i="8"/>
  <c r="F39" i="8"/>
  <c r="G38" i="8"/>
  <c r="E38" i="8"/>
  <c r="D38" i="8"/>
  <c r="C38" i="8"/>
  <c r="F36" i="8"/>
  <c r="F34" i="8"/>
  <c r="F29" i="8"/>
  <c r="G28" i="8"/>
  <c r="E28" i="8"/>
  <c r="D28" i="8"/>
  <c r="C28" i="8"/>
  <c r="F24" i="8"/>
  <c r="F19" i="8"/>
  <c r="G18" i="8"/>
  <c r="G17" i="8" s="1"/>
  <c r="G16" i="8" s="1"/>
  <c r="E18" i="8"/>
  <c r="D18" i="8"/>
  <c r="C18" i="8"/>
  <c r="L16" i="6"/>
  <c r="H16" i="6"/>
  <c r="F16" i="6"/>
  <c r="E16" i="6"/>
  <c r="D16" i="6"/>
  <c r="C16" i="6"/>
  <c r="C43" i="10" l="1"/>
  <c r="C222" i="18"/>
  <c r="E17" i="8"/>
  <c r="E16" i="8" s="1"/>
  <c r="G121" i="13"/>
  <c r="D222" i="18"/>
  <c r="F28" i="8"/>
  <c r="C44" i="9"/>
  <c r="C66" i="16"/>
  <c r="C26" i="16" s="1"/>
  <c r="F18" i="8"/>
  <c r="F66" i="8"/>
  <c r="F91" i="8"/>
  <c r="F119" i="8"/>
  <c r="C185" i="16"/>
  <c r="E15" i="16"/>
  <c r="C271" i="16"/>
  <c r="C17" i="8"/>
  <c r="C16" i="8" s="1"/>
  <c r="F38" i="8"/>
  <c r="D17" i="8"/>
  <c r="D16" i="8" s="1"/>
  <c r="C20" i="10"/>
  <c r="D15" i="10"/>
  <c r="D63" i="10" s="1"/>
  <c r="C56" i="13"/>
  <c r="D26" i="16"/>
  <c r="D15" i="16" s="1"/>
  <c r="H64" i="9"/>
  <c r="H121" i="13"/>
  <c r="C191" i="16"/>
  <c r="H15" i="10"/>
  <c r="H63" i="10" s="1"/>
  <c r="D121" i="13"/>
  <c r="E56" i="13"/>
  <c r="E90" i="13"/>
  <c r="C15" i="10"/>
  <c r="C63" i="10" s="1"/>
  <c r="C56" i="22"/>
  <c r="D64" i="9"/>
  <c r="C179" i="16"/>
  <c r="D49" i="20"/>
  <c r="C49" i="20"/>
  <c r="E64" i="9"/>
  <c r="F17" i="8"/>
  <c r="F16" i="8" s="1"/>
  <c r="C64" i="9"/>
  <c r="E384" i="16" l="1"/>
  <c r="C121" i="13"/>
  <c r="E121" i="13"/>
  <c r="D384" i="16"/>
  <c r="C15" i="16"/>
  <c r="C384" i="16" s="1"/>
  <c r="N43" i="5"/>
  <c r="N39" i="5"/>
  <c r="N33" i="5"/>
  <c r="N34" i="5"/>
  <c r="N35" i="5"/>
  <c r="N36" i="5"/>
  <c r="N37" i="5"/>
  <c r="N32" i="5"/>
  <c r="N28" i="5"/>
  <c r="N29" i="5"/>
  <c r="N30" i="5"/>
  <c r="N27" i="5"/>
  <c r="N26" i="5" s="1"/>
  <c r="N24" i="5"/>
  <c r="N25" i="5"/>
  <c r="N22" i="5"/>
  <c r="N21" i="5" s="1"/>
  <c r="N16" i="5"/>
  <c r="N17" i="5"/>
  <c r="N18" i="5"/>
  <c r="N19" i="5"/>
  <c r="N20" i="5"/>
  <c r="N15" i="5"/>
  <c r="N42" i="5"/>
  <c r="N41" i="5" s="1"/>
  <c r="N38" i="5"/>
  <c r="L42" i="5"/>
  <c r="L41" i="5" s="1"/>
  <c r="L38" i="5"/>
  <c r="H43" i="5"/>
  <c r="H42" i="5" s="1"/>
  <c r="H41" i="5" s="1"/>
  <c r="H39" i="5"/>
  <c r="H38" i="5" s="1"/>
  <c r="H35" i="5"/>
  <c r="H36" i="5"/>
  <c r="H28" i="5"/>
  <c r="H29" i="5"/>
  <c r="H30" i="5"/>
  <c r="H24" i="5"/>
  <c r="H25" i="5"/>
  <c r="H22" i="5"/>
  <c r="H16" i="5"/>
  <c r="H17" i="5"/>
  <c r="H18" i="5"/>
  <c r="H19" i="5"/>
  <c r="H20" i="5"/>
  <c r="H15" i="5"/>
  <c r="H21" i="5" l="1"/>
  <c r="H26" i="5"/>
  <c r="N31" i="5"/>
  <c r="L31" i="5"/>
  <c r="N14" i="5"/>
  <c r="H13" i="5"/>
  <c r="N13" i="5"/>
  <c r="N11" i="5" s="1"/>
  <c r="R42" i="5"/>
  <c r="R41" i="5" s="1"/>
  <c r="P42" i="5"/>
  <c r="P41" i="5" s="1"/>
  <c r="M42" i="5"/>
  <c r="M41" i="5" s="1"/>
  <c r="K42" i="5"/>
  <c r="K41" i="5" s="1"/>
  <c r="J42" i="5"/>
  <c r="J41" i="5" s="1"/>
  <c r="I42" i="5"/>
  <c r="I41" i="5" s="1"/>
  <c r="G42" i="5"/>
  <c r="G41" i="5" s="1"/>
  <c r="F42" i="5"/>
  <c r="F41" i="5" s="1"/>
  <c r="E42" i="5"/>
  <c r="E41" i="5" s="1"/>
  <c r="Q41" i="5"/>
  <c r="O41" i="5"/>
  <c r="R38" i="5"/>
  <c r="P38" i="5"/>
  <c r="M38" i="5"/>
  <c r="K38" i="5"/>
  <c r="J38" i="5"/>
  <c r="I38" i="5"/>
  <c r="G38" i="5"/>
  <c r="F38" i="5"/>
  <c r="E38" i="5"/>
  <c r="R31" i="5"/>
  <c r="P31" i="5"/>
  <c r="M31" i="5"/>
  <c r="K31" i="5"/>
  <c r="J31" i="5"/>
  <c r="I31" i="5"/>
  <c r="F31" i="5"/>
  <c r="E31" i="5"/>
  <c r="R26" i="5"/>
  <c r="P26" i="5"/>
  <c r="M26" i="5"/>
  <c r="K26" i="5"/>
  <c r="J26" i="5"/>
  <c r="I26" i="5"/>
  <c r="F26" i="5"/>
  <c r="E26" i="5"/>
  <c r="R21" i="5"/>
  <c r="P21" i="5"/>
  <c r="M21" i="5"/>
  <c r="J21" i="5"/>
  <c r="I21" i="5"/>
  <c r="F21" i="5"/>
  <c r="E21" i="5"/>
  <c r="R14" i="5"/>
  <c r="P14" i="5"/>
  <c r="M14" i="5"/>
  <c r="K14" i="5"/>
  <c r="J14" i="5"/>
  <c r="I14" i="5"/>
  <c r="G14" i="5"/>
  <c r="G13" i="5" s="1"/>
  <c r="F14" i="5"/>
  <c r="E14" i="5"/>
  <c r="E13" i="5" s="1"/>
  <c r="L11" i="5" l="1"/>
  <c r="E11" i="5"/>
  <c r="I13" i="5"/>
  <c r="G11" i="5"/>
  <c r="K13" i="5"/>
  <c r="K11" i="5" s="1"/>
  <c r="H11" i="5"/>
  <c r="P13" i="5"/>
  <c r="P11" i="5" s="1"/>
  <c r="M13" i="5"/>
  <c r="M11" i="5" s="1"/>
  <c r="I11" i="5"/>
  <c r="R13" i="5"/>
  <c r="R11" i="5" s="1"/>
  <c r="J13" i="5"/>
  <c r="J11" i="5" s="1"/>
  <c r="F13" i="5"/>
  <c r="F11" i="5" s="1"/>
  <c r="H19" i="29" l="1"/>
  <c r="H25" i="29"/>
  <c r="H27" i="29"/>
  <c r="H28" i="29"/>
  <c r="H31" i="29"/>
  <c r="H22" i="29"/>
  <c r="H26" i="29"/>
  <c r="H30" i="29"/>
  <c r="G50" i="29"/>
  <c r="H18" i="29"/>
  <c r="H14" i="29" l="1"/>
  <c r="H50" i="29" s="1"/>
</calcChain>
</file>

<file path=xl/sharedStrings.xml><?xml version="1.0" encoding="utf-8"?>
<sst xmlns="http://schemas.openxmlformats.org/spreadsheetml/2006/main" count="3925" uniqueCount="2212">
  <si>
    <t>Aprūpējamā vienas dienas uzturēšanās izmaksas (no pašvaldības budžeta) 2014.gadā</t>
  </si>
  <si>
    <r>
      <t xml:space="preserve">  </t>
    </r>
    <r>
      <rPr>
        <b/>
        <sz val="12"/>
        <rFont val="Times New Roman"/>
        <family val="1"/>
        <charset val="186"/>
      </rPr>
      <t>Jūrmalas pilsētas pašvaldības SIA</t>
    </r>
    <r>
      <rPr>
        <b/>
        <sz val="14"/>
        <rFont val="Times New Roman"/>
        <family val="1"/>
        <charset val="186"/>
      </rPr>
      <t xml:space="preserve"> "Veselības un sociālās aprūpes centrs - Sloka" </t>
    </r>
  </si>
  <si>
    <t xml:space="preserve">                                                                                                                                                                                                                                                                                                                                                                                                                                                                                                                                                                                                                                                                                                                                                                                                                                                                                                                                                                                                                                                                                                                                                                                                                                                                                                                                                                                                                                                                                                                                                                                                                                                                                                                                                                                                                                                                                                                                                                                                                                                                                                                                                                                                                                                                                                                                                                                                                                                                                                                                                                                                                                                                                                                                                                                                                                                                                                  </t>
  </si>
  <si>
    <t>EKK kods</t>
  </si>
  <si>
    <t>Rādītāju nosaukumi</t>
  </si>
  <si>
    <t>tajā skaitā pa nodaļām:</t>
  </si>
  <si>
    <t>Nodaļas gultasdienu skaits gadā (gultas/dienas)</t>
  </si>
  <si>
    <t>IZDEVUMI, t.sk.:</t>
  </si>
  <si>
    <t>Atlīdzība</t>
  </si>
  <si>
    <t>Darba samaksa</t>
  </si>
  <si>
    <t>Pārējo darbinieku darba mēnešalga (darba alga)</t>
  </si>
  <si>
    <t xml:space="preserve">Piemaksas </t>
  </si>
  <si>
    <t>Piemaksa par nakts darbu</t>
  </si>
  <si>
    <t>Samaksa par virsstundu darbu un darbu svētku dienās</t>
  </si>
  <si>
    <t xml:space="preserve">Piemaksa par darbu paaugstinātas  intensitātes apstākļos </t>
  </si>
  <si>
    <t>Piemaksas pārējās</t>
  </si>
  <si>
    <t>Darba devēja valsts sociālās apdrošināšanas obligātās iemaksas</t>
  </si>
  <si>
    <t>Darba devēja izdevumi veselības, dzīvības un nelaimes gadījumu apdrpšināšanai</t>
  </si>
  <si>
    <t>Preces un pakalpojumi</t>
  </si>
  <si>
    <t>Pakalpojumi</t>
  </si>
  <si>
    <t>Telefona abonēšanas maksa, vietējo un tālsarunu apmaksa, interneta pakalpojumu sniedzēju apmaksa</t>
  </si>
  <si>
    <t>Mobilā telefona abonēšanas maksas un sarunu apmaksa</t>
  </si>
  <si>
    <t>Izdevumi par ūdeni un kanalizāciju</t>
  </si>
  <si>
    <t>Maksa par elektroenerģiju</t>
  </si>
  <si>
    <t>Izdevumi par atkritumu izvešanu</t>
  </si>
  <si>
    <t>Uz līguma pamata pieaicināto ekspertu izdevumi</t>
  </si>
  <si>
    <t>Semināru, kursu un konferenču apmaksa</t>
  </si>
  <si>
    <t>Pārējie iestādes administratīvie izdevumi</t>
  </si>
  <si>
    <t>Transportlīdzekļu uzturēšana un remonts</t>
  </si>
  <si>
    <t>Ēku, būvju un telpu uzturēšana</t>
  </si>
  <si>
    <t>Pārējie remontdarbu un iestāžu uzturēšanas pakalpojumi</t>
  </si>
  <si>
    <t>Informācijas sistēmas uzturēšana</t>
  </si>
  <si>
    <t>Krājumi, materiāli, energoresursi, preces, biroja preces un inventārs</t>
  </si>
  <si>
    <t>Kurināmais</t>
  </si>
  <si>
    <t>Degviela</t>
  </si>
  <si>
    <t>Zāles, ķimikālijas, laboratorijas preces</t>
  </si>
  <si>
    <t>Remontmateriāli</t>
  </si>
  <si>
    <t>Saimniecības materiāli</t>
  </si>
  <si>
    <t xml:space="preserve">Datortehnikas remonts un uzturēšana </t>
  </si>
  <si>
    <t>Mīkstais inventārs</t>
  </si>
  <si>
    <t>Virtuves inventārs, trauki un galda piederumi</t>
  </si>
  <si>
    <t>Ēdināšanas izdevumi</t>
  </si>
  <si>
    <t>Pārējie valsts un pašvaldību aprūpē un apgādē esošo personu uzturēšanas izdevumi, kuri nav minēti citos koda 2360 apakškodos</t>
  </si>
  <si>
    <t>Budžeta iestāžu nodokļu maksājumi</t>
  </si>
  <si>
    <t>Budžeta iestāžu dabas resursu nodoklis</t>
  </si>
  <si>
    <r>
      <t xml:space="preserve">Pārējie nodokļi un nodevas - </t>
    </r>
    <r>
      <rPr>
        <sz val="8"/>
        <rFont val="Times New Roman"/>
        <family val="1"/>
        <charset val="186"/>
      </rPr>
      <t>UDRVN</t>
    </r>
  </si>
  <si>
    <t>Jūrmalas pilsētas pašvaldības 2014.-2016.gada Ceļu fonda izlietojuma programma</t>
  </si>
  <si>
    <t>Nr.</t>
  </si>
  <si>
    <t>Objekta nosaukums</t>
  </si>
  <si>
    <t xml:space="preserve">2015.gadā </t>
  </si>
  <si>
    <t xml:space="preserve">2016.gadā </t>
  </si>
  <si>
    <t>2013.gada precizētais budžets</t>
  </si>
  <si>
    <t>2013.gada gaidāmā izpilde</t>
  </si>
  <si>
    <t>Orientējošais apjoms</t>
  </si>
  <si>
    <t xml:space="preserve">PAVISAM KOPĀ </t>
  </si>
  <si>
    <t xml:space="preserve">KOPĀ </t>
  </si>
  <si>
    <t>Kapitālā celtniecība un rekonstrukcija</t>
  </si>
  <si>
    <t>Tallinas, Satiksmes un Artilērijas ielu rekonstrukcija</t>
  </si>
  <si>
    <t>04.510.5250</t>
  </si>
  <si>
    <t>Raiņa ielas rekonstrukcija</t>
  </si>
  <si>
    <t>Jaunu ielu izbūve</t>
  </si>
  <si>
    <r>
      <t>2000m</t>
    </r>
    <r>
      <rPr>
        <sz val="9"/>
        <rFont val="Calibri"/>
        <family val="2"/>
        <charset val="186"/>
      </rPr>
      <t>²</t>
    </r>
  </si>
  <si>
    <t>04.510.5240</t>
  </si>
  <si>
    <r>
      <t>4000m</t>
    </r>
    <r>
      <rPr>
        <sz val="9"/>
        <rFont val="Calibri"/>
        <family val="2"/>
        <charset val="186"/>
      </rPr>
      <t>²</t>
    </r>
  </si>
  <si>
    <t>Jaunu autostāvvietu izbūve</t>
  </si>
  <si>
    <r>
      <t>1000m</t>
    </r>
    <r>
      <rPr>
        <sz val="9"/>
        <rFont val="Calibri"/>
        <family val="2"/>
        <charset val="186"/>
      </rPr>
      <t>²</t>
    </r>
  </si>
  <si>
    <t>Dzintaru pārvada rekonstrukcija (projektēšana)</t>
  </si>
  <si>
    <t>Dzīvžoga izveidepie Omnibusa ielas auto stāvlaukuma</t>
  </si>
  <si>
    <t>04.510.5269</t>
  </si>
  <si>
    <t>Kapitālais remonts</t>
  </si>
  <si>
    <t>Ielu  seguma kapitālais remonts</t>
  </si>
  <si>
    <r>
      <t>45000m</t>
    </r>
    <r>
      <rPr>
        <sz val="9"/>
        <rFont val="Calibri"/>
        <family val="2"/>
        <charset val="186"/>
      </rPr>
      <t>²</t>
    </r>
  </si>
  <si>
    <t>Grantēto ielu asfaltēšana</t>
  </si>
  <si>
    <r>
      <t>5000m</t>
    </r>
    <r>
      <rPr>
        <sz val="9"/>
        <rFont val="Calibri"/>
        <family val="2"/>
        <charset val="186"/>
      </rPr>
      <t>²</t>
    </r>
  </si>
  <si>
    <r>
      <t>20000m</t>
    </r>
    <r>
      <rPr>
        <sz val="9"/>
        <rFont val="Calibri"/>
        <family val="2"/>
        <charset val="186"/>
      </rPr>
      <t>²</t>
    </r>
  </si>
  <si>
    <t>Kārtējais remonts</t>
  </si>
  <si>
    <t>Grantēto ielu uzturēšana</t>
  </si>
  <si>
    <r>
      <t>385000m</t>
    </r>
    <r>
      <rPr>
        <sz val="9"/>
        <rFont val="Calibri"/>
        <family val="2"/>
        <charset val="186"/>
      </rPr>
      <t>²</t>
    </r>
  </si>
  <si>
    <t>04.510.2246</t>
  </si>
  <si>
    <t>Ceļa seguma remonts (t.sk.bedrīšu remonts)</t>
  </si>
  <si>
    <r>
      <t>31500m</t>
    </r>
    <r>
      <rPr>
        <sz val="9"/>
        <rFont val="Calibri"/>
        <family val="2"/>
        <charset val="186"/>
      </rPr>
      <t>²</t>
    </r>
  </si>
  <si>
    <t>Asfalta seguma remonts iekškvartālos</t>
  </si>
  <si>
    <r>
      <t>3000m</t>
    </r>
    <r>
      <rPr>
        <sz val="9"/>
        <rFont val="Calibri"/>
        <family val="2"/>
        <charset val="186"/>
      </rPr>
      <t>²</t>
    </r>
  </si>
  <si>
    <t>Ceļu infrastruktūra</t>
  </si>
  <si>
    <t>Ceļa zīmju ekspluatācija</t>
  </si>
  <si>
    <t>6500gb.</t>
  </si>
  <si>
    <t>Ceļa horizontālo apzīmējumu uzklāšana</t>
  </si>
  <si>
    <r>
      <t>9000m</t>
    </r>
    <r>
      <rPr>
        <sz val="9"/>
        <rFont val="Calibri"/>
        <family val="2"/>
        <charset val="186"/>
      </rPr>
      <t>²</t>
    </r>
  </si>
  <si>
    <t>Barjeru remonts</t>
  </si>
  <si>
    <t>80m</t>
  </si>
  <si>
    <t>04.510.5239</t>
  </si>
  <si>
    <t>Barjeru uzstādīšana</t>
  </si>
  <si>
    <t>Ceļa zīmju nomaiņa</t>
  </si>
  <si>
    <t>300gb.</t>
  </si>
  <si>
    <t>04.510.2312</t>
  </si>
  <si>
    <t>Citi</t>
  </si>
  <si>
    <t>Satiksmes drošības uzlabošana Jūrmalas pilsētā</t>
  </si>
  <si>
    <t>2.obj.</t>
  </si>
  <si>
    <t>Labiekārtošanas pasākumi</t>
  </si>
  <si>
    <t xml:space="preserve">Ielu ietvju un zaļo zonu mehanizētā un nemehanizētā tīrīšana (tai skaitā arī BC kategorijas ielas) </t>
  </si>
  <si>
    <t>365km</t>
  </si>
  <si>
    <t>05.100.2244</t>
  </si>
  <si>
    <t>Mērķdotācija pašvaldību autoceļiem (ielām)</t>
  </si>
  <si>
    <t>2014.gads budžeta projekts (Ls)</t>
  </si>
  <si>
    <t xml:space="preserve">Pašvaldības pamatbudžeta asignējumi </t>
  </si>
  <si>
    <t>Finansējuma apjoms (EUR)</t>
  </si>
  <si>
    <t xml:space="preserve">Mērķa ziedojumi </t>
  </si>
  <si>
    <t>Struktūrvienība: Būvniecības nodaļa</t>
  </si>
  <si>
    <t>Programma: Ceļu infrastruktūras remonti</t>
  </si>
  <si>
    <t>Struktūrvienība: Pilsētsaimniecības un labiekārtošanas nodaļa</t>
  </si>
  <si>
    <t>Programma: Pašvaldības pārziņā esošo teritoriju apsaimniekošana (kopšana un tīrīšana)</t>
  </si>
  <si>
    <t>EKK</t>
  </si>
  <si>
    <t>Budžeta finansēta institūcija: Jūrmalas pilsētas dome</t>
  </si>
  <si>
    <t xml:space="preserve">2014.gada budžeta projekta atšifrējums pa programmām </t>
  </si>
  <si>
    <t>Struktūrvienība</t>
  </si>
  <si>
    <t xml:space="preserve">Programma: </t>
  </si>
  <si>
    <t>Tūrisma attīstības nodrošināšanas pasākumi</t>
  </si>
  <si>
    <t xml:space="preserve">Funkcionālās klasifikācijas kods: </t>
  </si>
  <si>
    <t>04.730</t>
  </si>
  <si>
    <t>Pasākums/ aktivitāte/ projekts/ pakalpojuma nosaukums/ objekts</t>
  </si>
  <si>
    <t>2013.gada precizētais budžets (Ls)</t>
  </si>
  <si>
    <t>2013.gada gaidāmā izpilde (Ls)</t>
  </si>
  <si>
    <t>2014.gada budžeta pieprasījums (Ls)</t>
  </si>
  <si>
    <t>Aizpilda Centralizētā grāmatvedība</t>
  </si>
  <si>
    <t>2014.gada budžeta projekts (Ls)</t>
  </si>
  <si>
    <t>2014.gada budžeta projekts (EUR)</t>
  </si>
  <si>
    <t>Piezīmes</t>
  </si>
  <si>
    <t>pamatbudžets</t>
  </si>
  <si>
    <t>maksas pakalpojumi</t>
  </si>
  <si>
    <t>Ekonomiskās klasifikācijas kodi</t>
  </si>
  <si>
    <t>KOPĀ</t>
  </si>
  <si>
    <t>Dalība tūrisma izstādēs un gadatirgos</t>
  </si>
  <si>
    <t>1.1</t>
  </si>
  <si>
    <t>Dalība tūrisma izstādē Rīgā, Latvijā, Baltour, lielveikalos</t>
  </si>
  <si>
    <t>Jūrmalas dienas Maskavā un Somijā (lielveikalos)</t>
  </si>
  <si>
    <t>Vizītes</t>
  </si>
  <si>
    <t>Dalība tūrisma darba semināros, dienās, prezentācijās un to rīkošana (Norvēģija, Somija, polija, Zviedrija, Krievija, Ukraina, Baltkrievija, Izraēla u.c.)</t>
  </si>
  <si>
    <t>Vizītes uz esošām un potenciālajām sadraudzības pilsētām tūrisma un kūrortjautājumos</t>
  </si>
  <si>
    <t>Informatīvie materiāli par Jūrmalu</t>
  </si>
  <si>
    <t>Tūrisma brošūra Jūrmala (lv, ru, eng, de, nor, fin, swe, de, lt, ee, it, fr)</t>
  </si>
  <si>
    <t>Info pasākumu bukleti</t>
  </si>
  <si>
    <t>Jūrmalas buklets(lokāmās kartes - aktīvā, kultūras tūrisma)</t>
  </si>
  <si>
    <t>Bukleti Pony Express kurjerpastam un Ecolines par Jūrmalu</t>
  </si>
  <si>
    <t>Veselības tūrisma brošūra (LV, RU, ENG)</t>
  </si>
  <si>
    <t>Darījumu tūrisma brošūra (LV, RU)</t>
  </si>
  <si>
    <t>Kūrortpilsētas mārketinga materiāli sezonalitātes riska mazināšanai</t>
  </si>
  <si>
    <t>Tūrisma avīze (lt, ee, pavasaris, rudens)</t>
  </si>
  <si>
    <t>Bērnu brošūra (LV, RU)</t>
  </si>
  <si>
    <t>3.10</t>
  </si>
  <si>
    <t>Velo brošūra (LV, RU, ENG)</t>
  </si>
  <si>
    <t>Jūrmalas buklets Tallink prāmjiem</t>
  </si>
  <si>
    <t>Jūrmalas kultūras tūrisma vēsturisko rajonu bukleti(LV,ENG)</t>
  </si>
  <si>
    <t>Dalības maksa</t>
  </si>
  <si>
    <t>Dalības maksa UBC "Baltijas pilsētu savienība"</t>
  </si>
  <si>
    <t>Dalības maksa ECAD (Eiropas pilsētu kustība pret narkotikām)</t>
  </si>
  <si>
    <t>Dalības maksa ESPA(Eiropas kūrortu asociācija)</t>
  </si>
  <si>
    <t>Dalība Latvijas kūrortpilsētu asociācijā</t>
  </si>
  <si>
    <t>Dalība EDEN asociācijā</t>
  </si>
  <si>
    <t>Pārējie pakalpojumi</t>
  </si>
  <si>
    <t>Jūrmalas card/kartes ieviešana</t>
  </si>
  <si>
    <t>www.jurmala.lv tūrisma reklāmas banera izgatavošano, tūrisma reklāmu izvietošana Latvijas ārvalstu ziņu portālos, radio., vilcienos, lidostās, žurnālos, TV</t>
  </si>
  <si>
    <t>Sadraudzības līgumu notariālie turlkojumi, tulkojumi</t>
  </si>
  <si>
    <t>Tūrisma informatīvo ceļa zīmju kājāmgājējiem un autotransportam finansējums</t>
  </si>
  <si>
    <t>Pasākumu organizēšanas izdevumu apmaksa pilsētas pasākumu programas ietvaros, veselības dienas, tūrisma uzņēmēju gadatirgus, 1.un 6.janvāris</t>
  </si>
  <si>
    <t>Pasta pakalpojumi</t>
  </si>
  <si>
    <t>Fotogrāfiju iegāde par Jūrmalu+plakātu izstrāde</t>
  </si>
  <si>
    <t>5,9</t>
  </si>
  <si>
    <t>Tūrisma stenda noformējums tūrisma izstādēs + Latvijas izstādes stends</t>
  </si>
  <si>
    <t>5,10.</t>
  </si>
  <si>
    <t>Tūrisma informācijas centra pilona, pilsētas kartes pie TIC remonts, pilsētas kartes uzstādīšana Ķemeros, Vaivaros</t>
  </si>
  <si>
    <t>Preču zīmes atjaunošanas reģistrācija</t>
  </si>
  <si>
    <t>Līdzfinansējums "Go Blond" parādei, rettro auto starpt.pasākums</t>
  </si>
  <si>
    <t>Tūrisma informācijas interaktīvais āra stends+mobilā aplikācija + mob.aplikācija uz iOS un Andoid platformām</t>
  </si>
  <si>
    <t>Noņemot šo un 5.15.pozīcijas budžets ir sastādīts atbilstoši rīkojumam, 2013.gada budžeta ietvaros, pat mazliet mazāk.- 125451,00</t>
  </si>
  <si>
    <t>Tūrisma produktu konkurss</t>
  </si>
  <si>
    <t>Realizācijas līgumi</t>
  </si>
  <si>
    <t>PVN</t>
  </si>
  <si>
    <t>Jūrmalas suvenīru izstrāde un iepirkšana pārodšanai TICā</t>
  </si>
  <si>
    <t>Ārvalstu tūrisma aģentu un žurnālistu, citu delegāciju uzņemšana Jūrmalā</t>
  </si>
  <si>
    <t>Live Riga</t>
  </si>
  <si>
    <t>10.1.</t>
  </si>
  <si>
    <t>Dalība ar reklāmu par Jūrmalu - tūrisma karte "Enjoy Map Riga/Jurmala"</t>
  </si>
  <si>
    <t>10.2.</t>
  </si>
  <si>
    <t>10.3.</t>
  </si>
  <si>
    <t>www.jurmala.lv reklāmas banera ievietošana Latvijas ārvalstu tūrisma ziņu portālos, reklāma Live Riga portālā</t>
  </si>
  <si>
    <t>Dalība tūrisma darbsemināros Live Riga</t>
  </si>
  <si>
    <t>Jūrmalas reklāma MEET Riga izdevumā</t>
  </si>
  <si>
    <t>Pašvaldības īpašumu pārvaldīšana</t>
  </si>
  <si>
    <t>06.600</t>
  </si>
  <si>
    <t>Aizpilda Budžeta nodaļa</t>
  </si>
  <si>
    <t>KOPĀ (Ls):</t>
  </si>
  <si>
    <t>Kadastrālā uzmērīšana zemesgabaliem, kas ierakstāmi zemesgrāmatā uz Jūrmalas pilsētas pašvaldības vārda, zemes ierīcības projekti</t>
  </si>
  <si>
    <t>Inventarizācijas lietu pasūtīšana Valsts zemes dienestam, dzīvokļu tehniskās pases objektiem, zemesgarāmatā uz Jūrmalas pilsētas pašvaldības vārda</t>
  </si>
  <si>
    <t>Kancelejas nodevas, valsts nodevas (kadastra izziņas)</t>
  </si>
  <si>
    <t>Izdevumi juridiskās palīdzības sniedzējiem - notāra pakalpojumi, juridiskie slēdzieni zemes īpašuma lietās</t>
  </si>
  <si>
    <t>Sporta nodaļa</t>
  </si>
  <si>
    <t>Sporta pasākumi</t>
  </si>
  <si>
    <t>08.100</t>
  </si>
  <si>
    <t>I Jūrmalas pilsētas sporta pasākumi</t>
  </si>
  <si>
    <t>1.1.</t>
  </si>
  <si>
    <t>Gada balva sportā 2014</t>
  </si>
  <si>
    <t>balvas</t>
  </si>
  <si>
    <t>apskaņ.</t>
  </si>
  <si>
    <t>org. Izd.</t>
  </si>
  <si>
    <t>ēdināšana</t>
  </si>
  <si>
    <t>ielūgumi un diplomi</t>
  </si>
  <si>
    <t>1.2.</t>
  </si>
  <si>
    <t>Olimpiskā diena 2014</t>
  </si>
  <si>
    <t>sporta tērpi</t>
  </si>
  <si>
    <t>transports</t>
  </si>
  <si>
    <t>FUTBOLS</t>
  </si>
  <si>
    <t>2.1.</t>
  </si>
  <si>
    <t>Atklātās sacensības "Jūrmalas domes kauss" 5.posmos  pludmales futbolā</t>
  </si>
  <si>
    <t>līdzfinan.</t>
  </si>
  <si>
    <t>afišas</t>
  </si>
  <si>
    <t>inventārs</t>
  </si>
  <si>
    <t>2.2.</t>
  </si>
  <si>
    <t>Jūrmalas pilsētas atklātais čempionāts pieaugušiem</t>
  </si>
  <si>
    <t>org. izd.</t>
  </si>
  <si>
    <t>2.3.</t>
  </si>
  <si>
    <t>Bērnu un jaunatnes sacensības futbolā "Jūrmalas domes kauss"</t>
  </si>
  <si>
    <t xml:space="preserve">SKEITBORDS </t>
  </si>
  <si>
    <t>3.1.</t>
  </si>
  <si>
    <t>Jūrmalas skeitborda diena</t>
  </si>
  <si>
    <t>org.izd.</t>
  </si>
  <si>
    <t>apskaņoš.</t>
  </si>
  <si>
    <t>tipogrāf.</t>
  </si>
  <si>
    <t>3.2.</t>
  </si>
  <si>
    <t xml:space="preserve">Jūrmalas pilsētas domes kauss skeitbordā </t>
  </si>
  <si>
    <t>organ. izd.</t>
  </si>
  <si>
    <t>ŪDENSMOTOSPORTS</t>
  </si>
  <si>
    <t>4.1.</t>
  </si>
  <si>
    <t>"Jurmala cup" sacensības ūdensmotosportā JT250 laivu klasē</t>
  </si>
  <si>
    <t>Līdzfinan.</t>
  </si>
  <si>
    <t>4.2.</t>
  </si>
  <si>
    <t>Latvijas čempionāts ūdensmotosportā</t>
  </si>
  <si>
    <t>AUSTRUMCĪŅAS</t>
  </si>
  <si>
    <t>5.1.</t>
  </si>
  <si>
    <t>Jūrmalas atklātais čempionāts "KUMITĒ" un SANBON KUMITĒ disciplīnās</t>
  </si>
  <si>
    <t>zāles īre</t>
  </si>
  <si>
    <t>5.2.</t>
  </si>
  <si>
    <t>Jūrmalas atklātais čempionāts "KATA disciplīnās"</t>
  </si>
  <si>
    <t>5.3.</t>
  </si>
  <si>
    <t>Baltijas valstu atklātais čempionāts "KATA" un "KUMITĒ" disciplīnās</t>
  </si>
  <si>
    <t>invent. īre</t>
  </si>
  <si>
    <t>5.4.</t>
  </si>
  <si>
    <t>INVALĪDU SPORTS</t>
  </si>
  <si>
    <t>6.1.</t>
  </si>
  <si>
    <t>Sporta svētki "Pepija tūrisma takās " bērniem invalīdiem</t>
  </si>
  <si>
    <t>6.2.</t>
  </si>
  <si>
    <t>Sporta svētki "Pepija Ziemassvētkos " bērniem invalīdiem</t>
  </si>
  <si>
    <t>6.3.</t>
  </si>
  <si>
    <t>Invalīdu sporta spēles</t>
  </si>
  <si>
    <t>6.4.</t>
  </si>
  <si>
    <t>Orientēšanās invalīdiem "Tu vari!"</t>
  </si>
  <si>
    <t>kartes</t>
  </si>
  <si>
    <t>GALDA TENISS</t>
  </si>
  <si>
    <t>7.1.</t>
  </si>
  <si>
    <t>Jūrmalas atklātais čempionāts galda tenisā</t>
  </si>
  <si>
    <t>apskaņošana</t>
  </si>
  <si>
    <t>telpu īre</t>
  </si>
  <si>
    <t>7.2.</t>
  </si>
  <si>
    <t>Draudzības kausa izcīņas Jūrmalas posms</t>
  </si>
  <si>
    <t>7.3.</t>
  </si>
  <si>
    <t>Jūrmalas domes  balvu izcīņa galda tenisā senioriem</t>
  </si>
  <si>
    <t>7.4.</t>
  </si>
  <si>
    <t>Ziemassvētku sacensības galda tenisā</t>
  </si>
  <si>
    <t>7.5.</t>
  </si>
  <si>
    <t>SSB Jūrmala komandas dalība LR komandu čempionātā galda tenisā</t>
  </si>
  <si>
    <t>AIRĒŠANA</t>
  </si>
  <si>
    <t>8.1.</t>
  </si>
  <si>
    <t>LR Ziemas čempionāts</t>
  </si>
  <si>
    <t>8.2.</t>
  </si>
  <si>
    <t>Sezonas atklāšanas sacensības</t>
  </si>
  <si>
    <t>8.3.</t>
  </si>
  <si>
    <t>LR čempionāts garajās distancēs</t>
  </si>
  <si>
    <t>8.4.</t>
  </si>
  <si>
    <t>LAF balvu izcīņa</t>
  </si>
  <si>
    <t>8.5.</t>
  </si>
  <si>
    <t>LR čempionāts junioriem "A"</t>
  </si>
  <si>
    <t>8.6.</t>
  </si>
  <si>
    <t>LR čempionāts junioriem "B"</t>
  </si>
  <si>
    <t>8.7.</t>
  </si>
  <si>
    <t>LR čempionāts</t>
  </si>
  <si>
    <t>8.8.</t>
  </si>
  <si>
    <t>Sezonas noslēguma sacensības</t>
  </si>
  <si>
    <t>8.9.</t>
  </si>
  <si>
    <t>LR rudens kauss</t>
  </si>
  <si>
    <t>8.10.</t>
  </si>
  <si>
    <t>LR MIX (2x, 4-)</t>
  </si>
  <si>
    <t>8.11.</t>
  </si>
  <si>
    <t>LR kausa izcīņa</t>
  </si>
  <si>
    <t>8.12.</t>
  </si>
  <si>
    <t>LR pavasara kauss</t>
  </si>
  <si>
    <t>8.13.</t>
  </si>
  <si>
    <t>Jūrmalas pilsētas atklātais čempionāts smaiļošanā</t>
  </si>
  <si>
    <t>materiāli (virves)</t>
  </si>
  <si>
    <t>8.14.</t>
  </si>
  <si>
    <t>Jūrmalas pilsētas čempionāts akadēmiskā airēšanā</t>
  </si>
  <si>
    <t>8.15.</t>
  </si>
  <si>
    <t>Jūrmalas airēšanas maratons</t>
  </si>
  <si>
    <t>BURĀŠANA</t>
  </si>
  <si>
    <t>9.1.</t>
  </si>
  <si>
    <t>2 stundu regates sezonas sacensību seriāls</t>
  </si>
  <si>
    <t>9.2.</t>
  </si>
  <si>
    <t>Jūrmalas pilsētas burāšanas sezonas atklāšanas regate</t>
  </si>
  <si>
    <t>9.3.</t>
  </si>
  <si>
    <t>Maija regate</t>
  </si>
  <si>
    <t>9.4.</t>
  </si>
  <si>
    <t>Optimist asociācijas kauss. Baltic Optimist Cup posms</t>
  </si>
  <si>
    <t>9.5.</t>
  </si>
  <si>
    <t>Jūrmalas kausa regate</t>
  </si>
  <si>
    <t>9.6.</t>
  </si>
  <si>
    <t>Beach Regatta</t>
  </si>
  <si>
    <t>9.7.</t>
  </si>
  <si>
    <t xml:space="preserve">Atklātais LR čempionāts </t>
  </si>
  <si>
    <t>9.8.</t>
  </si>
  <si>
    <t>Priedaines Jahtkluba sezonas slēgšanas regate</t>
  </si>
  <si>
    <t>BASKETBOLS</t>
  </si>
  <si>
    <t>Jūrmalas basketbola čempionāts 13/14</t>
  </si>
  <si>
    <t>baneru uzstādīšana</t>
  </si>
  <si>
    <t>reklāmas baneru druka</t>
  </si>
  <si>
    <t>org.. izd.</t>
  </si>
  <si>
    <t>tipogrāfijas</t>
  </si>
  <si>
    <t>Jūrmalas čempionāts basketbolā vīriešiem 14/15</t>
  </si>
  <si>
    <t>"Pirtnieka kauss"</t>
  </si>
  <si>
    <t xml:space="preserve"> VOLEJBOLS</t>
  </si>
  <si>
    <t>11.1.</t>
  </si>
  <si>
    <t>Latvijas čempionāts pludmales volejbolā</t>
  </si>
  <si>
    <t>līdzfinansējums</t>
  </si>
  <si>
    <t>11.2.</t>
  </si>
  <si>
    <t>Pludmales volejbola sacensības jauniešiem 2 posmi</t>
  </si>
  <si>
    <t>11.3.</t>
  </si>
  <si>
    <t>Amatieru turnīri pludmales volejbolā</t>
  </si>
  <si>
    <t>11.4.</t>
  </si>
  <si>
    <t>Jūrmalas atklātais pludmales volejbola čempionātu un turnīru seriāls</t>
  </si>
  <si>
    <t>11.5.</t>
  </si>
  <si>
    <t>Volejbola sacensības Latvijas jaunatnes kausa  2 posmi</t>
  </si>
  <si>
    <t>HANDBOLS</t>
  </si>
  <si>
    <t>12.1.</t>
  </si>
  <si>
    <t>Starptautiskais turnīrs  "Nemo-2014"</t>
  </si>
  <si>
    <t>ŠAHS</t>
  </si>
  <si>
    <t>13.1.</t>
  </si>
  <si>
    <t>Vladimira Petrova piemiņas memoriāls</t>
  </si>
  <si>
    <t>ORIENTĒŠANĀS</t>
  </si>
  <si>
    <t>14.1.</t>
  </si>
  <si>
    <t>Tautas orientēšanās sacensības"Ķemermiestiņa mazās Anniņas lielā balva"</t>
  </si>
  <si>
    <t>ŪDENSSLĒPOŠANA</t>
  </si>
  <si>
    <t>15.1.</t>
  </si>
  <si>
    <t xml:space="preserve">Jūrmalas pilsētas atklātais čempionāts "Jūrmalas Domes kauss " </t>
  </si>
  <si>
    <t>inven. īre</t>
  </si>
  <si>
    <t>tipogrāfija</t>
  </si>
  <si>
    <t>15.2.</t>
  </si>
  <si>
    <t>Jūrmalas ūdensslēpošanas svētki</t>
  </si>
  <si>
    <t>BOKSS/KIKBOKS</t>
  </si>
  <si>
    <t>16.1.</t>
  </si>
  <si>
    <t xml:space="preserve"> Jāņa Roviča starptautiskais piemiņas turnīrs</t>
  </si>
  <si>
    <t>līdzfinans.</t>
  </si>
  <si>
    <t>16.2.</t>
  </si>
  <si>
    <t xml:space="preserve"> Starptautiskais boksa turnīrs</t>
  </si>
  <si>
    <t>16.3.</t>
  </si>
  <si>
    <t>Latvijas čempionāts</t>
  </si>
  <si>
    <t>VIEGLATLĒTIKA</t>
  </si>
  <si>
    <t>17.1.</t>
  </si>
  <si>
    <t xml:space="preserve">Skrējiens "Dzintaru apļi" 7 kārtās </t>
  </si>
  <si>
    <t>17.2.</t>
  </si>
  <si>
    <t xml:space="preserve">Pludmales skrējiens "Bruņurupucis 2014" </t>
  </si>
  <si>
    <t>17.3.</t>
  </si>
  <si>
    <t>Sporta maratonu sērija</t>
  </si>
  <si>
    <t>TENISS</t>
  </si>
  <si>
    <t>18.1.</t>
  </si>
  <si>
    <t>LR ziemas tenisa čempionāts pieaugušiem</t>
  </si>
  <si>
    <t>18.2.</t>
  </si>
  <si>
    <t>LR ziemas tenisa čempionāts jauniešiem</t>
  </si>
  <si>
    <t>18.3.</t>
  </si>
  <si>
    <t>LR vasaras čempionāti pieaugušiem</t>
  </si>
  <si>
    <t>18.4.</t>
  </si>
  <si>
    <t>LR vasaras čempionāti jauniešiem</t>
  </si>
  <si>
    <t>18.5.</t>
  </si>
  <si>
    <t>Dalība senioru čempionātā tenisā</t>
  </si>
  <si>
    <t>CITI</t>
  </si>
  <si>
    <t>19.1.</t>
  </si>
  <si>
    <t>Jūrmalas atklātas sacensības loka šaušanā</t>
  </si>
  <si>
    <t>19.2.</t>
  </si>
  <si>
    <t>Jūrmalas pilsētas atklātais aerobikas festivāls</t>
  </si>
  <si>
    <t>19.3.</t>
  </si>
  <si>
    <t>Ielu basketbola turnīrs "Ghetto basket" 3 posmos</t>
  </si>
  <si>
    <t>19.5.</t>
  </si>
  <si>
    <t>"3x3 Latvija Euro Tour" basketbola atlases turnīrs</t>
  </si>
  <si>
    <t>19.6.</t>
  </si>
  <si>
    <t>Latvijas Senioru atklātais čempionāts tenisā "Jūrmalas kauss"</t>
  </si>
  <si>
    <t>19.7.</t>
  </si>
  <si>
    <t>Autorallijs "Latvija 2013"</t>
  </si>
  <si>
    <t>līdzfinans</t>
  </si>
  <si>
    <t>19.8.</t>
  </si>
  <si>
    <t>Vasaras ģimeņu sporta diena</t>
  </si>
  <si>
    <t>lidzfinansējums</t>
  </si>
  <si>
    <t>19.9.</t>
  </si>
  <si>
    <t>Starptautiskais bridža turnīrs</t>
  </si>
  <si>
    <t>19.10.</t>
  </si>
  <si>
    <t>Jurmala European Wake veikborda sacensības</t>
  </si>
  <si>
    <t>19.11.</t>
  </si>
  <si>
    <t>Jūrmalas atklātais bērnu čempionāts daiļslidošanā 2014</t>
  </si>
  <si>
    <t>19.12.</t>
  </si>
  <si>
    <t>Riteņbraukšanas sacensības (2 posmi)</t>
  </si>
  <si>
    <t>19.13.</t>
  </si>
  <si>
    <t>piedzīvojumu sacensības XRace</t>
  </si>
  <si>
    <t>19.14.</t>
  </si>
  <si>
    <t>"Jūrmalas kauss" džudo</t>
  </si>
  <si>
    <t>19.15.</t>
  </si>
  <si>
    <t>Latvijas pašvaldību vadītāju sporta spēles</t>
  </si>
  <si>
    <t>19.16.</t>
  </si>
  <si>
    <t>2 treneru likmes E. Vasiļjeva hokeja skolai</t>
  </si>
  <si>
    <t>19.17.</t>
  </si>
  <si>
    <t>Ziemas ģimeņu sporta diena</t>
  </si>
  <si>
    <t>19.18.</t>
  </si>
  <si>
    <t>Pludmales cīņa</t>
  </si>
  <si>
    <t>FLORBOLS</t>
  </si>
  <si>
    <t>20.1.</t>
  </si>
  <si>
    <t>Jūrmalas atklātais vasaras čempionāts florbolā jauniešiem</t>
  </si>
  <si>
    <t>20.2.</t>
  </si>
  <si>
    <t>"Jūrmalas nakts turnīrs 2014" florbolā</t>
  </si>
  <si>
    <t>20.3.</t>
  </si>
  <si>
    <t>"Jurmala CUP 2014" starptautiskais florbola turnīrs</t>
  </si>
  <si>
    <t>HOKEJS</t>
  </si>
  <si>
    <t>21.1.</t>
  </si>
  <si>
    <t>Jūrmalas čempionāts hokejā</t>
  </si>
  <si>
    <t>21.2.</t>
  </si>
  <si>
    <t>Skolēnu sacensības hokejā "Zelta ripa"</t>
  </si>
  <si>
    <t>organiz. Izdevumi</t>
  </si>
  <si>
    <t>21.3.</t>
  </si>
  <si>
    <t xml:space="preserve">"Winter clasik" bērnu starptautiskais turnīrs hokejā 2 vecuma grupās </t>
  </si>
  <si>
    <t>līdzfin.</t>
  </si>
  <si>
    <t>MĀKSLAS VINGROŠANA</t>
  </si>
  <si>
    <t>22.1.</t>
  </si>
  <si>
    <t>Starptautiskais festivāls"Mazā-lielā grācija"</t>
  </si>
  <si>
    <t>22.2.</t>
  </si>
  <si>
    <t>Ziemassvētku turnīrs</t>
  </si>
  <si>
    <t>22.3.</t>
  </si>
  <si>
    <t>Jūrmalas atklātās jaunatnes meistarsacīkstes</t>
  </si>
  <si>
    <t>22.4.</t>
  </si>
  <si>
    <t>Jūrmalas čempionāts</t>
  </si>
  <si>
    <t>REGBIJS</t>
  </si>
  <si>
    <t>23.1.</t>
  </si>
  <si>
    <t>Jūrmalas kauss regbijā 2014</t>
  </si>
  <si>
    <t>23.2.</t>
  </si>
  <si>
    <t>Jaunatnes turnīrs "Kopā Jūrmalā"</t>
  </si>
  <si>
    <t>23.3.</t>
  </si>
  <si>
    <t xml:space="preserve">Pludmales regbija sacensības </t>
  </si>
  <si>
    <t xml:space="preserve">II  Jūrmalas pilsētas finansētie sporta klubu komandu piedalīšanās izdevumi starptautiskās sacensībās un Latvijas čempionātu sacensībās 2014.g. </t>
  </si>
  <si>
    <t>Biedrība "Basketbola klubs Jūrmala"</t>
  </si>
  <si>
    <t>Sporta klubs "Jūrmalas sports"</t>
  </si>
  <si>
    <t>Futbola virslīgas komandas ''Spartaks" atbalstam</t>
  </si>
  <si>
    <t>Futbola virslīgas komandas ''FC Jūrmala" atbalstam</t>
  </si>
  <si>
    <t>Dalība LSVS 51. sporta spēlēs</t>
  </si>
  <si>
    <t>dalības maksa</t>
  </si>
  <si>
    <t>Dalība Latvijas ziemas olimpiādē Siguldā 2014</t>
  </si>
  <si>
    <t>tērpi</t>
  </si>
  <si>
    <t>Jurmala Racing Team</t>
  </si>
  <si>
    <t>Jūrmalas sporta veterānu atbalstam. SSB Jūrmala</t>
  </si>
  <si>
    <t>Latvijas"Optimists" klasesburātāju asociācija</t>
  </si>
  <si>
    <t>Saskaņā ar komitejas atzinumu līdzfinans. Jānovirza uz Jūrmalas Sporta skolas budžetu</t>
  </si>
  <si>
    <t>Florbola klubs "Jūrmala"</t>
  </si>
  <si>
    <t>Futbola klubs"Kauguri-PBLC"</t>
  </si>
  <si>
    <t>G. Valnera dalībai sacensībās</t>
  </si>
  <si>
    <t>Biedrība "Hokeja skola Jūrmala"</t>
  </si>
  <si>
    <t>Jūrmalas smaiļotāju un kanoistu atbalstam</t>
  </si>
  <si>
    <t>Motosportista atbalstam</t>
  </si>
  <si>
    <t>Līdzfinans.</t>
  </si>
  <si>
    <t>Hokeja klubs "Kauguri"</t>
  </si>
  <si>
    <t>Hokeja klubs "Jūrmala"</t>
  </si>
  <si>
    <t>Sporta klubs "Neguss"</t>
  </si>
  <si>
    <t xml:space="preserve"> Jūrmalas Karsējmeiteņu komandai</t>
  </si>
  <si>
    <t>Senioru SK "DEVRO -Jūrmala VT"</t>
  </si>
  <si>
    <t>Maratonistes J. Prokopčukas dalība sacensībās</t>
  </si>
  <si>
    <t>Biedrība  Sporta klubs "MSL"</t>
  </si>
  <si>
    <t>Jūrmalas kartingista dalība sacensībās (A. Zviedris)</t>
  </si>
  <si>
    <t>Invalīdu sporta atbalstam</t>
  </si>
  <si>
    <t>Burāšanas sporta vienības fonda "Collatis viribus" atbalstam</t>
  </si>
  <si>
    <t>Boksa kluba "Jūrmala" dalība sacensībās</t>
  </si>
  <si>
    <t xml:space="preserve">Dalība Pasaules kausa sacensībās pludmales volejbolā </t>
  </si>
  <si>
    <t>Jāņa Roviča boksa klubs</t>
  </si>
  <si>
    <t>Kartingista  Šubecka dalība sacensībās</t>
  </si>
  <si>
    <t>Maccabi</t>
  </si>
  <si>
    <t xml:space="preserve">Nedzirdīgo turnīrs smilšu volejbolā </t>
  </si>
  <si>
    <t>Sporta klubs "Jūrmalas slidas"</t>
  </si>
  <si>
    <t>Dalība sacensībās džudo klubam Lido</t>
  </si>
  <si>
    <t>Volejbola klubs Jūrmala</t>
  </si>
  <si>
    <t>Biedrība Sporta klubs "EVHS"</t>
  </si>
  <si>
    <t>R. Ļiņavska dalība starptautiskās sac.</t>
  </si>
  <si>
    <t>Jūrmalas ātrslidošanas klubs</t>
  </si>
  <si>
    <t>Pludmales futbola komandai "VBFK"</t>
  </si>
  <si>
    <t>ProfBoksa klubs Jūrmala</t>
  </si>
  <si>
    <t>Biedrība "Sporta klubs RECTOR"</t>
  </si>
  <si>
    <t>Jūrmalas bērnu ūdensslēpotāju atbalstam</t>
  </si>
  <si>
    <t>Līdzfinan</t>
  </si>
  <si>
    <t>M. Nagibina atbalstam un dalībai sacensībās</t>
  </si>
  <si>
    <t>T. Dreimaņa dalībai sacensībās</t>
  </si>
  <si>
    <t>Dalība Latvijas Jaunās Sieviešu basketbola līgas sacensībās</t>
  </si>
  <si>
    <t>Atbalsts supermoto sportistam Dz. Baltajam</t>
  </si>
  <si>
    <t>Biedrība"Meiteņu basketbola klubs Jūrmala"</t>
  </si>
  <si>
    <t>Sporta klubs "Amazones"</t>
  </si>
  <si>
    <t>Biedrība "Vsevoloda Zeļonija džudo "</t>
  </si>
  <si>
    <t>Airēšanas klubs "Majori"</t>
  </si>
  <si>
    <t>Motosporta komandas "Jūrmalas delveri"</t>
  </si>
  <si>
    <t>Senioru sporta spēles</t>
  </si>
  <si>
    <t>Kartingista  E. Veismaņa dalība sacensībās</t>
  </si>
  <si>
    <t>Atbalsts hokejistam A. V. Vasiļonokam</t>
  </si>
  <si>
    <t>Sporta vēstures grāmata par mākslas vingrošanu</t>
  </si>
  <si>
    <t>Regbija klubs "Jūrmala"</t>
  </si>
  <si>
    <t>Saskaņā ar komitejas atzinumu līdzfinans. jānovirza uz Jūrmalas Sporta centra budžetu</t>
  </si>
  <si>
    <t>Volejbola komanda "Tornado"</t>
  </si>
  <si>
    <t>O.T. Jūrmalas mākslas vingrošanas klubs</t>
  </si>
  <si>
    <t>Sporta klubs "IPPON.LV"</t>
  </si>
  <si>
    <t>Biedrība "Volejbola komanda Rietumjūrmala"</t>
  </si>
  <si>
    <t>Hokejistu atbalstam</t>
  </si>
  <si>
    <t>Sportistu atbalstam boulingā</t>
  </si>
  <si>
    <t>Dalībai vispasaules veterānu sporta olimpiādē Turīnā</t>
  </si>
  <si>
    <t>Kanoe airētāju atbalstam</t>
  </si>
  <si>
    <t>Galda tenisa klubs ''Sloka''</t>
  </si>
  <si>
    <t>Jūrmalas Šaha klubs</t>
  </si>
  <si>
    <t>Jūrmalas senirou atbalstam</t>
  </si>
  <si>
    <t>Ielu basketbola turnīrs "Ghetto florbol" 3 posmos</t>
  </si>
  <si>
    <t>Handbolistu atbalstam</t>
  </si>
  <si>
    <t>Ūdensmotosportista D. Šillera atbalstam</t>
  </si>
  <si>
    <t>Cīņas klubs "MMA Jūrmala"</t>
  </si>
  <si>
    <t>Profesionālā bērnu un jauniešu basketbola skola Jūrmala</t>
  </si>
  <si>
    <t>Pašvaldības atzinības izteikšana par īpašiem sasniegumiem un rezultātiem</t>
  </si>
  <si>
    <t>III</t>
  </si>
  <si>
    <t>Rezerve sportam 4%</t>
  </si>
  <si>
    <t>rezerve sportam</t>
  </si>
  <si>
    <t>Pilsētplānošanas nodaļa</t>
  </si>
  <si>
    <t>Pilsētas teritorijas attīstības pasākumi</t>
  </si>
  <si>
    <t>06.200.</t>
  </si>
  <si>
    <t xml:space="preserve">Teritorijas plānojums un apbūves noteikumi </t>
  </si>
  <si>
    <t>digitālās kartes</t>
  </si>
  <si>
    <t>Bažciems 0112</t>
  </si>
  <si>
    <t>R.Blaumaņa iela 15A un Kļavu iela 1A</t>
  </si>
  <si>
    <t>Jauns detālplānojums/lokālplānojums un/vai izpētes darbi saskaņā ar jauno TP</t>
  </si>
  <si>
    <t>Detālplānojums Kauguri 2102 un Ventspils šoseja 26</t>
  </si>
  <si>
    <t>notiek iepirkuma procedūra Detālplānojumam Kauguri 2102 un Ventspils šosejs 26, gaidāmā izpilde saskaņā ar līguma noteikumiem</t>
  </si>
  <si>
    <t>Ķemeru tematiskais plānojums</t>
  </si>
  <si>
    <t>Jūrmalas pilsētas ainavas saglabāšanas, attīstības un pārvaldības koncepcijas izstrāde</t>
  </si>
  <si>
    <t xml:space="preserve"> Pilsētas svētku noformējums</t>
  </si>
  <si>
    <t>06.600.</t>
  </si>
  <si>
    <t>Pilsētas Ziemassvētku dekoratīvā svētku apgaismojuma uzturēšana un atjaunošana</t>
  </si>
  <si>
    <t>Ziemassvētku egles (iegāde, uzstādīšana, demontāža)</t>
  </si>
  <si>
    <t>Jauna noformējuma izveide, montāža, demontāža</t>
  </si>
  <si>
    <t>Pārējie iepriekš neklasificētie pakalpojumu veidi (ziedojuma līdzekļi paredzēti ziemassvētku eglei un noformējumam)</t>
  </si>
  <si>
    <t>Ziedojumi</t>
  </si>
  <si>
    <t>Pilsētas kultūrvēsturiskā mantojuma saglabāšana</t>
  </si>
  <si>
    <t>08.290.</t>
  </si>
  <si>
    <t>Jūrmalas vēsturisko karšu digitālo versiju iegāde</t>
  </si>
  <si>
    <t>Vēsturisko karšu (1940.-1990.gadam) apzināšana un iegūtās informācijas apkopošana</t>
  </si>
  <si>
    <t>Jūrmalas vēsturisko žogu (raksturīgo fragmentu un žogu stabu) uzmērījumi un fotofiksācija un apkopošana katalogā</t>
  </si>
  <si>
    <t>Tematiskā kalendāra (2015.gadam) sagatavošana (ar kultūrvēsturisku motīvu)</t>
  </si>
  <si>
    <t>Vēsturisko kokgriezumu un būvdetaļu attīrīšana un konservācija, to fotofiksācija un apkopošana katalogā</t>
  </si>
  <si>
    <t>Anša Cīruļa piemiņas plāksnes izgatavošana (metāla)</t>
  </si>
  <si>
    <t>Līdzfinansējuma nodrošināšana sabiedriski pieejamu kultūrvēsturiskā mantojuma saglabāšanai objektos, kuros notiek pilsētas nozīmes pasākumi</t>
  </si>
  <si>
    <t>Līdzfinansējuma nodrošināšana starptautiskās konferences "Vēsturiskais un kultūras vecticībnieku mantojums Latvijā un tā saglabāšana" rīkošanai</t>
  </si>
  <si>
    <t>Vēsturisko materiālu - Jūrmalas pilsētas valdes sagatavoto dokumentu (līdz 1940. gadam) apzināšana Latvijas Valsts vēstures arhīvā, materiālu apzināšana, sistematizēšana, apkopošana katalogā</t>
  </si>
  <si>
    <t>Pilsētas attīstības pasākumi</t>
  </si>
  <si>
    <t>Majoru muižas kompleksa Konkordijas ielā 66 izmantošanas ideju konkursa organizēšana, ēku projektēšana, remonts-restaurācija</t>
  </si>
  <si>
    <t xml:space="preserve">Struktūrvienība: </t>
  </si>
  <si>
    <t>Sabiedrisko attiecību veidošanas pasākumi</t>
  </si>
  <si>
    <t>08.300.</t>
  </si>
  <si>
    <t>Tipogrāfiju un publikāciju pakalpojumi</t>
  </si>
  <si>
    <t>Pašvaldības informācijas ievietošana bukletos, grāmatās, katalogos un citos prezentatīvos materiālos</t>
  </si>
  <si>
    <t>Šī aktivitāte pāriet uz Mārketinga nodaļas budžetu</t>
  </si>
  <si>
    <t>Pašvaldības informācijas tulkošanas pakalpojumi</t>
  </si>
  <si>
    <t>1.3.</t>
  </si>
  <si>
    <t>Tipogrāfijas un maketēšanas pakalpojumi Jūrmalas pašvaldības informatīvā biļetena izdošanai</t>
  </si>
  <si>
    <t xml:space="preserve">Šāda summa paredzēta 2014. gada maketēšanas un tipogrāfijas pakalpojumu iepirkumiem Jūrmalas pilsētas domes informatīvam izdevumam, paredzot arī papildus informatīvu materiālu maketēšanu un druku. Precīza summa būs zināma pēc iepirkuma procedūras beigām </t>
  </si>
  <si>
    <t>Sadarbība ar masu medijiem</t>
  </si>
  <si>
    <t>Sadarbībai ar nacionālo TV, radio, presi</t>
  </si>
  <si>
    <t>Informācijas izvietošana vietējā laikrakstā, sadarbībā ar reģionālo TV, radio</t>
  </si>
  <si>
    <t>Informācijas izvietošana medijos par pašvaldības pasākumiem</t>
  </si>
  <si>
    <t>Interneta pakalpojumi</t>
  </si>
  <si>
    <t>Online ziņu abonements</t>
  </si>
  <si>
    <t>Iepirkums paredz Letas ziņu abonentu, Nozare.lv portāla abonentu un arī Letas fotogrāfa pakalpojumus vienu reizi mēnesī ar bilžu apstrādi un ievietošanu portālā Leta,  tāpēc izmaksas ir lielākas</t>
  </si>
  <si>
    <t>Sadarbība ar interneta portāliem</t>
  </si>
  <si>
    <t>3.3.</t>
  </si>
  <si>
    <t>Jūrmalas pilsētas mājaslapas pārveidošana un modernizēšana</t>
  </si>
  <si>
    <t>Paredzēts Jūrmalas pilsētas mājaslapas atjaunošana, modernizēšanu vai pilnīgi jaunas mājaslapas izveidošanu</t>
  </si>
  <si>
    <t>3.4.</t>
  </si>
  <si>
    <t>Jūrmalas pilsētas profila izveidošana un uzturēšana sociālajas tīklos</t>
  </si>
  <si>
    <t>3.5.</t>
  </si>
  <si>
    <t>Mājaslapas satura tulkošana un uzturēšana</t>
  </si>
  <si>
    <t>Paredzēts mājaslapu iztulkot angļu un krievu valodās un turpmāk ievietot informāciju svešvalodās</t>
  </si>
  <si>
    <t>Periodikas pasūtīšana</t>
  </si>
  <si>
    <t>Laikrakstu, žurnālu, rokasgrāmatu abonents</t>
  </si>
  <si>
    <t>Neadresēto matreiālu izplatīšana ir kļuvusi dārgāka, iepirkums paredz pašvaldības informatīvā biļetena piegādi arī pašvaldības iestādēm un citu nepieciešamo materiālu izplatīšanu un piegādi. Precīza summa būs zināma pēc iepirkuma procedūras beigām</t>
  </si>
  <si>
    <t>Publisko attiecību veicināšanas pasākumi</t>
  </si>
  <si>
    <t>Ārvalstu delegāciju viesu uzņemšana</t>
  </si>
  <si>
    <t>Šī aktivitāte pāriet uz Ārējo sakaru nodaļas budžetu</t>
  </si>
  <si>
    <t>Publisko attiecību kampaņas</t>
  </si>
  <si>
    <t>Nelieli pētījumi par sabiedrībā aktuāliem jautājumiem</t>
  </si>
  <si>
    <t>Vairāki pasākumi nāk klāt, tostarp Skolotāju dienas, Ģimenes diena (paredzēts godināt dižģimenes), Medicīnas darbinieku dienas un Sociālo darbinieku dienas svinīgie pasākumi domē</t>
  </si>
  <si>
    <t>Lai pasākumos būtu iespēja nodrošināt muzikālu priekšnesumu</t>
  </si>
  <si>
    <t>Ņemot vērā 2013. gada pieredzi un to, ka pasākumu skaits ir palielinājies, lūdzam palielināt arī šo budžeta pozīciju</t>
  </si>
  <si>
    <t>Citi pakalpojumi</t>
  </si>
  <si>
    <t>Preses konferenču sarīkošanas izdevumi</t>
  </si>
  <si>
    <t>Pilsētas tēla veidošanas un mārketinga pasākumi</t>
  </si>
  <si>
    <t>Jūrmalas rudens sezonas atklāšanas pasākums</t>
  </si>
  <si>
    <t>Apspriežu, konferenču, kongresu un citu pasākumu organizēšanas izdevumi</t>
  </si>
  <si>
    <t>Autoratlīdzības</t>
  </si>
  <si>
    <t>7.6.</t>
  </si>
  <si>
    <t>Sabiedrisko attiecību aģentūras pakalpojumi</t>
  </si>
  <si>
    <t>Ārpakalpojumi krīzes situāciju komunikācijā un konsultāciju sniegšana</t>
  </si>
  <si>
    <t>08.620.</t>
  </si>
  <si>
    <t>Informācijas par pilsētu vai citas informācijas ievietošana</t>
  </si>
  <si>
    <t>Informācijas par pilsētu vai citas informācijas  tulkošana svešvalodā</t>
  </si>
  <si>
    <t>Informācijas par pilsētu un pasākumiem pilsētā, kā arī imidža klipu izvietošana</t>
  </si>
  <si>
    <t>Plānojam plašāku sadarbību ar interneta portāliem un sociālajiem tīkliem</t>
  </si>
  <si>
    <t>Organizatoriskie izdevumi</t>
  </si>
  <si>
    <t>Pasākumu organizatoriskie izdevumi, kas ietver priekšsēdētāja pieņemšanas un Dzintaru koncertzāles atklāšanas un pasākumus (ēdināšanas pakalpojumi, ziedi, dāvanas, pasākumu vadīšana, grāmatu iegāde, suvenīru iegāde )</t>
  </si>
  <si>
    <t>Pilsētas mārketinga ilgtermiņa stratēģijas izstrāde</t>
  </si>
  <si>
    <t>Vadošās reklāmas aģentūras ārpakalpojums</t>
  </si>
  <si>
    <t xml:space="preserve">Pilsētas mārketinga pasākumu un kampaņu informatīvo un reklāmas materiālu izvietošana medijos </t>
  </si>
  <si>
    <t>Mediju aģentūras pakalpojumi</t>
  </si>
  <si>
    <t xml:space="preserve">Pasākumu, kampaņu radošās idejas izstrāde un realizācija </t>
  </si>
  <si>
    <t>Reklāmas, radošās aģentūras pakalpojumi, citi ārpakalpojumi</t>
  </si>
  <si>
    <t>Mārketinga materiālu ražošana</t>
  </si>
  <si>
    <t>Radio džinglu, reklāmas rullīšu, baneru, maketu ražošana</t>
  </si>
  <si>
    <t>Mārketinga materiālu druka</t>
  </si>
  <si>
    <t>apdruka</t>
  </si>
  <si>
    <t>Maŗketinga materiālu, suvenīru u.c. prezentmateriālu iegāde</t>
  </si>
  <si>
    <t>šalles u.c. Materiāli</t>
  </si>
  <si>
    <t>Mārketinga materiālu izplatīšana</t>
  </si>
  <si>
    <t>Pētījumi</t>
  </si>
  <si>
    <t>Jūrmalas sadraudzības pilsētu delegāciju, ārvalstu delegāciju un ārvalstu vēstnieku uzņemšana</t>
  </si>
  <si>
    <t>Jūrmalas domes oficiālo delegāciju vizītes uz esošajām un potenciālajām sadraudzības pilsētām, domes vadības oficiālie ārvalstu komandējumi</t>
  </si>
  <si>
    <t>Ārvalstu komandējumu dienas naudas</t>
  </si>
  <si>
    <t>Dalība semināros, sadraudzības pilsētu dienās, prezentācijās ārējo sakaru veicināšanas pasākumu ietvaros</t>
  </si>
  <si>
    <t>Iekšzemes komandējumu dienas naudas</t>
  </si>
  <si>
    <t>Informatīvie materiāli (brošūras, bukleti, prezentācijas)</t>
  </si>
  <si>
    <t>Sadraudzības līgumu notariālie tulkojumi, oficiālās sarakstes tulkojumi</t>
  </si>
  <si>
    <t>Pārējie materiāli (reprezentācijas materiāli, ārvalstu delegāciju uzņemšanai un vizītēm)</t>
  </si>
  <si>
    <t>Mežsaimniecības un vides aizsardzības pasākumi</t>
  </si>
  <si>
    <t>04.220</t>
  </si>
  <si>
    <t>Avārijas, nokaltušo un ainaviski mazvērtīgo koku nociršana ielu nodalījuma joslās, pašvaldības īpašumos un parkos un skvēros</t>
  </si>
  <si>
    <t>2013.gadā ir apzināti un palika nenocirsti ~ 50 koku, kā arī ļoti daudz nokaltušu koku ir JPD īpašumos Ķemeros. 2013.gadā vairākkart bija nepieciešams papildu finansējums. Pozīcijā paredzēti arī dažādi apstādījumu sakopšanas darbi - zaru nozāģēšana, krūmu nociršana u.c.</t>
  </si>
  <si>
    <t>Atvasāju nopļaušana mežos un parkos</t>
  </si>
  <si>
    <t>Atvasāju nopļaušana  ~200 ha meža, lai nepieļautu mežu aizaugšanu ar lapu koku atvasājiem (gar Rīgas ielu, gar Mežmalas ielu, gar Brīvības pr., kāpas no 13.līn. līdz 20.līn., no 25.līn. līdz 33.līn., pie Lielupes v-sk. u.c.)</t>
  </si>
  <si>
    <t>Celmu izfrēzēšana uz gājēju ietvēm, parkos, skvēros  un apstādījumos</t>
  </si>
  <si>
    <t>Ielu nodalījumu joslu zaļājās zonās, kur ir nozāģēti nokaltušie vai  avārijas koki</t>
  </si>
  <si>
    <t>Koku vainagu kopšana un veidošana pilsētas apstādījumos</t>
  </si>
  <si>
    <t>Mastu ielā, Muižas ielā, Bulduru prospektā, E.Dārziņa ielā, Lāčplēša skvērā, Turaidas ielā, Piestātnes ielā, Raiņa ielā u.c.</t>
  </si>
  <si>
    <t>Mežu stādījumu iegāde</t>
  </si>
  <si>
    <t>Pašvaldības pārziņā esošo teritoriju apsaimniekošana (kopšana un tīrīšana)</t>
  </si>
  <si>
    <t>05.100</t>
  </si>
  <si>
    <t>Ielu, ietvju un zaļo zonu mehanizētā un nemehanizētā tīrīšana</t>
  </si>
  <si>
    <t>Dārzkopības pakalpojumi Jūrmalas pilsētā (parku, skvēru, meža parku, ielu zaļo zonu kopšana)</t>
  </si>
  <si>
    <t>Parku, skvēru, atpūtas vietu un apstādījumu kopšana</t>
  </si>
  <si>
    <t>Papildus jaunizbūvētā zīmuļu parka kopšanai, Jaunizbūvētās Ezeru ielas peldvietas kopšanai, Iekšpagalma Ievu ielas 6a kopšanai</t>
  </si>
  <si>
    <t>Puķu stādu iegādei</t>
  </si>
  <si>
    <t>45.gab. puķu trauku iegādei un noformēšanai  pie apgaismes stabiem Ķemeros, Raiņa ielā (t.sk pie Kauguru kultūras nama), Nometņu ielā, Zemes ielā un Lienes ielā. 12 jaunas balkona kastes ar stiprinājumiem Dubultos pie stacijas un pašvaldības policijas. Investīciju plāns</t>
  </si>
  <si>
    <t>Jaunu puķu trauku iegāde</t>
  </si>
  <si>
    <t>Dzintaru mežaparka apsaimniekošana</t>
  </si>
  <si>
    <t>Parka kopšanai (aprēķins veikts pamatojoties uz  2013. veiktajiem darbu apjomiem parka apsaimniekošanā).</t>
  </si>
  <si>
    <t>Skvēra Dubultos (zemes gabalā Dubulti 2526) rekonstrukcijai</t>
  </si>
  <si>
    <t>Skvērā izbūvēt jaunus gājēju celiņus, solus un atkritumu urnas. Investīciju plāns</t>
  </si>
  <si>
    <t>Pludmales sakopšana (pludmales tīrīšana,celiņu no kārklu stādījumiem līdz mitrajām smiltīm tīrīšana, solu izvietošana)</t>
  </si>
  <si>
    <t>Sadzīves atkritumu konteineru izvietošana pludmalē un izejās uz jūru un atkritumu izvešana</t>
  </si>
  <si>
    <t>Sabiedrisko tualešu apsaimniekošana</t>
  </si>
  <si>
    <t xml:space="preserve">Stacionāro sabiedrisko tualešu apsaimniekošana </t>
  </si>
  <si>
    <t>Dzintaru Mežaparka , Jomas ielas 35a, Baznīcas ielas 2a,  Mellužu prospekta 6a</t>
  </si>
  <si>
    <t>Mellužu tualetes elektrībai 2014.gadā</t>
  </si>
  <si>
    <t xml:space="preserve">Tualešu konteineru noma un apsaimniekošana </t>
  </si>
  <si>
    <t>Pludmales konteineri, Jomas ielas konteineri, Kauguru vidusskola, Jaundubultu parks, Dubultu tirgus laukums, Zīmuļu parks, Asaru parks</t>
  </si>
  <si>
    <t>Pilsētas divu sabiedrisko (sauso) tualešu tīrīšana</t>
  </si>
  <si>
    <t>Valteri, Jaundubulti</t>
  </si>
  <si>
    <t>Stacionāro tualešu konteineru izbūve</t>
  </si>
  <si>
    <t>"Zīmuļu parks", Asaru parks</t>
  </si>
  <si>
    <t>Sadzīves atkritumu savākšana un aizvešana</t>
  </si>
  <si>
    <t>ESF projekta algoto pagaidu sabiedrisko darbu stipendiātu savākto sadzīves atkritumu izvešana, Pašvaldībai piederošo zemes īpašumu kopšana</t>
  </si>
  <si>
    <t>Spodrības mēneša laikā Lielgabarīta atkritumu izvešana, Vislatvijas Lielās talkas laikā savākto atkritumu izvešana</t>
  </si>
  <si>
    <t>Dalīto atkritumu laukumu kopšana</t>
  </si>
  <si>
    <t>Būvgružu aizvešana no zemesgabalā Dubulti 3520</t>
  </si>
  <si>
    <t xml:space="preserve">Pamatojoties uz Valsts Vides dienesta Pārbaudes aktu </t>
  </si>
  <si>
    <t>Ķemeru kompleksam</t>
  </si>
  <si>
    <t>Teritoriju un mājokļu labiekārtošanas pasākumi</t>
  </si>
  <si>
    <t>Dzīvnieku uzturēšanas izmaksas patversmē</t>
  </si>
  <si>
    <t>Klejojošu dzīvnieku izķeršana, dzīvnieku līķu apglabāšana</t>
  </si>
  <si>
    <t>Bezsaimnieku dzīvnieku (kaķu) sterilizācija</t>
  </si>
  <si>
    <t>Eiropas klaiņojošu kaķu populācijas kontroles programma "Noķer-sterilizē-atlaid"</t>
  </si>
  <si>
    <t>Ielu nosaukumu plāksnīšu un to stiprinājuma stabiņu  komplektu apsaimniekošana</t>
  </si>
  <si>
    <t>Maģistrālo ielu 250.gab. stabiņu, 500.gab. plāksnīšu un 500.gab rāmīšu nomaiņai Investīciju plāns</t>
  </si>
  <si>
    <t xml:space="preserve">Autobusu pieturu remonts </t>
  </si>
  <si>
    <t xml:space="preserve">Autobusu pieturu izgatavošana un uzstādīšana </t>
  </si>
  <si>
    <t>Jaunizveidoto maršrutu autobusu pieturām. Investīciju plāns</t>
  </si>
  <si>
    <t xml:space="preserve">Bērnu rotaļu laukumu un sporta laukumu izveide un remonts iekšpagalmos </t>
  </si>
  <si>
    <t>Bērnu rotaļu aprīkojuma izvietošana daudzdzīvokļu māju iekšpagalmos un pilsētas parkos</t>
  </si>
  <si>
    <t>Raiņa iela 75, Raiņa iela 77, Raiņa iela 83, Raiņa 85, Ķemoros. Investīciju plāns</t>
  </si>
  <si>
    <t>Bērnu rotaļu laukumu un sporta laukumu remonts iekšpagalmos un pludmalē</t>
  </si>
  <si>
    <t>Līmplēvju izgatavošana un uzstādīšana</t>
  </si>
  <si>
    <t>Sporta laukumu izbūve dzīvojamo māju iekšpagalmos (aprīkojums un sintētiskais segums)</t>
  </si>
  <si>
    <t>K.Zolta izejā, centra pludmalēs. Investīciju plāns</t>
  </si>
  <si>
    <t xml:space="preserve">Atpūtas parka izveide Kauguros </t>
  </si>
  <si>
    <t>"Zīmuļu parka" žoga projektam un izbūvei. Investīciju plāns</t>
  </si>
  <si>
    <t>Jaunu solu un atkritumu urnu komplektu iegāde un izvietošana un esošo solu atjaunošana</t>
  </si>
  <si>
    <t>Solu sēdvirsmu un atkritumu urnu atjaunošana un remonts</t>
  </si>
  <si>
    <t>Jomas iela, Turaidas iela, Jūras iela (Investīciju plāns)</t>
  </si>
  <si>
    <t>Soli un urnas izejās uz jūru (Investīciju plāns)</t>
  </si>
  <si>
    <t>Soli un urnas</t>
  </si>
  <si>
    <t>Balvu iegāde konkursa "Jūrmalas sakoptākais īpašums" laureātiem</t>
  </si>
  <si>
    <t>Pārējie izdevumi pilsētas apsaimniekošanā</t>
  </si>
  <si>
    <t>Slokas pilsētas ģērboņa restaurācija Rīgas Brāļu kapu Pilsētu ģērboņu galerijā</t>
  </si>
  <si>
    <t xml:space="preserve">Suņu izkārnījumu atkritumu urnu ar piktogramām, maisiņu turētāju un masiņu izgatavošana un uzstādīšana </t>
  </si>
  <si>
    <t>Pilsētas parkos Mellužos, Asaros, Dzintaru mežaparkā, Ķemeros</t>
  </si>
  <si>
    <t>Veloturētāju iegāde un uzstādīšana izbūvētajos bērnu un sporta laukumos</t>
  </si>
  <si>
    <t>20.gab</t>
  </si>
  <si>
    <t>Pamatnes izgatavošana egles uzstādīšanai Priedaines caurlaižu postenī</t>
  </si>
  <si>
    <t>Atpūtu un sportu veicinoši labiekārtošanas pasākumi</t>
  </si>
  <si>
    <t>Strūklaku uzturēšana</t>
  </si>
  <si>
    <t>Strūklakas apsaimniekošana un remonts</t>
  </si>
  <si>
    <t>Turaidas ielas strūklakai,Omnibusa strūklakai un jaunizbūvētām strūklakām Mellužu un Ķemeru parkos</t>
  </si>
  <si>
    <t>Elektropadeve struklakām</t>
  </si>
  <si>
    <t>Paredzēts strūklakas darbībai no 15.05.-15.10.</t>
  </si>
  <si>
    <t>Strūklaku izbūve pilsētas parku dīķos</t>
  </si>
  <si>
    <t xml:space="preserve">Pludmales labiekārtošana, tai skaitā rotaļu aprīkojuma, sporta aprīkojuma,  informatīvo norāžu un koka laipu remonts, izvietošana, demontāža, atjaunošana </t>
  </si>
  <si>
    <t>Pludmales labiekārtošana</t>
  </si>
  <si>
    <t>Informatīviem stendiem</t>
  </si>
  <si>
    <t>Pludales izejās 10.gab pilonu izgatavošanai un uzstādīšanai</t>
  </si>
  <si>
    <t>Pārģērbšanās kabīņu izgatavošana</t>
  </si>
  <si>
    <t>Invalīdu pārģērbšanās kabīnes Jaunķemeros, Līgatnes ielā</t>
  </si>
  <si>
    <t>Koka laipu izgatavošana, izvietošana un apsaimniekošana pludmales izejās uz jūru</t>
  </si>
  <si>
    <t>Jaunu laipu izgatavošanai Piestātnes, Slokas, Līgatnes, Selgas ielas izejās un 42 izeju apsaimniekošanai</t>
  </si>
  <si>
    <t>Kāpņu rekonstrukcija izejās uz jūru</t>
  </si>
  <si>
    <t>Remonts nepieciešams Konkordijas, Kr.Barona, Ērgļu ielu izejās uz jūru. (Investīciju plāns)</t>
  </si>
  <si>
    <t>Pludmales ģērbtuvju uzglabāšana ziemas sezonā</t>
  </si>
  <si>
    <t>Betona plākšņu izgatavošana un uzstādīšana izejās uz jūru, lai pludmalē varētu nobraukt operatīvais transports</t>
  </si>
  <si>
    <t>K.Zolta ielas izejā, Pilsoņu ielas izejā, Turaidas ielas izejā, Vienības prospekta izejā, 36.līnijas izejā, Dzimtenes ielas izejā, Baznīcas ielas izejā, Kļavu ielas izejā, Jaunķemeru ceļš izejā. (Investīciju plāns)</t>
  </si>
  <si>
    <t>Kāju mazgājamo krānu iegāde un uzstādīšana</t>
  </si>
  <si>
    <t>5 izejās uz jūru: K.Zolta iela, Upes iela, Baznīcas iela, Konkordijas iela, Drustu iela.  (Investīciju plāns)</t>
  </si>
  <si>
    <t>Kāju mazgājamo krānu komunikāciju ierīkošanai</t>
  </si>
  <si>
    <t>3 izejās: Konkordijas ieas, Upes ielas, Baznīcas ielas  (Investīciju plāns)</t>
  </si>
  <si>
    <t>Dušu iegāde un uzstādīšana pludmalē</t>
  </si>
  <si>
    <t>Pludmalē Draudzības, Dzimtenes, Kaiju, Rūjienas un Kr.Barona ielu robežās  (Investīciju plāns)</t>
  </si>
  <si>
    <t xml:space="preserve">Vides pieejamība pludmalē </t>
  </si>
  <si>
    <t>K.Zolta ielas izejā, Jaunķemeri pie glābšanas stacijas, Vēju iela, 6.līnija pie glābšanas stacijas.  (Investīciju plāns)</t>
  </si>
  <si>
    <t>Ezeru peldvietas Lielupē labiekārtojums</t>
  </si>
  <si>
    <t>Atveramas barjeras un divu pārģērbšanās kabīņu izgatavošana un uzstādīšana, smilšu piebēršana peldvietā. (Investīciju plāns)</t>
  </si>
  <si>
    <t>Pirmskolas izglītības iestāžu labiekārtošanas pasākumi</t>
  </si>
  <si>
    <t>09.100</t>
  </si>
  <si>
    <t>Pii "Lācītis", "Bitīte", "Madara", "Namiņš", sākumsk "Taurenītis", Pumpuru vidussk. (Investīciju plāns)</t>
  </si>
  <si>
    <t>Bērnu rotaļu laukumu izveide pirmsskolas izglītības iestādēs</t>
  </si>
  <si>
    <t>Z.Sapronova</t>
  </si>
  <si>
    <t xml:space="preserve">Struktūrvienība </t>
  </si>
  <si>
    <r>
      <t xml:space="preserve">Programma: </t>
    </r>
    <r>
      <rPr>
        <b/>
        <sz val="9"/>
        <rFont val="Times New Roman"/>
        <family val="1"/>
        <charset val="186"/>
      </rPr>
      <t/>
    </r>
  </si>
  <si>
    <t>Izdevumi, kas saistīti ar kapitāla pārvaldīšanu, nekustamā īpašuma iegādi</t>
  </si>
  <si>
    <t>04.900.</t>
  </si>
  <si>
    <t>Konsultatīvo pakalpojumu piesaiste</t>
  </si>
  <si>
    <t xml:space="preserve">Struktūrvienība:  </t>
  </si>
  <si>
    <t>Pašvaldības juridiskā pārstāvniecība</t>
  </si>
  <si>
    <t>01.330</t>
  </si>
  <si>
    <t>2014.gada budžeta pieprasījums</t>
  </si>
  <si>
    <t>Juridiskā pārstāvniecība</t>
  </si>
  <si>
    <t>Tiesas spriedumu izpilde</t>
  </si>
  <si>
    <t>Tiesāšanās izdevumi</t>
  </si>
  <si>
    <t>Izglītības nodaļa</t>
  </si>
  <si>
    <t>Starpskolu pasākumi, konkursi, sacensības interešu un profesionālās ievirzes izglītības jomā</t>
  </si>
  <si>
    <t>09.510</t>
  </si>
  <si>
    <t>1</t>
  </si>
  <si>
    <t xml:space="preserve">Pilsoniskās un patriotiskās  audzināšanas pasākumu cikls </t>
  </si>
  <si>
    <t>Kapteiņa  P. Zolta piemiņas pasākums un NBS diena Jūrmalā  „Augsim Latvijai!”</t>
  </si>
  <si>
    <t>1.2</t>
  </si>
  <si>
    <t>Vidusskolēnu militārās spēles</t>
  </si>
  <si>
    <t>1.3</t>
  </si>
  <si>
    <t xml:space="preserve">Vēstures zinību konkurss </t>
  </si>
  <si>
    <t>1.4</t>
  </si>
  <si>
    <t xml:space="preserve">Literāro uzvedumu skate </t>
  </si>
  <si>
    <t>eksperta līgums</t>
  </si>
  <si>
    <t>1.5</t>
  </si>
  <si>
    <t xml:space="preserve">Konkurss "Kas interesants skolas muzejā?" </t>
  </si>
  <si>
    <t>2</t>
  </si>
  <si>
    <t>Kultūrizglītība</t>
  </si>
  <si>
    <t>2.1</t>
  </si>
  <si>
    <t>Konkursi un skates</t>
  </si>
  <si>
    <t>2.1.1</t>
  </si>
  <si>
    <t>Teātra un literāro uzvedumu skate "Labais!"</t>
  </si>
  <si>
    <t>eksperts</t>
  </si>
  <si>
    <t xml:space="preserve">ēdināšana </t>
  </si>
  <si>
    <t>2.1.2</t>
  </si>
  <si>
    <t xml:space="preserve">Zēnu koru un 1.- 4. klašu koru skate pilsētā </t>
  </si>
  <si>
    <t>2.1.3</t>
  </si>
  <si>
    <t>Jaukto koru un 5.-9. klašu koru skate</t>
  </si>
  <si>
    <t>2.1.4.</t>
  </si>
  <si>
    <t>Vizuālās un vizuāli plastiskās mākslas konkurss"Trejdeviņas saules lec"</t>
  </si>
  <si>
    <t xml:space="preserve">balvas </t>
  </si>
  <si>
    <t xml:space="preserve">Transporta īre darbu nogādāšanai uz Siguldu </t>
  </si>
  <si>
    <t xml:space="preserve">dalības maksa </t>
  </si>
  <si>
    <t>2.1.5.</t>
  </si>
  <si>
    <t>Vizuālās un vizuāli plastiskās mākslas konkurss"Kur saulīte rotājās"</t>
  </si>
  <si>
    <t>2.1.6.</t>
  </si>
  <si>
    <t>Starptautiskā ekoloģiskā tiešsaistes viktorīna "Tīras planētas vārdā"</t>
  </si>
  <si>
    <t>2.1.7.</t>
  </si>
  <si>
    <t>42.Starptautiskā bērnu mākslas izstāde - konkurss "Lidice 2014"</t>
  </si>
  <si>
    <t>2.1.8.</t>
  </si>
  <si>
    <t>Mazo vokālistu konkurss " Jūrmalas Cālis"</t>
  </si>
  <si>
    <t>2.1.9.</t>
  </si>
  <si>
    <t xml:space="preserve">Literārās jaunrades konkurss </t>
  </si>
  <si>
    <t>2.1.10.</t>
  </si>
  <si>
    <t>konkurss- projekts "Jūrmala gadalaikos 2.kārta</t>
  </si>
  <si>
    <t>materiāli</t>
  </si>
  <si>
    <t>2.1.11.</t>
  </si>
  <si>
    <t>Konkurss "Popiela"</t>
  </si>
  <si>
    <t>2.1.12.</t>
  </si>
  <si>
    <t>Mūsdienu deju skate-koncerts</t>
  </si>
  <si>
    <t>2.1.13.</t>
  </si>
  <si>
    <t>Vokālās mūzikas konkurss "Balsis"</t>
  </si>
  <si>
    <t>2.1.14.</t>
  </si>
  <si>
    <t xml:space="preserve">Tautisko deju kolektīvu skate pilsētā </t>
  </si>
  <si>
    <t>2.1.15.</t>
  </si>
  <si>
    <t>Skatuves runas konkurss "Jūras malā"</t>
  </si>
  <si>
    <t>2.1.16.</t>
  </si>
  <si>
    <t>Profesora Valtnera konkurss "Pazīsti savu organismu" aprīlis</t>
  </si>
  <si>
    <t xml:space="preserve">ceļa izdevumi </t>
  </si>
  <si>
    <t>2.1.17.</t>
  </si>
  <si>
    <t>Jūrmalas pilsētas Vizuālās mākslas olimpiāde 5.-12.klasēm</t>
  </si>
  <si>
    <t>2.1.18.</t>
  </si>
  <si>
    <t>Konkurss "Inovatīvākā skola Jūrmalā" 3 nominācijas</t>
  </si>
  <si>
    <t>2.2</t>
  </si>
  <si>
    <t>Pilsētas mēroga pasākumi</t>
  </si>
  <si>
    <t>2.2.1</t>
  </si>
  <si>
    <t xml:space="preserve">Starptautiskā skolēnu zinātnisko darbu lasījumu konference "Es dzīvoju pie jūras" </t>
  </si>
  <si>
    <t>2.2.2.</t>
  </si>
  <si>
    <t>Konference "Bērnu  tiesību aizsardzības stāvoklis Jūrmalā 2012" (2013. oktobris)</t>
  </si>
  <si>
    <t>2.2.3</t>
  </si>
  <si>
    <t xml:space="preserve">Pilsētas Skolēnu bērnu tiesību aizsardzības komisijas dalībnieku diskusija ar Jūrmalas pilsētas domes deputātiem un pašvaldības institūciju vadītājiem </t>
  </si>
  <si>
    <t>2.2.4</t>
  </si>
  <si>
    <t xml:space="preserve">Ekskursija Pilsētas Skolēnu bērnu tiesību aizsardzības komisijas dalībniekiem </t>
  </si>
  <si>
    <t>2.2.5</t>
  </si>
  <si>
    <t xml:space="preserve">Pilsētas skolēnu konkurss ''Manas tiesības un mani pienākumi'' </t>
  </si>
  <si>
    <t>2.2.6.</t>
  </si>
  <si>
    <t>Starptautiskais konkurss "Rēķini galvā"2014.viktorīna "Tīrās planētas vārdā"</t>
  </si>
  <si>
    <t>2.2.7.</t>
  </si>
  <si>
    <t>Pilsētas skolēnu konkurss ''Manas tiesības un mani pienākumi''</t>
  </si>
  <si>
    <t>2.2.11.</t>
  </si>
  <si>
    <t>Starptautiskais konkurss "Rēķini galvā"2013. Fināls Ukrainas Republikā , Aluštā ( piedalās 14 izglītojamie un 3skolotāji un 1 vecāks)</t>
  </si>
  <si>
    <t>2.2.12.</t>
  </si>
  <si>
    <t>Starptautiskais konkurss "Rēķini galvā"2014. otrā kārta (Rīgas 28.vidusskolā)</t>
  </si>
  <si>
    <t>2.2.13.</t>
  </si>
  <si>
    <t>Svešvalodu diena</t>
  </si>
  <si>
    <t>2.2.14.</t>
  </si>
  <si>
    <t>Starptautiskais konkurss "Rēķini galvā"2014. Fināls Igaunijā</t>
  </si>
  <si>
    <t>2.2.15.</t>
  </si>
  <si>
    <t>Talantīgo Jūrmalas skolēnu  nometne - 3 daļas - 30 bērni</t>
  </si>
  <si>
    <t>ieejas maksas</t>
  </si>
  <si>
    <t>lektoru pakalpojums</t>
  </si>
  <si>
    <t>Bērnu Jauniešu interešu centrs</t>
  </si>
  <si>
    <t>2.2.16.</t>
  </si>
  <si>
    <t>Jauniešu diena Jūrmalā, maijs (Izstādes "Izglītība Jūrmalā 2014 ietvaros)</t>
  </si>
  <si>
    <t>Mākslas skola</t>
  </si>
  <si>
    <t>2.2.17.</t>
  </si>
  <si>
    <t>Mazās Mākslas dienas , sadarbībā ar Jūrmalas mākslinieku namu un Jūrmalas teātri</t>
  </si>
  <si>
    <t>2.2.18.</t>
  </si>
  <si>
    <t>Ziemassvētku mākslas akcija "Bērnu egle Horna dārzā-Eņģeļi pār Latviju"</t>
  </si>
  <si>
    <t>materiāli 15 rūķu darbnīcām</t>
  </si>
  <si>
    <t>2.2.19.</t>
  </si>
  <si>
    <t>Mākslas dienas " Uzziedi"</t>
  </si>
  <si>
    <t>Sporta skola</t>
  </si>
  <si>
    <t>2.2.20.</t>
  </si>
  <si>
    <t>Skolēnu olimpiādes sacensības spēlē "Tautas bumba"</t>
  </si>
  <si>
    <t>2.2.21.</t>
  </si>
  <si>
    <t>Skolēnu olimpiādes sacensības dambretē un šahā</t>
  </si>
  <si>
    <t>2.2.22.</t>
  </si>
  <si>
    <t xml:space="preserve">Skolēnu olimpiādes sacensības florbolā </t>
  </si>
  <si>
    <t>2.2.23.</t>
  </si>
  <si>
    <t>Skolēnu olimpiādes sacensības volejbolā</t>
  </si>
  <si>
    <t>2.2.24.</t>
  </si>
  <si>
    <t>Skolēnu olimpiādes sacensības vieglatlētikā "Jūrmalas pavasaris 2013"</t>
  </si>
  <si>
    <t>2.2.25.</t>
  </si>
  <si>
    <t>Skolēnu olimpiādes sacensības vieglatlētikā "Jūrmalas pavasaris 2014"</t>
  </si>
  <si>
    <t>2.2.26.</t>
  </si>
  <si>
    <t>Sporta svētki pirmsskolas vecuma bērniem "Jautrie starti 2014"</t>
  </si>
  <si>
    <t>2.2.27.</t>
  </si>
  <si>
    <t>Sporta svētki pirmsskolas vecuma bērniem "Jautrie starti 2013"</t>
  </si>
  <si>
    <t>2.2.28.</t>
  </si>
  <si>
    <t>Bērnu sporta svētki  "Pirmais solis 2014"</t>
  </si>
  <si>
    <t>2.2.29.</t>
  </si>
  <si>
    <t>Bērnu sporta svētki  "Pirmais solis"</t>
  </si>
  <si>
    <t>2.2.30.</t>
  </si>
  <si>
    <t>Skolēnu olimpiādes sacensības basketbolā</t>
  </si>
  <si>
    <t>2.2.31.</t>
  </si>
  <si>
    <t>Jūrmalas atklātās sacensības vieglatlētikā</t>
  </si>
  <si>
    <t>2.2.32.</t>
  </si>
  <si>
    <t>Jūrmalas atklātais čempionāts mākslas vingrošanā</t>
  </si>
  <si>
    <t>2.2.33.</t>
  </si>
  <si>
    <t>Pārbaudes sacensības normatīvu izpildē vieglatlētikā Latvijas Jaunātnes Olimpiādei 2013.gadā</t>
  </si>
  <si>
    <t>2.2.34.</t>
  </si>
  <si>
    <t>Jūrmalas atklātais turnīrs basketbolā meitenēm</t>
  </si>
  <si>
    <t>2.2.35.</t>
  </si>
  <si>
    <t>Jūrmalas atklātās meistarsacīkstes mākslas vingrošanā</t>
  </si>
  <si>
    <t>2.2.36.</t>
  </si>
  <si>
    <t>Jūrmalas meistarsacīkstes vieglatlētikas krosā "Jūrmalas rudens 2014"</t>
  </si>
  <si>
    <t>2.2.37.</t>
  </si>
  <si>
    <t>Jūrmalas vieglatlētikas sacensības lekšanas disciplīnās telpās</t>
  </si>
  <si>
    <t>2.2.38.</t>
  </si>
  <si>
    <t xml:space="preserve">Jūrmalas atklātās sacensības mākslas vingrošanā </t>
  </si>
  <si>
    <t>2.2.39.</t>
  </si>
  <si>
    <t>Jūrmalas pilsētas atklātais čempionāts daudzcīņā</t>
  </si>
  <si>
    <t>2.2.40</t>
  </si>
  <si>
    <t>Jūrmalas atklātais turnīrs hokejā</t>
  </si>
  <si>
    <t>2.2.41</t>
  </si>
  <si>
    <t>Skolēnu olimpiādes sacensības stafetēs "Drošie un veiklie"</t>
  </si>
  <si>
    <t>2.2.42</t>
  </si>
  <si>
    <t>Jūrmalas Sporta skolas Atklātais turnīrs basketbolā "Pirtnieka kauss"</t>
  </si>
  <si>
    <t>2.2.43.</t>
  </si>
  <si>
    <t xml:space="preserve">Jūrmalas Sporta skolas Atklātais turnīrs handbolā </t>
  </si>
  <si>
    <t>2.2.44.</t>
  </si>
  <si>
    <t>Starptautiskais hokēja turnīrs ''Ziemas klasika 2013''</t>
  </si>
  <si>
    <t>Jūrmalas Sporta centrs</t>
  </si>
  <si>
    <t>2.2.46.</t>
  </si>
  <si>
    <t>Jūrmalas skolēnu pavasara čempionāts futbolā</t>
  </si>
  <si>
    <t>2.2.47.</t>
  </si>
  <si>
    <t>Futbola sacensības "Lieldienu kauss 2014"</t>
  </si>
  <si>
    <t>2.2.48.</t>
  </si>
  <si>
    <t>U-7 regbija sacensības "JDC ziemas kauss</t>
  </si>
  <si>
    <t>2.2.49.</t>
  </si>
  <si>
    <t>pludmales regbija sacensības "JSC kauss"</t>
  </si>
  <si>
    <t>2.2.50.</t>
  </si>
  <si>
    <t>Jūrmalas skolēnu rudens čempionāts futbolā</t>
  </si>
  <si>
    <t>2.2.51.</t>
  </si>
  <si>
    <t xml:space="preserve">Jūrmalas skolēnu peldēšanas čempionāts </t>
  </si>
  <si>
    <t>2.2.52.</t>
  </si>
  <si>
    <t>Skolotāju dienai veltīts pasākums</t>
  </si>
  <si>
    <t>balvas nominācijām</t>
  </si>
  <si>
    <t>koncerta pakalpojumi</t>
  </si>
  <si>
    <t>kafijas galds</t>
  </si>
  <si>
    <t>2.2.53.</t>
  </si>
  <si>
    <t>Olimpiāžu uzvarētāju apbalvošana</t>
  </si>
  <si>
    <t>2.2.54.</t>
  </si>
  <si>
    <t>Skolēnu dziesmu un deju lielkoncerts</t>
  </si>
  <si>
    <t>2.2.55.</t>
  </si>
  <si>
    <t>2.3</t>
  </si>
  <si>
    <t>Radošā darba izstādes un skates</t>
  </si>
  <si>
    <t>2.3.1</t>
  </si>
  <si>
    <t>Izstāde "Izglītība Jūrmalā"</t>
  </si>
  <si>
    <t>3</t>
  </si>
  <si>
    <t>Vides un veselības izglītība</t>
  </si>
  <si>
    <t>3.1</t>
  </si>
  <si>
    <t>Vides izziņas spēļu konkurss, pilsētas kārta, 1.-12.klasēm</t>
  </si>
  <si>
    <t>3.2</t>
  </si>
  <si>
    <t xml:space="preserve">Vides pētniecisko darbu konkurss "Skolēni eksperimentē!" 1.-12.kl., </t>
  </si>
  <si>
    <t>3.3</t>
  </si>
  <si>
    <t xml:space="preserve">Konkurss "Vides erudīts" 5.-6.kl., </t>
  </si>
  <si>
    <t>3.4</t>
  </si>
  <si>
    <t xml:space="preserve">Vides pētnieku konkursss 8.klasēm, </t>
  </si>
  <si>
    <t>4</t>
  </si>
  <si>
    <t>Tehniskās jaunrades un sporta pasākumi</t>
  </si>
  <si>
    <t>4.1</t>
  </si>
  <si>
    <t>Jūrmalas balva skeitbordā 1.etaps, 2.etaps, 3.etaps</t>
  </si>
  <si>
    <t>4.2</t>
  </si>
  <si>
    <t>Jūrmalas Bērnu un Jauniešu interešu centra balva skeitbordā un skrituļošanā</t>
  </si>
  <si>
    <t>Konkurss veselības izglītībā</t>
  </si>
  <si>
    <t>4.3</t>
  </si>
  <si>
    <t>Jūrmalas fingerborda sacensības</t>
  </si>
  <si>
    <t>5</t>
  </si>
  <si>
    <t>Novada un valsts mēroga skates, konkursi, sacensības</t>
  </si>
  <si>
    <t>5.1</t>
  </si>
  <si>
    <t xml:space="preserve">Tautas deju festivāls "Latvju bērni danci veda" </t>
  </si>
  <si>
    <t>autobusa īre</t>
  </si>
  <si>
    <t>5.2</t>
  </si>
  <si>
    <t>Mūsdienu deju konkurss Liepājā</t>
  </si>
  <si>
    <t>5.3</t>
  </si>
  <si>
    <t>Mūsdienu deju kolektīvu atlases skate novadā</t>
  </si>
  <si>
    <t xml:space="preserve">Vokālās mūzikas novada konkurss "Balsis" </t>
  </si>
  <si>
    <t>Notiek Jūrmalā!</t>
  </si>
  <si>
    <t>5.5.</t>
  </si>
  <si>
    <t>5.-9.klašu koru novada skate Jelgavā</t>
  </si>
  <si>
    <t>5.6.</t>
  </si>
  <si>
    <t>10.-12.klašu koru novada skate Jelgavā</t>
  </si>
  <si>
    <t>dalība maksa</t>
  </si>
  <si>
    <t>5.7.</t>
  </si>
  <si>
    <t>Teātra festivāls Siguldā</t>
  </si>
  <si>
    <t>5.8.</t>
  </si>
  <si>
    <t>Zēnu koru novada skate Jelgavā</t>
  </si>
  <si>
    <t>5.9.</t>
  </si>
  <si>
    <t>Zēnu koru salidojums Talsos</t>
  </si>
  <si>
    <t>2 autobusi</t>
  </si>
  <si>
    <t>5.10.</t>
  </si>
  <si>
    <t>Literāro uzvedumu un skatuves runas novada skate Jaunmārupē</t>
  </si>
  <si>
    <t>5.11.</t>
  </si>
  <si>
    <t>Literāro uzvedumu un skatuves runas novada skate Bauskā</t>
  </si>
  <si>
    <t>5.12.</t>
  </si>
  <si>
    <t>IX Latvijas zēnu koru salidojums Cēsīs</t>
  </si>
  <si>
    <t>5.13.</t>
  </si>
  <si>
    <t>Skatuves runas mākslas konkurss reģionā</t>
  </si>
  <si>
    <t>5.14.</t>
  </si>
  <si>
    <t>Tautasdziesmu dziedāšanas  novada sacensības "Lakstīgala"</t>
  </si>
  <si>
    <t>kafijas galds - notiek Jūrmalā</t>
  </si>
  <si>
    <t>5.15.</t>
  </si>
  <si>
    <t>Reģionālais zinātniski pētniecisko darbu konkurss</t>
  </si>
  <si>
    <t>5.16.</t>
  </si>
  <si>
    <t>Autodaudzcīņa ar kartingiem Jūrmalā</t>
  </si>
  <si>
    <t>5.17.</t>
  </si>
  <si>
    <t>Autodaudzcīņa ar kartingiem Jūrmalas posms, sadarbībā ar LAF kartingu komisiju</t>
  </si>
  <si>
    <t>5.18.</t>
  </si>
  <si>
    <t>Plenērs "Es zīmēju Jūrmalu"-100 dalībnieki</t>
  </si>
  <si>
    <t>5.19.</t>
  </si>
  <si>
    <t>Republikas Mākslas skolu konkurss gleznošanā un kompozīcijā</t>
  </si>
  <si>
    <t>5.20.</t>
  </si>
  <si>
    <t>Republikas mākslas skolu skate "Arhitektūra" - 1.kārta - Rīga, otrā kārta - Saldus (2 dienas)</t>
  </si>
  <si>
    <t>degviela, dzīvošana</t>
  </si>
  <si>
    <t>dalības maksa, ēdināšana</t>
  </si>
  <si>
    <t>žūrijas atalgojums</t>
  </si>
  <si>
    <t>soc.nodoklis</t>
  </si>
  <si>
    <t>5.21.</t>
  </si>
  <si>
    <t>XIV Starpatautiskās vizuāli plastiskās mākslas konkurss " Es dzīvoju pie jūras"</t>
  </si>
  <si>
    <t>iespieddarbi</t>
  </si>
  <si>
    <t>pasta izdevumi</t>
  </si>
  <si>
    <t>dāvanas un medaļas</t>
  </si>
  <si>
    <t>5.22.</t>
  </si>
  <si>
    <t>XII Starpatautiskās vizuāli plastiskās mākslas konkurss " Es dzīvoju pie jūras"</t>
  </si>
  <si>
    <t>Mūzikas vsk.</t>
  </si>
  <si>
    <t>5.23.</t>
  </si>
  <si>
    <t>15.starptautiskais kameransambļu konkurss "JŪRMALA 2014"</t>
  </si>
  <si>
    <t>Honorārs žūrijai</t>
  </si>
  <si>
    <t>Klavieru skaņošana</t>
  </si>
  <si>
    <t>Aviobiļetes žūrijai</t>
  </si>
  <si>
    <t>Viesnīcas izdevumi</t>
  </si>
  <si>
    <t>Tipogrāfija</t>
  </si>
  <si>
    <t>Balvu fonds</t>
  </si>
  <si>
    <t>5.24.</t>
  </si>
  <si>
    <t>Latvijas mūzikas vidusskolu audzēkņu konkurss mūzikas teorētiskajos priekšmetos</t>
  </si>
  <si>
    <t>Balvu fonds, t.sk.diplomu druka</t>
  </si>
  <si>
    <t>Žūrijas darba apmaksa (3 cilv. x 60 Ls)</t>
  </si>
  <si>
    <t>Ceļa izdevumi (žūrijai un viesiem)</t>
  </si>
  <si>
    <t>Prezentācijas izdevumi( ziedi, kafijas galds)</t>
  </si>
  <si>
    <t>5.25.</t>
  </si>
  <si>
    <t>Mūzikas skolu kora nodaļu audzēkņu konkurss solo dziedāšanā "Jūrmalas balsis 2014"</t>
  </si>
  <si>
    <t>Balvu fonds, diplomi</t>
  </si>
  <si>
    <t>Žūrijas darba apmaksa ( 3 cilv. x 50 Ls)</t>
  </si>
  <si>
    <t>Prezentācijas izdevumi(  kafijas galds)</t>
  </si>
  <si>
    <t>5.26.</t>
  </si>
  <si>
    <t>Jauno dziedātāju konkurss skolas vecuma bērniem</t>
  </si>
  <si>
    <t>5.27.</t>
  </si>
  <si>
    <t>Divi konkursi mūzikas teorijā Latvijas mūzikas skolu audzēkņiem</t>
  </si>
  <si>
    <t>5.28.</t>
  </si>
  <si>
    <t>XIV Starptautiskais Akadēmiskās mūzikas konkurss "Jūrmalas 2013" mūzikas skolu un vidusskolu audzēkņiem</t>
  </si>
  <si>
    <t>5.29.</t>
  </si>
  <si>
    <t>Metodiskās reģiona pasākumi (JMVS ir zonas skolu centrs). Stīgu, pūšamintrumentu, taustiņinstrumentu, koru metodiskās apvienības pasākumi</t>
  </si>
  <si>
    <t>5.30.</t>
  </si>
  <si>
    <t>Starptautiskās peldēšanas sacensības "Medūzas kauss"</t>
  </si>
  <si>
    <t>5.31.</t>
  </si>
  <si>
    <t>Peldēšanas sacensības "Jūrmalas domes kauss"</t>
  </si>
  <si>
    <t>5.32.</t>
  </si>
  <si>
    <t>Peldēšanas sezonas atklāšanas sacensības "Rudens kauss"</t>
  </si>
  <si>
    <t>5.33.</t>
  </si>
  <si>
    <t>Peldēšanas sacensības "Ziemassvētku čempionāts"</t>
  </si>
  <si>
    <t>5.34.</t>
  </si>
  <si>
    <t>Futbola sacensības  "Domes kauss"</t>
  </si>
  <si>
    <t>5.35.</t>
  </si>
  <si>
    <t>Futbola sacensības  "Zelta rudens"</t>
  </si>
  <si>
    <t>6</t>
  </si>
  <si>
    <t>Konferences, semināri</t>
  </si>
  <si>
    <t>6.1</t>
  </si>
  <si>
    <t>Latvijas vides izglītotāju asociācijas 21.saiets, 1.-3.augusts</t>
  </si>
  <si>
    <t>Izglītības darbinieku augusta konference, ietverot izbraukuma semināru izglītības iestāžu vadītājiem, viņu vietniekiem un metodisko apvienību vadītājiem</t>
  </si>
  <si>
    <t>transporta īre</t>
  </si>
  <si>
    <t>Latvijas Izglītības Forums</t>
  </si>
  <si>
    <t>Semināri un kursi metodiskajām apvienībām</t>
  </si>
  <si>
    <t>6.5.</t>
  </si>
  <si>
    <t>Semināri un kursi izglītības iestāžu tehniskajam personālam</t>
  </si>
  <si>
    <t>6.6.</t>
  </si>
  <si>
    <t xml:space="preserve">Kursi un praktiskās apmācības mūžizglītības kontekstā </t>
  </si>
  <si>
    <t>alga</t>
  </si>
  <si>
    <t>soc nodoklis</t>
  </si>
  <si>
    <t>pašnodarbinātam</t>
  </si>
  <si>
    <t>6.7.</t>
  </si>
  <si>
    <t>Mūžizglītības apmācība pašvaldības darbiniekiem</t>
  </si>
  <si>
    <t>6.8.</t>
  </si>
  <si>
    <t>E-apmācības sistēma e-apmācības sistēma efektivitātes, kvalitātes un kontroles uzlabošanai</t>
  </si>
  <si>
    <t>6.9.</t>
  </si>
  <si>
    <t>mākslinieku pakalpojums</t>
  </si>
  <si>
    <t>noformējums</t>
  </si>
  <si>
    <t>6.10.</t>
  </si>
  <si>
    <t>Izglītības iestāžu vadītāju praktiskās darbības semināri</t>
  </si>
  <si>
    <t>6.11.</t>
  </si>
  <si>
    <t>Sociālo pedagogu dalība Starptautiskajā sociālo pedagogu "vasaras akadēmijā"</t>
  </si>
  <si>
    <t>6.12.</t>
  </si>
  <si>
    <t>Sirds un veselības profilaktiskās pārbaudes</t>
  </si>
  <si>
    <t>profilaktiskā skrīninga pakalpojums</t>
  </si>
  <si>
    <t>6.13.</t>
  </si>
  <si>
    <t>Ziemassvētku pasākums pedagogiem</t>
  </si>
  <si>
    <t>6.14.</t>
  </si>
  <si>
    <t>Vecāku konference</t>
  </si>
  <si>
    <t>6.15.</t>
  </si>
  <si>
    <t>Atvērto durvju dienu pasākums profesionālās un profesionālās ievirzes skolām</t>
  </si>
  <si>
    <t>6.16.</t>
  </si>
  <si>
    <t>Meistarklases, seminārs – Matemātikas MA skolotājiem</t>
  </si>
  <si>
    <t>transporta izdevumi</t>
  </si>
  <si>
    <t>lektora pakalpojumi</t>
  </si>
  <si>
    <t>6.17.</t>
  </si>
  <si>
    <t>Izglītības nodaļas darbinieku dalība konferencēs un semināros</t>
  </si>
  <si>
    <t>6.18.</t>
  </si>
  <si>
    <t>Jūrmalas skolotāju metodiskā konference "Atbalsta sistēmas nodrošinājums katram izglītojamajam, atbilstoši viņa interesēm un vajadzībām</t>
  </si>
  <si>
    <t>6.19.</t>
  </si>
  <si>
    <t>Dalība pedagogu profesionālajās asociācijās</t>
  </si>
  <si>
    <t>6.20.</t>
  </si>
  <si>
    <t>Konference "Mācību satura apguve, kas balstīta praktiskajās dzīves vajadzībās" 2014.gada marts</t>
  </si>
  <si>
    <t>ziedi</t>
  </si>
  <si>
    <t>kancelejas preces</t>
  </si>
  <si>
    <t>6.21.</t>
  </si>
  <si>
    <t xml:space="preserve">Seminārs "Vērtēšana mācību procesā un novērtēšana kā rezultāts"2014.gada aprīlis </t>
  </si>
  <si>
    <t>mācību materiāli</t>
  </si>
  <si>
    <t>6.22.</t>
  </si>
  <si>
    <t>Konference "Emocionāli droša vide pedagogiem, bērniem,vecākiem" 2014.gada maijs</t>
  </si>
  <si>
    <t>lektoru pakalpojumi</t>
  </si>
  <si>
    <t>6.23.</t>
  </si>
  <si>
    <t>Jūrmalas pilsētas mācību priekšmetu metodisko apvienību vadītāju un izglītības nodaļas speciālistu dalības lielo pilsētu pašvaldību asociācijas rīkotajā Zinātniski praktiskajā konferencē Rēzeknē</t>
  </si>
  <si>
    <t>6.24.</t>
  </si>
  <si>
    <t>Pedagogu profesionālās darbības kvalitātes novērtēšanas eksperta darba samaksa</t>
  </si>
  <si>
    <t>darba alga</t>
  </si>
  <si>
    <t>6.25.</t>
  </si>
  <si>
    <t>Jūrmalas pilsētas mācību priekšmetu metodisko apvienību vadītāju un izglītības nodaļas speciālistu dalības lielo pilsētu pašvaldību asociācijas rīkotajā Zinātniski praktiskajā konferencē Liepājā</t>
  </si>
  <si>
    <t>6.26.</t>
  </si>
  <si>
    <t>Kursi interešu izglītības pedagogiem (mi 21 stunda) - BJIC</t>
  </si>
  <si>
    <t>6.27.</t>
  </si>
  <si>
    <t>Materiālu izstrāde un noformēšana datu bāzes pilnveidei mājas lapā. Lapas funkcionalitātes uzlabošana un papildināšana, ieskaitot datu meklēšanu un grupēšanu</t>
  </si>
  <si>
    <t>6.28.</t>
  </si>
  <si>
    <t>Jūrmalas pedagogu konference-seminārs ''Lai mācītu un mācītos ar prieku''</t>
  </si>
  <si>
    <t>6.29.</t>
  </si>
  <si>
    <t>Latviešu valodas apmācība cittautiešiem</t>
  </si>
  <si>
    <t>Pirmsskolas izglītības nodrošināšanai</t>
  </si>
  <si>
    <t>Pabalsti vecākiem, kuru bērns netiek nodrošināts ar vietu pirmsskolas izglītības iestādē</t>
  </si>
  <si>
    <t>Centralizētie pasākumi vispārējās izglītības jomā</t>
  </si>
  <si>
    <t>09.210</t>
  </si>
  <si>
    <t>Izglītības programmu akreditācija Ķemeru vidusskolā</t>
  </si>
  <si>
    <t>Jūrmalas Alternatīvā skola - 2 izglītības progra,,as</t>
  </si>
  <si>
    <t>Izglītības programmu akreditācija Jūrmalas pilsētas Lielupes vidusskolā -viena izglītības programma</t>
  </si>
  <si>
    <t>Jūrmalas sākumskola "Ābelīte"1 izglītības programma</t>
  </si>
  <si>
    <t>Izglītības programmu akreditācija Jūrmalas pilsētas Mežmalas vidusskolā -viena izglītības programma</t>
  </si>
  <si>
    <t>Vaivaru pamatskola</t>
  </si>
  <si>
    <t>Jūrmalas sākumskola "Atvase"3 izglītības programmas</t>
  </si>
  <si>
    <t>Izglītības programmu akreditācija Jūrmalas sporta skolai</t>
  </si>
  <si>
    <t>Atestāti un apliecības</t>
  </si>
  <si>
    <t>Inženierbūvju un ģeodēzijas nodaļa</t>
  </si>
  <si>
    <t>06.200</t>
  </si>
  <si>
    <t>Meliorācijas sistēmu tehniskā apsekošana</t>
  </si>
  <si>
    <t>Ģeodežiskā tīkla uzturēšana</t>
  </si>
  <si>
    <t>Paredzētā summa pāriet uz Ģeodēziskā tīkla pilnveidošanu</t>
  </si>
  <si>
    <t>Ģeodežiskā tīkla pilnveidošana un jaunu punktu izbūve</t>
  </si>
  <si>
    <t>15 000 ir 2012. gada plānotā budžeta summa</t>
  </si>
  <si>
    <t>Aerofoto/ ortofoto kartes izgatavošana</t>
  </si>
  <si>
    <t>Digitālā teodolīta pārbaude</t>
  </si>
  <si>
    <t>Būvniecības nodaļa</t>
  </si>
  <si>
    <t>Nekustamo īpašumu administrācijas vajadzībām kapitālais un kārtējais remonts, rekonstrukcija</t>
  </si>
  <si>
    <t>01.110.</t>
  </si>
  <si>
    <t>Domes administratīvo ēku remonts</t>
  </si>
  <si>
    <t>Apmeklētāju apkalpošanas centra pārbūve Jomas ielā 1/5, t.sk. Ls 2323.20 gala norēķins saskaņā ar 16.10.13. līgumu Nr.1.1-16.4.3/1030 par AAC pārbūves tehniskā projekta (TP) izstrādi. Kapitālā remonta un rekonstrukcijas izdevumi.</t>
  </si>
  <si>
    <t>Ēkas Dubultu prospektā 1 lit.2 būvniecība</t>
  </si>
  <si>
    <t>Pamatlīdzekļu izveidošanas un kapitālās celtniecības izdevumi.</t>
  </si>
  <si>
    <t>Iebraukšanas nodevas iekasēšanas nodrošinājums</t>
  </si>
  <si>
    <t>03.600.</t>
  </si>
  <si>
    <t>Avārijas seku likvidēšana Vaivaru caurlaižu postenī</t>
  </si>
  <si>
    <t>Lielupes caurlaižu posteņa remonts</t>
  </si>
  <si>
    <t>Kapitālā remonta un rekonstrukcijas izdevumi.</t>
  </si>
  <si>
    <t>Sabiedriskā transporta organizēšanas pasākumi</t>
  </si>
  <si>
    <t>04.510.</t>
  </si>
  <si>
    <t>Braukšanas maksas atlaides un zaudējumu kompensēšana Jūrmalas pilsētas maršrutu tīkla pilsētas nozīmes maršrutos</t>
  </si>
  <si>
    <t>Produktu subsīdijas komersantiem sabiedriskā transporta pakalpojumu nodrošināšanai (par pasažieru regulārajiem pārvadājumiem).</t>
  </si>
  <si>
    <t>Audits (SIA "Autotransporta firma Jūrmala SV")</t>
  </si>
  <si>
    <t>Licenču kartiņu pasūtīšana</t>
  </si>
  <si>
    <t>Sabiedriskā transporta sarakstu aplikācijas, kas lietojama mobilajos tālruņos izstrāde</t>
  </si>
  <si>
    <t>Karšu shēmas un kustību sarakstu izstrāde</t>
  </si>
  <si>
    <t>Ceļu infrastruktūras remonti</t>
  </si>
  <si>
    <t>Ielu seguma kapitālais remonts</t>
  </si>
  <si>
    <t>Kārtējā remonta un uzturēšanas izdevumi.</t>
  </si>
  <si>
    <t>Ceļu seguma remonti (t.sk. bedrīšu remonts)</t>
  </si>
  <si>
    <t>Ceļa zīmju ekspluatācijas izdevumi</t>
  </si>
  <si>
    <t>Kapitālā remonta un rekonstrukcijas izdevumi. Pamatlīdzekļu izveidošanas izdevumi</t>
  </si>
  <si>
    <t>3.5</t>
  </si>
  <si>
    <t>T.sk. Ls 20000 satiksmes intensitātes mērītāja uzstādīšana (pamatlīdzekļu izveidošanas izdevumi), Ls 30000  Rīgas un Turaidas ielu, Rīgas un Teātra ielu, Mellužu prospekta un Mūzikas ielas krustojumu pārbūve (kapitālā remonta un rekonstrukcijas izdevumi).</t>
  </si>
  <si>
    <t>Dzintaru pārvada rekonstrukcija (t.sk. projektēšana)</t>
  </si>
  <si>
    <t>Ls 4647 saskaņā ar 03.10.13. līgumu Nr.1.1-16.4.3/1001 par tehniskā projekta izstrādi. Kapitālā remonta un rekonstrukcijas izdevumi. Saskaņā ar Investīciju plāna projektu, paredzēts piesaistīts ES fondu līdzekļus Ls 700000 apmērā.</t>
  </si>
  <si>
    <t>Gala norēķins par projektēšnanas darbiem Ls 3630 saskaņā ar noslēgtiem publisko pakalpojumu līgumuiem Nr.1.1-16.4.3/1158 no 19.12.2007, Nr.1.1-16.4.3/533 no 09.05.2008 un Nr.1.1-16.4.3/203 no 13.03.2009. Kapitālā remonta un rekonstrukcijas izdevumi.</t>
  </si>
  <si>
    <t>7</t>
  </si>
  <si>
    <t>Dzelzceļa poārejas izbūve Upes ielā</t>
  </si>
  <si>
    <t>Dzelzceļa pārejas izbūve, t.sk. darbi dzelzceļa aizsargjoslā, Upes ielas posma asfaltēšana, caurteku izbūve, barjeru uzstādīšana, koku izzāģēšana. Pašlaik tiek izstrādāts pārejas izbūves tehniskias projekts.</t>
  </si>
  <si>
    <t>8</t>
  </si>
  <si>
    <t>Lietus ūdens novadīšanas sistēmas rekonstrukcija Mastu (Rēzeknes pulka) un Tiltu ielās</t>
  </si>
  <si>
    <t>9</t>
  </si>
  <si>
    <t>10</t>
  </si>
  <si>
    <t>11</t>
  </si>
  <si>
    <t>Dubultu satismes mezgla rekonstrukcija</t>
  </si>
  <si>
    <t>Tehniskā projekta aktualizēšana. Kapitālā remonta un rekonstrukcijas izdevumi.</t>
  </si>
  <si>
    <t>12</t>
  </si>
  <si>
    <t>Z.Meierovica prospekta rekonstrukcija</t>
  </si>
  <si>
    <t>13</t>
  </si>
  <si>
    <t>14</t>
  </si>
  <si>
    <t>Dzīvžoga izveide pie Omnibusa ielas auto stāvlaukuma</t>
  </si>
  <si>
    <t>Teritoriju un mājokļu kapitālā celtniecība, kapitālais un kārtējais remonts</t>
  </si>
  <si>
    <t>Jaunas kapsētas projektēšana , izbūve un labiekārtošana (Slokā)</t>
  </si>
  <si>
    <t>Projekta 5.kārtas izbūvei (sceļu, laukumu un žoga izbūve). Pamatlīdzekļu izveidošanas un kapitālās celtniecības izdevumi.</t>
  </si>
  <si>
    <t>Sabiedriskā kompleksa Strēlnieku prospektā 30 būve (mākslas un mūzikas skola, centrālās bibliotēkas ēka, Poruka prospekta izbūve), (projektēšana, būvdarbu 1.kārta)</t>
  </si>
  <si>
    <t xml:space="preserve">Ls 84942.00 saskaņā ar 12.08.13. līgumu Nr.1.1-16.4.3/892 par Centrālās bibliotēkas un Mūzikas skolas jaunbūves TP izstrādi.                                                                                                 Ls 277786.93 saskaņā ar 25.10.13. būvdarbu līgumu Nr.1.1-16.4.2/1049 par Mākslas skolas izveidi.                                                           Ls 2133.96 saskaņā ar 15.07.13. būvuzraudzības līgumu Nr.1.1-16.4.3/766.                                                                               Ls 8037.11   orientējoši nepieciešamais finansējums inventarizācijas lietas, atzinumu u.c. pakalpojumu apmaksai, kas saistīti ar būves nodošanu ekspluatācijā.     Pamatlīdzekļu izveidošanas un kapitālās celtniecības izdevumi.                                                  </t>
  </si>
  <si>
    <t>Kredītlīdzekļi.                                                                                       Ls 1125636.55 saskaņā ar 25.10.13. būvdarbu līgumu Nr.1.1-16.4.2/1049 par Mākslas skolas izveidi.                                   Ls 8647.14  saskaņā ar 15.07.13. būvuzraudzības līgumu Nr.1.1-16.4.3/766.                                                                           Ls 4840.00 saskaņā ar 10.10.12. līgumu Nr.1.1-16.4.3/870 un 06.03.13. līgumu Nr.1.1-16.4.3/240 par būvdarbu autoruzraudzību.                                                                 Pamatlīdzekļu izveidošanas un kapitālās celtniecības izdevumi.</t>
  </si>
  <si>
    <t>Pašvaldības dzīvojamā fonda remonts</t>
  </si>
  <si>
    <t>Ēku nojaukšana</t>
  </si>
  <si>
    <t>Jūrmala - Raiņa un Aspazijas pilsēta</t>
  </si>
  <si>
    <t xml:space="preserve">Teritorijas labiekārtojums - vides objekts piemiņas vietai "Raiņa priedes" Amatas ielā 0106. Pamatlīdzekļu izveidošanas un kapitālās celtniecības izdevumi.  </t>
  </si>
  <si>
    <t>Apgaismojuma izbūve Jaundubultu parkā un Skrundas ielā 3</t>
  </si>
  <si>
    <t>Infrastruktūras kapitālā celtniecība, kapitālie un kārtējie remonti</t>
  </si>
  <si>
    <t>08.100.</t>
  </si>
  <si>
    <t>Slokas sporta komplekss</t>
  </si>
  <si>
    <t>Slokas sporta kompleksa 3.kārtas būvniecība</t>
  </si>
  <si>
    <t xml:space="preserve">2014.gadā tehniskā projekta izstrāde.  Pamatlīdzekļu izveidošanas un kapitālās celtniecības izdevumi.  </t>
  </si>
  <si>
    <t>Majoru vidusskolas sporta laukuma infrastruktūras attīstība</t>
  </si>
  <si>
    <t>Stacionārā ledus laukuma izbūve. Kapitālā remonta un rekonstrukcijas izdevumi.</t>
  </si>
  <si>
    <t xml:space="preserve">Pilsētas parku celiņu atjaunošana </t>
  </si>
  <si>
    <t>T.sk. Asaru, Jaundubultu, Bulduru parkos. Kapitālā remonta un rekonstrukcijas izdevumi.</t>
  </si>
  <si>
    <t>Bibliotēku kapitālie un kārtējie remonti</t>
  </si>
  <si>
    <t>08.210.</t>
  </si>
  <si>
    <t>Bibliotēku remonts</t>
  </si>
  <si>
    <t>Muzeju un izstāžu kompleksu kapitālā un celtniecība, kapitālie un kārtējie remonti</t>
  </si>
  <si>
    <t>08.220.</t>
  </si>
  <si>
    <t>Jūrmalas Motormuzeja projektēšana</t>
  </si>
  <si>
    <t>Jūrmalas Mākslas nama jaunbūve</t>
  </si>
  <si>
    <t xml:space="preserve">T.sk. Ls 5231 saskaņā ar 17.10.13. līgumu Nr.1.1-16.4.3/1031 par tehniskā projekta izstrādi. Motormuzeja vietā plānots izveidot mākslas namu. Pamatlīdzekļu izveidošanas un kapitālās celtniecības izdevumi.  </t>
  </si>
  <si>
    <t>Aspazijas mājas restaurācija Z.Meierovica prospektā 18/20</t>
  </si>
  <si>
    <t>T.sk. ~Ls 452158 saskanā ar 07.11.12. noslēgto būvdarbu līgumu Nr.1.1-16.4.2/942 un 04.07.13. vienošanos Nr.1.1-16.4.2/731.                                                                                ~Ls 1420 par autoruzraudzību saskaņā ar 27.06.11. līgumu Nr.1.1-16.4.3/543.                                                                ~Ls 4235 par būvuzraudzību saskaņā ar 27.09.12. līgumu Nr.1.1-16.4.3/847. Kredītsaistību apmērs uzradīts, saskaņā ar 25.07.2013. JPD lēmumu Nr.416. Kapitālā remonta un rekonstrukcijas izdevumi.</t>
  </si>
  <si>
    <t>Budžeta līdzekļi, kas nepieciešami inventarizācijas lietas, atzinumu u.c. pakalpojumu apmaksai, kas saistīti ar būves nodošanu ekspluatācijā, kā arī papildu būvuzraudzībai sakarā ar būvdarbu izpildes termiņa pagarināšanu. Kapitālā remonta un rekonstrukcijas izdevumi.</t>
  </si>
  <si>
    <t>Kultūras centru un kultūras namu kapitālā celtniecība, kapitālie un kārtējie remonti</t>
  </si>
  <si>
    <t>08.230.</t>
  </si>
  <si>
    <t>Majoru kultūras nama rekonstrukcija Jomas ielā 35</t>
  </si>
  <si>
    <t>T.sk. Ls 140000 par rekonstrukcijas būvdarbiem saskaņā ar 12.07.13. līgumu Nr.1.1-16.4.2/753. Ls 723 par būvuzraudzību saskaņā ar 25..02.13. līgumu Nr.1.1-16.4.3/211, Ls 1210 par autoruzraudzības darbiem saskaņā ar 13.02.12. vēstuli - pasūtījumu. ~Ls 3067 līdzekļi, kas nepieciešami inventarizācijas lietas  u.c. pakalpojumu apmaksai, kas nepieciešami objekta nodošanai ekspluatācijā pēc remontdarbu pabeigšanas. Kapitālā remonta un rekonstrukcijas izdevumi.</t>
  </si>
  <si>
    <t>T.sk. Ls 130966     2013.gada novembrī plānots uzņemt līgumsaistības par mēbeļu piegādi ar gala norēķinu 2014.gadā. Kapitālā remonta un rekonstrukcijas izdevumi.</t>
  </si>
  <si>
    <t>T.sk. Ls 24977    2013.gada novembrī plānots uzņemt līgumsaistības par mēbeļu piegādi ar gala norēķinu 2014.gadā. Kapitālā remonta un rekonstrukcijas izdevumi.</t>
  </si>
  <si>
    <t>Kultūras, izklaides un sporta iestāžu kapitālais un kārtējais remonts</t>
  </si>
  <si>
    <t>Teātru, koncertzāļu, estrāžu kapitālā celtniecība, kapitālie un kārtējie remonti</t>
  </si>
  <si>
    <t>08.240.</t>
  </si>
  <si>
    <t>Mellužu estrādes restaurācija un parka renovācija</t>
  </si>
  <si>
    <t>Mellužu estrādes restaurācija</t>
  </si>
  <si>
    <t>T.sk. 2013.g. novembrī plānots uzņemt līgumsaistības ar apmaksu 2014.gadā Ls 9950 par estrādes restaurācijas tehniskā projekta izstrādi. Saskānā ar Investīciju plāna projektu, 2014.gadā papildus  plānots piesaistīt ES fondu līdzfinansējumu Ls 100000 apmērā. Kapitālā remonta un rekonstrukcijas izdevumi.</t>
  </si>
  <si>
    <t>Dzintaru koncertzāles Mazās (slēgtās) zāles restaurācija Turaidas ielā 1</t>
  </si>
  <si>
    <t>T.sk. Ls 1964909.50 saskaņā ar 07.08.13. vienošanos Nr.1.1-16.4.2/863 par 2.posma būvdarbiem.                         Ls 14369.34 par 2.posma būvuzraudzību saskaņā ar 05.11.12. līgumu Nr.1.1-16.4.3/932.                                             Ls 16133.34 par 2.posmā autoruzraudzību saskaņā ar 16.10.12. vienošanos Nr.1.1-16.4.3/884.                                    Ls 1716443.48 plānots par 3.kārtas būvdarbiem.                             Ls 17184.67 par 3.posma būvuzraudzību saskaņā ar 05.11.12. līgumu Nr.1.1-16.4.3/932.                                             Ls 8066.67 par 3.posmā autoruzraudzību saskaņā ar 16.10.12. vienošanos Nr.1.1-16.4.3/884.                                             Kredītlīdzekļi. Kapitālā remonta un rekonstrukcijas izdevumi.</t>
  </si>
  <si>
    <t>Nepieciešamais finansējums inventarizācijas lietas, atzinumu u.c. pakalpojumu apmaksai, kas saistīti ar būves nodošanu ekspluatācijā. Kapitālā remonta un rekonstrukcijas izdevumi.</t>
  </si>
  <si>
    <t>Ķemeru komplekss</t>
  </si>
  <si>
    <t>Ķemeru kūrorta poliklīnikas un sanatorijas atjaunošana</t>
  </si>
  <si>
    <t>Pirmsskolas  izglītības iestāžu kapitālā celtniecība, kapitālie un kārtējie remonti</t>
  </si>
  <si>
    <t>09.100.</t>
  </si>
  <si>
    <t>Bērnudārza jaunbūve Tukuma ielā 9, Jūrmalā</t>
  </si>
  <si>
    <t>Kredītlīdzekļi.</t>
  </si>
  <si>
    <t>p.i.i. "Bitīte"</t>
  </si>
  <si>
    <t>p.i.i. "Lācītis"</t>
  </si>
  <si>
    <t>p.i.i. "Madara"</t>
  </si>
  <si>
    <t>p.i.i. "Mārīte"</t>
  </si>
  <si>
    <t>p.i.i. "Podziņa"</t>
  </si>
  <si>
    <t>p.i.i. "Saulīte"</t>
  </si>
  <si>
    <t>p.i.i. "Zvaniņš"</t>
  </si>
  <si>
    <t>Tipveida evakuācijas kāpņu norobežošana</t>
  </si>
  <si>
    <t>Vispārējās izglītības iestāžu kapitālā celtniecība, kapitālie un kārtējie remonti</t>
  </si>
  <si>
    <t>09.210.</t>
  </si>
  <si>
    <t>Jūrmalas Valsts ģimnāzijas un sākumskolas "Atvase" daudzfunkcionālās sporta halles projektēšana un celtniecība</t>
  </si>
  <si>
    <t>Plānoti kredītlīdzekļi. Pamatlīdzekļu izveidošanas un kapitālās celtniecības izdevumi.</t>
  </si>
  <si>
    <t>Budžeta līdzekļi, kas nepieciešami inventarizācijas lietas, atzinumu u.c. pakalpojumu apmaksai, kas saistīti ar būves nodošanu ekspluatācijā. Pamatlīdzekļu izveidošanas un kapitālās celtniecības izdevumi.</t>
  </si>
  <si>
    <t>Pārejas izbūve no Jūrmalas Valsts ģimnāzijas ēkas uz jaunbūvējamo sporta zāli</t>
  </si>
  <si>
    <t>Jūrmalas Valsts ģimnāzijas iekštelpu renovācija Raiņa ielā 55</t>
  </si>
  <si>
    <t>Lielupes vidusskolas rekonstrukcija (t.sk. sporta zāles būvniecība) 1.kārta</t>
  </si>
  <si>
    <t>Lielupes vidusskolas rekonstrukcija (t.sk. sporta zāles būvniecība), projektēšana</t>
  </si>
  <si>
    <t>2013.gada novembrī pēc iepirkuma procedūras noslēgšanās plānots uzņemt līgumsaistības ar apmaksu 2014.g. par tehniskā projekta izstrādi. Kapitālā remonta un rekonstrukcijas izdevumi. Pamatlīdzekļu izveidošanas un kapitālās celtniecības izdevumi.</t>
  </si>
  <si>
    <t>Ķemeru vidusskolas renovācija/rekonstrukcija Tukuma ielā 8/10</t>
  </si>
  <si>
    <t>T.sk. skolas ārējo sienu un lieveņa remonts Ls 60000, ugunsdrošības signalizācija Ls 13500, skolas piebūves tehniskā projekta izstrāde Ls 30000, sporta zāles remonts Ls 150000. Kapitālā remonta un rekonstrukcijas izdevumi.</t>
  </si>
  <si>
    <t>Jaundubultu vidusskolas kapitālais remonts un rekonstrukcija</t>
  </si>
  <si>
    <t>Saskāņā ar Investīciju plāna projektu, paredzēts piesaistītt ES fondu finansējumu Ls 1920000 apmērā. Ls 5000 nepieciešami siltumtrases projekta izstrādei, gadījumā, ja tiek akceptēti skolas rekonstrukcijas būvdarbi. Kapitālā remonta un rekonstrukcijas izdevumi.</t>
  </si>
  <si>
    <t>Kauguru vidusskolas sporta laukuma labiekārtošana Raiņa ielā 118 (t.sk. sporta laukuma ģērbtuvju ierīkošana).</t>
  </si>
  <si>
    <t>Kauguru vidusskolas kapitālais remonts</t>
  </si>
  <si>
    <t>Jūrmalas Alternatīvās skolas, t.sk. metodiskā centra jaunas ēkas celtniecība</t>
  </si>
  <si>
    <t>Alternatīvās skolas, pirmsskolas un metodiskā centra jaunas ēkas celtniecība Jūrmalā</t>
  </si>
  <si>
    <t xml:space="preserve">Pamatlīdzekļu izveidošanas un kapitālās celtniecības izdevumi. </t>
  </si>
  <si>
    <t>Pumpuru vidusskolas ēkas rekonstrukcijas 1.kārtas Kronvalda 8, garantijas laika ieturējums</t>
  </si>
  <si>
    <t>Par 1.kārtu SIA "Projektu realizācijas birojs" garantijas laiks beidzās 2013.g.24.martā. Ieturētā garantija Ls 31232.45 nav nedz pieprasīta, nedz izmaksāta.</t>
  </si>
  <si>
    <t>Sākumskola "Atvase"</t>
  </si>
  <si>
    <t>Sākumskola "Taurenītis"</t>
  </si>
  <si>
    <t>15</t>
  </si>
  <si>
    <t>Sākumskola "Ābelīte"</t>
  </si>
  <si>
    <t>16</t>
  </si>
  <si>
    <t>Jūrmalas Valsts ģimnāzija</t>
  </si>
  <si>
    <t>17</t>
  </si>
  <si>
    <t>Lielupes vidusskola</t>
  </si>
  <si>
    <t>18</t>
  </si>
  <si>
    <t>Majoru vidusskola</t>
  </si>
  <si>
    <t>19</t>
  </si>
  <si>
    <t>Slokas pamatskola</t>
  </si>
  <si>
    <t>20</t>
  </si>
  <si>
    <t>Ķemeru vidusskola</t>
  </si>
  <si>
    <t>21</t>
  </si>
  <si>
    <t>Visu izglītības iestāžu kapitālais un kārtējais remonts</t>
  </si>
  <si>
    <t>Kapitālā remonta un rekonstrukcijas izdevumi. Kārtējā remonta un uzturēšanas izdevumi.</t>
  </si>
  <si>
    <t>Interešu un profesionālās  izglītības iestāžu kapitālā celtniecība, kapitālie un kārtējie remonti</t>
  </si>
  <si>
    <t>09.510.</t>
  </si>
  <si>
    <t>Jūrmalas bērnu un jauniešu interešu centrs</t>
  </si>
  <si>
    <t>Interešu centra izveide (projektēšana)</t>
  </si>
  <si>
    <t>Slokas ielā 6. Pamatlīdzekļu izveidošanas un kapitālās celtniecības izdevumi.</t>
  </si>
  <si>
    <t>Nekustamā īpašuma sociālās sfēras vajadzībām kapitālais, kārtējais remonts un rekonstrukcija</t>
  </si>
  <si>
    <t>10.600.</t>
  </si>
  <si>
    <t>Pašvaldības palīdzība dzīvojamā fonda remontam</t>
  </si>
  <si>
    <t>Ēkas rekonstrukcija ar funkcijas maiņu par sociālās aprūpes ēku ar publiski pieejamām telpām 1.stāvā Skolas ielā 44</t>
  </si>
  <si>
    <t>Žoga ierīkošana nakts patversmē Raiņa ielā 62</t>
  </si>
  <si>
    <t>Kapitālie, kārtējie remonti, renovācijas pašvaldības nekustamajos īpašumos, kuros tiek nodrošināta ilgstoša sociālā aprūpe</t>
  </si>
  <si>
    <t>10.700.</t>
  </si>
  <si>
    <t>PA "Jūrmalas sociālās aprūpes centrs" ēku kapitālais remonts un teritorijas labiekārtošana (Dūņu ceļš 2).</t>
  </si>
  <si>
    <t>Jūrmalas pilsētas pašvaldības iestādes "Sprīdītis" - ilgstošas sociālās aprūpes un sociālās rehabilitācijas institūcijas būvniecība Sēravotu ielā 5.</t>
  </si>
  <si>
    <t>Funkcionālās klasifikācijas kods:</t>
  </si>
  <si>
    <t>01.320</t>
  </si>
  <si>
    <t>Kopēšanas darbi (TP un citu dokumentu iesniegšanai projekta konkursiem)</t>
  </si>
  <si>
    <t>Projekta pieteikumu sagatavošana (specifisku vai angļu valodā)</t>
  </si>
  <si>
    <t>Dalības maksa                                                                                       (piem.konkursā "Eiropas Gada pašvaldība 2013")</t>
  </si>
  <si>
    <t>Projekta pieteikumu un pavadošās dokumentācijas tulkošanai un notariālai apstiprināšanai</t>
  </si>
  <si>
    <t>Vizītes pie potenciālajiem sadarbības projektu partneriem  (komandējumu izdevumi)</t>
  </si>
  <si>
    <t>Komandējuma dienas nauda Latvijā</t>
  </si>
  <si>
    <t>Izmitināšana izmaksas Latvijā</t>
  </si>
  <si>
    <t>Komandējuma dienas nauda ārzemēs</t>
  </si>
  <si>
    <t>Izmitināšana izmaksas ārzemēs</t>
  </si>
  <si>
    <t>01.320.</t>
  </si>
  <si>
    <t>Jūrmalas attīstības plānošanas darbi</t>
  </si>
  <si>
    <t>Plānošanas dokumenti (Stratēģiskās plānošanas dokumenti - Vides programma, vides pieejamības nodrošināšanas attīstības plāns, stratēģisko pilotobjektu/teritoriju attīstības plāni, Mājokļu programma, utt)</t>
  </si>
  <si>
    <t>pētījumi (SKDS, Vides pētījumi,  utt)</t>
  </si>
  <si>
    <t>Vides monitoringi dokumentiem</t>
  </si>
  <si>
    <t>Sadarbība ar Jūrmalas uzņēmējiem</t>
  </si>
  <si>
    <t>Izglītojošie semināri (~ 2gab.)</t>
  </si>
  <si>
    <t>uzņēmējdarbības veicināšanas pasākumi</t>
  </si>
  <si>
    <t>Statistikas iepirkšana</t>
  </si>
  <si>
    <t>KPFI ēku monitorēšana (8 ēkas/5gadi)</t>
  </si>
  <si>
    <t>2013.gads un 2014.gads</t>
  </si>
  <si>
    <t>Jūrmalas pilsētas investīciju programmas izstrāde</t>
  </si>
  <si>
    <t>Enerģētikas rīcības plāna ieviešana</t>
  </si>
  <si>
    <t>Energodienas</t>
  </si>
  <si>
    <t>BSSSC konferences rīkošana</t>
  </si>
  <si>
    <t>04.510</t>
  </si>
  <si>
    <t>Majoru muižas kompleksa attīstība</t>
  </si>
  <si>
    <t>Nekustamā īpašuma iegāde</t>
  </si>
  <si>
    <t>Īpašumu iegāde</t>
  </si>
  <si>
    <t>Valsts nodeva īpašumu pirkšanai</t>
  </si>
  <si>
    <t>Valsts nodeva 2% apmērā no darījuma summas</t>
  </si>
  <si>
    <t>Pašvaldības īpašumu pārvaldīšana / Iestādes uzturēšana</t>
  </si>
  <si>
    <t>Vērtēšana (tirgus vērtību noteikšana un aktualizācija; kapitālsabiedrību pamatkapitālā iekļaujamo nekustamo īpašumu vērtēšana; kaptālsabiedrību vērtēšana)</t>
  </si>
  <si>
    <t>Objektiem, kas paredzēti atsavināšanai, atpirkšanai (saskaņā ar iepirkuma līgumu LVL 7000)</t>
  </si>
  <si>
    <t>Auditorfirma "Inspekcija AMJ" kapitālsabiedrību vērtēšana</t>
  </si>
  <si>
    <t>Sludinājumi</t>
  </si>
  <si>
    <t>21 objekts x 50 LVL (1.izsole) sludinājums "Latvijas Vēstnesī"            10 objekti x 50 LVL(2.izsole) sludinājums "Latvijas Vēstnesī"              21 objekti x 100 LVL sludinājums žurnālā "Ņedvižimostj"  un rezerve publikācijām citos izdevumos un nekustamo īpašumu portālos</t>
  </si>
  <si>
    <t xml:space="preserve">Informatīvie stendi  (izgatavošana, uzstādīša un demontāža) </t>
  </si>
  <si>
    <t>21 objekts x 100 LVL</t>
  </si>
  <si>
    <t xml:space="preserve">Zemes  noma </t>
  </si>
  <si>
    <t>Skat.Zemes_noma</t>
  </si>
  <si>
    <t>Nekustamā īpašuma nodokļa kompensācija</t>
  </si>
  <si>
    <t>Sask.ar 28.02.2012.patapinājuma līgumu Nr.1.1-16/165 (Pilsoņu iela 2)</t>
  </si>
  <si>
    <t>Telpu noma</t>
  </si>
  <si>
    <t xml:space="preserve">Skat.Telpu_noma </t>
  </si>
  <si>
    <t>Pašvaldības neizīrēto dzīvokļu apsaimniekošana un komunālie pakalpojumi</t>
  </si>
  <si>
    <t xml:space="preserve">Apsaimniekotājiem  (SIA"Jūrmalas namsaimnieks", SIA"Latio Namsaimnieks", SIA"Namu serviss", SIA"Māju serviss"u.c. (neizīrēto dzīvokļu skaits mainās, šobrīd SIA"Jūrmalas namsaimnieks " apsaimniekošanā 61 dzīvoklis, citiem apsaimniekotājiem 2 dzīvokļi). SIA"Evor.M"apsardes pakalpojumi (Skolas ielā 44  1766 Ls/mēnesī) </t>
  </si>
  <si>
    <t xml:space="preserve">Pakalpojumu sniedzējiem SIA"Jūrmalas siltums", SIA"Jūrmalas ūdens", AS"Latvenergo",  AS"Latvijas Gāze", u.c. </t>
  </si>
  <si>
    <t>Parādu segšana par pašvaldības neizīrēto dzīvokļu apsaimniekošanu līdz 2012.gadam</t>
  </si>
  <si>
    <t xml:space="preserve">Parāds SIA"Jūrmalas namsaimnieks" par kuru nav panākta vienošanās par samaksu, citiem maksājumiem nav paredzēta </t>
  </si>
  <si>
    <t>Kapitālie ieguldījumi pašvaldībai piederošos īpašumos</t>
  </si>
  <si>
    <t>Līdzfinansējums apsaimniekotājam pirms renovācijas (Skolas iela 34 seši pašv.dzīvokļi)</t>
  </si>
  <si>
    <t>Īpašumu apdrošināšana</t>
  </si>
  <si>
    <t>Skat.Apdrošināšana</t>
  </si>
  <si>
    <t>Ēku tehniskā stāvokļa novērtēšana</t>
  </si>
  <si>
    <t xml:space="preserve">Sask.ar iepirkumu (LVL20000 uz 2 gadiem), līg.ar SIA"Infinitum" Nr.1.1-16.4.3/988 </t>
  </si>
  <si>
    <t xml:space="preserve">VZD kadastra izziņas </t>
  </si>
  <si>
    <t>10 objekti (neapbūvētie zemesgabali) x 7,50 LVL</t>
  </si>
  <si>
    <t>Budžeta iestāžu naudas soda maksājumi</t>
  </si>
  <si>
    <t>Soda naudas maksājumi Valsts kasei.</t>
  </si>
  <si>
    <t>Teritorijas sakopšana (Dubulti 3520)</t>
  </si>
  <si>
    <t>30%  Zivju fondam</t>
  </si>
  <si>
    <t>Zivju resursu papildināšana Jūrmalas ūdenstilpēs</t>
  </si>
  <si>
    <t>Vides piesārņojuma novēršana un samazināšana</t>
  </si>
  <si>
    <t>05.300.</t>
  </si>
  <si>
    <t>Priedaines rekultivētā atkritumu izgāztuve</t>
  </si>
  <si>
    <t xml:space="preserve">apsaimniekošana </t>
  </si>
  <si>
    <t>Vides stāvokļa monitoringa veikšanai slēgtajā izgāztuvē ''Priedaine''</t>
  </si>
  <si>
    <t xml:space="preserve">vides stāvokļa monitorings </t>
  </si>
  <si>
    <t>Dabas lieguma  „Lielupes grīvas pļavas” pļavu pļaušana un citu apsaimniekošanas plāna pasākumu ieviešana</t>
  </si>
  <si>
    <t>RJL ūdens kvalitātes mikrobioloģiskās un fizikāli ķīmiskās analīzes</t>
  </si>
  <si>
    <t>Lielupes, Slokas karjera, noteku uz jūru ūdens kvalitātes mikrobioloģiskās un fizikāli ķīmiskās analīzes</t>
  </si>
  <si>
    <t>jauna peldvieta Ezeru ielā Lielupē</t>
  </si>
  <si>
    <t>Vides aizsardzības pasākumi bioloģiskās daudzveidības un ainavas aizsardzības jomā</t>
  </si>
  <si>
    <t>05.400.</t>
  </si>
  <si>
    <t xml:space="preserve">Pasākumu realizēšana sadarbības līguma ar ĶNPF un DAP ietvaros </t>
  </si>
  <si>
    <t xml:space="preserve">Ķemeru dabas izglītības centra koncepcijas / tematiskā plānojuma izstrāde   </t>
  </si>
  <si>
    <t>Pludmales erozijas seku likvidēšanas pasākumi / pilot projekts</t>
  </si>
  <si>
    <t>Vides aizsardzības veicināšanas pasākumu vadība, regulēšana, uzraudzība</t>
  </si>
  <si>
    <t>05.600.</t>
  </si>
  <si>
    <t>Zilā Karoga programmas realizēšana</t>
  </si>
  <si>
    <t>Biedru nauda</t>
  </si>
  <si>
    <t>Atalgojums Zilā Karoga koordinatoriem - min. alga 225 Ls</t>
  </si>
  <si>
    <t>Sociālais nodoklis 24.09 %</t>
  </si>
  <si>
    <t>T-krekli u.c Zilā Karoga koordinatoriem</t>
  </si>
  <si>
    <t>Vides izglītības pasākumi (vismaz5)</t>
  </si>
  <si>
    <t xml:space="preserve">Peldvietu informācijas stendu 14 gb. remonts sezonas laikā </t>
  </si>
  <si>
    <t xml:space="preserve">Informāc.nomaiņa 13gb.stendos </t>
  </si>
  <si>
    <t>Programma:</t>
  </si>
  <si>
    <t>Budžeta finansēta institūcija</t>
  </si>
  <si>
    <t>JŪRMALAS PILSĒTAS LABKLĀJĪBAS PĀRVALDE</t>
  </si>
  <si>
    <t>Reģistrācijas Nr.</t>
  </si>
  <si>
    <t>2014.gada budžeta atšifrējums pa programmām</t>
  </si>
  <si>
    <t>Sabiedriskā kārtība</t>
  </si>
  <si>
    <t>03.110.</t>
  </si>
  <si>
    <t>Sabiedriskās vietās mirušo personu transporta izdevumu segšana</t>
  </si>
  <si>
    <t>Integrācijas projektu īstenošana</t>
  </si>
  <si>
    <t>Neredzīgā sportista  atbalstam</t>
  </si>
  <si>
    <t>Sabiedrības integrācijas programmas realizācija</t>
  </si>
  <si>
    <t>Sociālā aizsardzība invaliditātes gadījumā</t>
  </si>
  <si>
    <t>10.120.</t>
  </si>
  <si>
    <t xml:space="preserve">Dienas centrs personām ar garīga rakstura traucējumiem </t>
  </si>
  <si>
    <t>Dienas centra pakalpojumu nodrošina PA Jūrmalas Sociālās aprūpes centrs</t>
  </si>
  <si>
    <t xml:space="preserve">pabalsts personām ar funkcionāliem traucējumiem </t>
  </si>
  <si>
    <t xml:space="preserve">JPD Saistošie noteikumi nr. 7. 26.02.2009. Ienākumu līmenis Ls 160, pabalsta apmērs gadā - līdz Ls 60 personai </t>
  </si>
  <si>
    <t xml:space="preserve">Pabalsts mājokļa vides pieejamības nodrošināšanai    </t>
  </si>
  <si>
    <t>Pabalsts tiek piešķirts invalīdiem (I ; II grupa vai bērni invalīdi), kuri pārvietojas riteņkrēslā mājokļa vides pieejamības nodrošināšanai. Vienai personai līdz Ls 2000 Saistošie noteikumi Nr.47 (29.12.2011)</t>
  </si>
  <si>
    <t>Ergoterapeita vides novērtējumam, ja prasītājs ir trūcīga persona</t>
  </si>
  <si>
    <t>Saistošo noteikumu izpildes nodrošinājuma kontroles funkciju veikšanai - Eksperta ergoterapeita novērtējuma apmaksai ~ Ls 30 par gadījumu.Saistošie noteikumi Nr.47 (29.12.2011)</t>
  </si>
  <si>
    <t xml:space="preserve">Speciāli pielāgota autotransporta degvielas iegādes apmaksa </t>
  </si>
  <si>
    <t>Dzīves kvalitātes uzlabošana cilvēkiem ar īpašām vajadzībām (tandēma velosipēdu iegāde)</t>
  </si>
  <si>
    <t>Dzīves kvalitātes uzlabošana cilvēkiem ar īpašām vajadzībām</t>
  </si>
  <si>
    <t>2013. gadā iegādāts inventārs, kuru iespējams izmantot civēkiem ar īpašām vajadzībām</t>
  </si>
  <si>
    <t>Atbalsts gados veciem cilvēkiem</t>
  </si>
  <si>
    <t>10.200.</t>
  </si>
  <si>
    <t xml:space="preserve">Slokas slimnīcas -sociālās aprūpes nodaļa SAN   </t>
  </si>
  <si>
    <t>SIA''Pansionāts Dzimtene'' līdz 1998.gada 1.janvārim ievietotajiem iemītniekiem paredzētie līdzekļi</t>
  </si>
  <si>
    <t>3x250=750x12=9000(dotācija no valsts)</t>
  </si>
  <si>
    <t xml:space="preserve">Veselības aprūpes pabalsts </t>
  </si>
  <si>
    <t>Atbalsts ģimenēm ar bērniem</t>
  </si>
  <si>
    <t>10.400.</t>
  </si>
  <si>
    <t>Pabalsts audžu  ģimenei</t>
  </si>
  <si>
    <t>MK noteikumi Nr.1036 (19.12.2006.)'' Audžuģimeņu noteikumi'' . Jūrmalā - Štrauhmanes ģimene - 4 bērni un Prijana ģimene 1 bērns.   Dūšu ģimene 1 bērns, Augstkalnu ģimene 2 bērni, Pilmanes ģimene 1 bērns,  Kopā 11 bērni Ls 120 mēnesī; kā arī atlīdzība vecākiem dzīvojošiem Jūrmalā Ls 80 no otrā bērna, par katru nākošo JPD saistošie noteikumi nr.11 (2009.26.02.)</t>
  </si>
  <si>
    <t xml:space="preserve">Pabalsts garentētā minimālā ienākumu GMI līmeņa nodrošināšanai </t>
  </si>
  <si>
    <t>Sociālo pakalpojumu un sociālās palīdzības likuma 35. pants un MK not.nr. 550 nosaka GMI apmēru un izmaksas kārtību</t>
  </si>
  <si>
    <t xml:space="preserve">Pabalsts jaundzimušā aprūpei </t>
  </si>
  <si>
    <t>Pabalsts izglītības ieguves atbalstam</t>
  </si>
  <si>
    <t>Pabalsts aizbildņiem</t>
  </si>
  <si>
    <t>Pabalsts kultūras pasākumu apmeklēšanai daudzbērnu ģimenēm</t>
  </si>
  <si>
    <t>Ziemassvētku apsveikums aizbildnībā esošiem bērniem un bērniem no sociālā riska ģimenēm</t>
  </si>
  <si>
    <t>Ikgadējais Ziemassvētku pasākums bērniem</t>
  </si>
  <si>
    <t>Mājokļa atbalsts</t>
  </si>
  <si>
    <t>Dzīvokļa pabalsts apkures sezonai pārskaitījumi pakalpojumu sniedzējorganizācijām</t>
  </si>
  <si>
    <t xml:space="preserve">Sociālo pakalpojumu un sociālās palīdzības likuma 35. pants nosaka dzīvokļa pabalstu izmaksas, JPD Saistošie noteikumi nr. 7. un 8. 26.02.2009.  </t>
  </si>
  <si>
    <t xml:space="preserve">Dzīvokļa pabalsts apkures sezonai  </t>
  </si>
  <si>
    <t>Sociālo pakalpojumu un sociālās palīdzības likuma 35. pants nosaka dzīvokļa pabalstu izmaksas, JPD Saistošie noteikumi nr. 7. un 8. 26.02.2009.</t>
  </si>
  <si>
    <t>īres maksa par īrētiem dzīvokļiem bāreņiem un bez vecāku gādības palikušiem bērniem pēc ārpusģimenes aprūpes beigšanās, līdz pašvaldība nodrošina ar dzīvojamo platību</t>
  </si>
  <si>
    <t xml:space="preserve">MK noteikumi Nr. 857 (15.11.2005) nosaka sociālās garantijas bārenim un bez vecāku gādības palikušam bērnam, kurš ir ārpusģimenes aprūpē, kā arī pēc ārpusģimenes aprūpes beigšanās (52 personas Ls 45 mēnesī) </t>
  </si>
  <si>
    <t>sociālie dzīvokļi un mājas</t>
  </si>
  <si>
    <t xml:space="preserve">2013.gada 30.maija Nolikums Nr.11 'Kārtība, kādā tiek izīrēti sociālie dzīvokļi un dzīvojamās telpas sociālajās mājās Jūrmalas pilsētā'' paredz 50 % no īres maksas, apkures, kanalizācijas, aukstā un karstā ūdens pakalpojumu maksas, pamatojoties uz pārvaldnieka iesniegtajiem maksājuma dokumentiem, tiek segtas no Jūrmalas pašvaldības budžeta līdzekļiem </t>
  </si>
  <si>
    <t xml:space="preserve">JPD saistošie noteikumi Nr.6.  25.01.2007. </t>
  </si>
  <si>
    <t xml:space="preserve">Slokas slimnīcas -īslaicīga sociālās aprūpes un sociālās rehabilitācijas nodaļa SASRN    </t>
  </si>
  <si>
    <t xml:space="preserve">Slokas slimnīca - Veselības un sociālās aprūpes nodaļa   </t>
  </si>
  <si>
    <t xml:space="preserve">Bezpiederīgo apglabāšana </t>
  </si>
  <si>
    <t xml:space="preserve">MK not. Nr.186 ''Kremācijas noteikumi'' ; JPD lēmums nr.1291. 21.12.2006. Iepirkuma procedūra - Līgums ar SIA ''Černovs &amp; Co.'' </t>
  </si>
  <si>
    <t>Pabalsts garentētā minimālā ienākumu GMI līmeņa nodrošināšanai *</t>
  </si>
  <si>
    <t>Sociālo pakalpojumu un sociālās palīdzības likuma 35. pants un MK not.nr.550 nosaka GMI apmēru un izmaksas kārtību</t>
  </si>
  <si>
    <t>Pabalsts garā slimo rīcības nespējīgo personu aizgādnim</t>
  </si>
  <si>
    <t xml:space="preserve">Pabalsts aprūpes mājās nodrošināšanai </t>
  </si>
  <si>
    <t>Pabalsts sociālās rehabilitācijas mērķu sasniegšanai</t>
  </si>
  <si>
    <t>Apbedīšanas pabalsts</t>
  </si>
  <si>
    <t xml:space="preserve">Vienreizējie pabalsti krīzes situācijās, kā arī stihiskas nelaimes gadījumiem un ugunsgrēka gadījumiem   </t>
  </si>
  <si>
    <t>JPD Saistošie noteikumi nr. 7. un 8. 26.02.2009.</t>
  </si>
  <si>
    <t>pabalsts bāreņiem un bez vecāku gādības palikušiem bērniem pēc ārpusģimenes aprūpes beigšanās (vsk mācību laikā)</t>
  </si>
  <si>
    <t xml:space="preserve">Bērnu namu audzēkņiem un aizbildnībā esošiem bērniem sasniedzot pilngadību </t>
  </si>
  <si>
    <t xml:space="preserve">MK noteikumi Nr. 857 (15.11.2005) nosaka sociālās garantijas bārenim un bez vecāku gādības palikušam bērnam, kurš ir ārpusģimenes aprūpē, kā arī pēc ārpusģimenes aprūpes beigšanās (Ls 175 un Ls 90 katram) 2014.gadā 22 personas </t>
  </si>
  <si>
    <t>10.920.</t>
  </si>
  <si>
    <t>Jūrmalas pašvaldības pabalsts politiski represētām personām</t>
  </si>
  <si>
    <t>Jūrmalas pilsētas Labklājības pārvalde</t>
  </si>
  <si>
    <t>Specializēto medicīnisko pakalpjumu līdzfinansējums</t>
  </si>
  <si>
    <t>07.220.</t>
  </si>
  <si>
    <t>Bērnu ortodontija un sakodiena anomāliju izdevumu segšana</t>
  </si>
  <si>
    <t>Iepirkuma procedūras rezultātā noslēgts līgums ar SIA ''Modus Invest'' - mēnesī ~ 520 apmekl. (Ls 1.6-3 par vienu apmeklējumu) t.sk. ~26 palīglīdzekļu izgatavošana mēnesī, katrs ~ Ls 9-25. Pakalpojums tiek nodrošināts saskaņā ar Veselības veicināšanas plāna 2013.-2020.gadam</t>
  </si>
  <si>
    <t>Eksperta-ortodonta novērtējuma apmaksa</t>
  </si>
  <si>
    <t>Saistošo noteikumu izpildes nodrošinājuma kontroles funkcijas veikšanai pieaicināta eksperta-konsultanta apmaksa</t>
  </si>
  <si>
    <t>Atkarību profilakses programmu finansējums</t>
  </si>
  <si>
    <t>07.410.</t>
  </si>
  <si>
    <t>Atkarību profilakses centra darba nodrašinājums, tajā skaitā pa klasifikācijas kodiem:</t>
  </si>
  <si>
    <t>OCTA polise</t>
  </si>
  <si>
    <t>Atkarību profilakses centra telpu Nometņu 2a - 113 apsardzes nodrošināšana - ierīkošana Ls 200, mēneša maksa Ls 20 mēnesī</t>
  </si>
  <si>
    <t>Transportlīdzekļa ikgadējā nodeva</t>
  </si>
  <si>
    <t>Atkarību profilakses centra telpas Nometņu 2a apsaimniekošanas izdevumi un komunālie izdevumi</t>
  </si>
  <si>
    <t>Kancelejas preces Atkarību profilakses centram Nometņu 2a</t>
  </si>
  <si>
    <t xml:space="preserve">Izlietoto šļirču utilizācija, līgums ar SIA''Lautus'' </t>
  </si>
  <si>
    <t>Narkotisko vielu lietošanas noteikšanas testi (urīna narkotiku tests ''Urine-10'') - Ls 6 x 100 gab.</t>
  </si>
  <si>
    <t>Atbalsts atkarīgo ģimenēm, darbs ar mērķgrupu</t>
  </si>
  <si>
    <t>ECAD projektiem</t>
  </si>
  <si>
    <t xml:space="preserve">ECAD projektiem Ls 800 </t>
  </si>
  <si>
    <t>Pārējo veselības aprūpes pakalpojumu līdzfinansējums</t>
  </si>
  <si>
    <t>07.620.</t>
  </si>
  <si>
    <t>Protezēšanas izdevumi</t>
  </si>
  <si>
    <t xml:space="preserve">Protezēšanas pakalpojumi saskaņā ar Saistošajiem noteikumiem ''Par veselības veicināšanas pakalpojumiem'' (25% atlaide pensionāriem 7-12 cilv.mēnesī, atlaide Ls 30-50). </t>
  </si>
  <si>
    <t>Zobu ekstrakcija, plaušu caurskate trūcīgiem un bezpajumtniekiem</t>
  </si>
  <si>
    <t>Saistošie noteikumi Nr.2 (17.01.2008.) ''Par sociāliem pakalpojumiem'' (bezpajumtniekiem un trūcīgām personām)</t>
  </si>
  <si>
    <t>Starptautiski projekti(dalības maksa)</t>
  </si>
  <si>
    <r>
      <t xml:space="preserve">Healthy city </t>
    </r>
    <r>
      <rPr>
        <sz val="9"/>
        <rFont val="Times New Roman"/>
        <family val="1"/>
        <charset val="186"/>
      </rPr>
      <t xml:space="preserve">projekta dalības maksa </t>
    </r>
  </si>
  <si>
    <t>Tuberkulozes slimnieku veselības programmas atbalsts</t>
  </si>
  <si>
    <t>Tuberkulozes slimnieku veselības programmas atbalsts, saskaņā ar Veselības veicināšanas programmu 2013.-2020.gadam (7-9 cilv.mēnesī - mēnešbiļetes apmaksa Ls 15 mēnesī personai )</t>
  </si>
  <si>
    <t>Psihologu/psihoterapeitu pakalpojumi</t>
  </si>
  <si>
    <t>Līdzfinansējums jaunu veselības aprūpes projektu īstenošanai</t>
  </si>
  <si>
    <t>Projektu līdzfinansējums tiks sadalīts Sociālo un veselības jautājumu komitejā</t>
  </si>
  <si>
    <t xml:space="preserve">Mikroautobusa stāvvietas īre Ls 30 mēnesī, mikrautobusa remontdarbi (tehniskā apkope u.c.) Ls 302 </t>
  </si>
  <si>
    <t>Atkarību profilakses centra Nometņu 2a - 113 stacionārā telefona un interneta  izdevumumi Ls 27.25 mēnesī</t>
  </si>
  <si>
    <t>Asistenta pakalpojumu nodrošināšanai personām, kurām noteikta I un II invaliditātes grupa un personām no 5 līdz 18 gadu vecumam, kurām izsniegts atzinums par īpašas kopšanas nepieciešamību</t>
  </si>
  <si>
    <t xml:space="preserve"> Sociālās aizsardzības pasākumi</t>
  </si>
  <si>
    <t xml:space="preserve"> Atbalsts sociāli atstumtām personām </t>
  </si>
  <si>
    <t>Pašvaldības budžets 2014.g.              kopā (latos)</t>
  </si>
  <si>
    <t>2013.gadā nav bijusi nepieciešamība pēc sabiedriskās vietās mirušo personu transporta izdevumiem</t>
  </si>
  <si>
    <t>Projektu līdzfinansējuma apjomu sadala Integrācijas projektu komisija</t>
  </si>
  <si>
    <t xml:space="preserve">JPD saistošie noteikumi nr.2 (17.01.2009.) 15 gultas, pašvaldības finansējums 2014.gadā -  Ls 13.29 dienā </t>
  </si>
  <si>
    <t xml:space="preserve">JPD saistošie noteikumi nr.2 (17.01.2009.) 20 gultas, pašvaldības finansējums 2014.gadā -  Ls 11.49 dienā </t>
  </si>
  <si>
    <t xml:space="preserve">25 gultas, finansējums no pašvaldības budžeta 2014.gadā -  Ls 9.27 dienā (JPD saistošie noteikumi nr.2 (17.01.2009.) </t>
  </si>
  <si>
    <t xml:space="preserve">JPD Saistošie noteikumi nr. 7. 26.02.2009.(līdz Ls 60 personai gadā) 2013.gadā ienākumu līmenis personai tiek mainīts no Ls 135 uz Ls 160 </t>
  </si>
  <si>
    <t>JPD Saistošie noteikumi nr. 7. un 8. 26.02.2009.(līdz Ls 60 personai gadā)</t>
  </si>
  <si>
    <t>JPD Saistošie noteikumi nr. 14. 05.04.2012.(Ls 200 par katru jaundzimušo)</t>
  </si>
  <si>
    <t xml:space="preserve">JPD Saistošie noteikumi nr. 8. 26.02.2009.(līdz Ls 50 ģimenei gadā un 9. un 12.kl.absolvēšanai Ls 50 gadā) ienākumu līmenis personai Ls 150 </t>
  </si>
  <si>
    <t>JPD Saistošie noteikumi nr. 9. 26.02.2009.(Ls 38 mēnesī par bērnu par aizbildņa pienākumu veikšanu aprūpējot divus un vairāk bērnus (18 aizbildņi)</t>
  </si>
  <si>
    <t>JPD Saistošie noteikumi Nr.7 26.02.2009 - Jūrmalas daudzbērnu ģimenēm, līdz Ls 10 personai gadā</t>
  </si>
  <si>
    <t>JPD Saistošie noteikumi nr.10. 26.02.2009.(Ls 50 mēnesī, 15 personas)</t>
  </si>
  <si>
    <t>JPD Saistošie noteikumi nr.7. 26.02.2009.(attiecībā no aprūpes līmeņa Ls 10/20/30/40 mēnesī) 4 personas ar IV aprūpes līmeni</t>
  </si>
  <si>
    <t>JPD Saistošie noteikumi nr. 7. un 8. 26.02.2009.(līdz Ls 400 personai gadā)</t>
  </si>
  <si>
    <t>JPD Saistošie noteikumi nr. 7. 26.02.2009.(līdz Ls 200 par personu)</t>
  </si>
  <si>
    <t xml:space="preserve">MK noteikumi Nr. 857 (15.11.2005) nosaka sociālās garantijas bārenim un bez vecāku gādības palikušam bērnam, kurš ir ārpusģimenes aprūpē, kā arī pēc ārpusģimenes aprūpes beigšanās (Ls 45 mēnesī  ir 45 personas) </t>
  </si>
  <si>
    <t>JPD Saistošie noteikumi nr. 12. 26.02.2009.(līdz Ls 150 personai gadā, 7 personas)</t>
  </si>
  <si>
    <t>2013. gadā iegādāti divi tandēma velosipēdi, 2014.gadā peldrati (4 gab.) cilvēkiem ar īpašām vajadzībām - 3 x Ls 1200 un Ls 1400 (izmantojami tikai ar pavadoni)</t>
  </si>
  <si>
    <t>JPD saistošie noteikumi nr.79 (04.09.2008.) - pabalsts Ls 50 mēnesī katrai personai (435 personas)</t>
  </si>
  <si>
    <t>šofera darba samaksa Ls 160 mēnesī par 20 stundām nedēļā</t>
  </si>
  <si>
    <t>logu mazg. šķidr., logu slotiņas, lampiņas</t>
  </si>
  <si>
    <t>20 stundas nedēļā</t>
  </si>
  <si>
    <r>
      <t xml:space="preserve">Pamatojoties uz Jūrmalas pilsētas Veselības veicināšanas plāna 2013.-2020.gadam 2.4.4. punktu ''garīgā veselība'' un , lai veiktu normatīvos aktos (Bērnu tiesību aizsardzības likums, Bāriņtiesas likums) noteiktos uzdevumus (Iepirkuma procedūra) ~ Ls 800 mēnesī </t>
    </r>
    <r>
      <rPr>
        <sz val="9"/>
        <color rgb="FFFF0000"/>
        <rFont val="Times New Roman"/>
        <family val="1"/>
        <charset val="186"/>
      </rPr>
      <t xml:space="preserve">. </t>
    </r>
  </si>
  <si>
    <t xml:space="preserve">Reģistrāciajs Nr. </t>
  </si>
  <si>
    <t>Pilsētas kultūras un atpūtas pasākumi</t>
  </si>
  <si>
    <t>2013. gada precizētais budžets</t>
  </si>
  <si>
    <t>2013. gada gaidāma izpilde</t>
  </si>
  <si>
    <t>2014. gada budžeta pieprasījums</t>
  </si>
  <si>
    <t>2014. gada budžeta projekts (LVL)</t>
  </si>
  <si>
    <t>KOPĀ:</t>
  </si>
  <si>
    <t xml:space="preserve">1991. gada janvāra barikāžu atceres diena (18.janvāris)  </t>
  </si>
  <si>
    <t>Komunistiskā genocīda upuru piemiņas dienas (25.marts un 14. jūnijs)</t>
  </si>
  <si>
    <t>Piemiņas pasākums pie P.Zolta pieminekļa "Augsim Latvijai" (18.maijs)</t>
  </si>
  <si>
    <t>Lāčplēša diena (11.novembris)</t>
  </si>
  <si>
    <t>LR proklamēšanas diena                              (18. novembris)</t>
  </si>
  <si>
    <t>Lieldienas  (31.marts)</t>
  </si>
  <si>
    <t>Lieldienu pasākums Mellužu estrādē (01.aprīlis)</t>
  </si>
  <si>
    <t>Vasaras saulgrieži - Jāņu ielīgošana (22.jūnijs)  - Rīga 2014</t>
  </si>
  <si>
    <t>Līgo vakars Mellužu estrādē                   (23.jūnijs)</t>
  </si>
  <si>
    <t>Pilsētas Ziemassvētku egles atklāšana (Gaismas svētki)                       (30.novembris)</t>
  </si>
  <si>
    <t>Pilsētas Ziemassvētku noformējuma konkursa noslēguma pasākums (Domē)</t>
  </si>
  <si>
    <t xml:space="preserve">Ziemassvētku sarīkojumi </t>
  </si>
  <si>
    <t>Jaunā gada sagaidīšanas svinības Kauguros</t>
  </si>
  <si>
    <t>Jomas ielas svētki                                        (05. - 07. jūlijs)</t>
  </si>
  <si>
    <t xml:space="preserve">Kūrortsezonas noslēguma pasākums (24.augustā) </t>
  </si>
  <si>
    <t>Gada cilvēks kultūrā                      (25.janvāris)</t>
  </si>
  <si>
    <t>Mākslas dienas (Mākslas stunda)                                                        (aprīlis)</t>
  </si>
  <si>
    <t>LR Neatkarības deklerācijas pieņemšanas gadadiena - 04.maijs (KKN)</t>
  </si>
  <si>
    <t>Jūras svētki Mellužu estrādē           (13.jūlijs)</t>
  </si>
  <si>
    <t>Atklāšanas un tematiskie pasākumi</t>
  </si>
  <si>
    <t>Mellužu estrādes sezonas noslēgums  (30.augusts)</t>
  </si>
  <si>
    <t>Neformālo pianistu festivāls "Mažors 2012"</t>
  </si>
  <si>
    <t>Starptautiskais senioru deju festivāls Dzintaru koncertzāle 7.jūnijs</t>
  </si>
  <si>
    <t>PopFest Jūrmala KKN</t>
  </si>
  <si>
    <t>Mākslas izstādes (Mākslinieku namā, Jūrmalas Kultūras centrā, Kauguru kultūras namā)</t>
  </si>
  <si>
    <t>Radošās darbnīcas</t>
  </si>
  <si>
    <t>Jauniešu klubs - teātris ''Eksperiments'' KKN</t>
  </si>
  <si>
    <t>Dzejas dienas   (pasākums Horna dārzā)  (11. septembris)</t>
  </si>
  <si>
    <t>Dzejas dienas Kauguros</t>
  </si>
  <si>
    <t>Starptautisks mākslas projekts - konkurss izstāde (JĀ / NEatkarība)</t>
  </si>
  <si>
    <t>Gada noslēguma pasākums                   ''Gada cilvēks''                            (27.decembris)</t>
  </si>
  <si>
    <t>Pilsētas radošo kolektīvu piedalīšanās republikas mēroga pasākumos</t>
  </si>
  <si>
    <t>Pašdarbības kolektīvu un kultūras darbinieku pilsētas mēroga konkursi, skates un izstādes</t>
  </si>
  <si>
    <t>Pašdarbības kolektīvu piedalīšanās ārzemēs rīkotajos koncertos, festivālos, konkursos un izstādēs</t>
  </si>
  <si>
    <t>V.Belševica "Patiess stāsts par Čingo Babu, Lielo Gliemezi un Jūras Karaļa bēdēm"</t>
  </si>
  <si>
    <t>Lelde Stumbre "Vienā Laivā" -izrāde Raiņa un Aspazijas 150 gadu jubilejai</t>
  </si>
  <si>
    <t>Lelde Stumbre "Spalvas"</t>
  </si>
  <si>
    <t>Otfrīds Preislers "Laupītājs Hocenplots" - izrāde bērniem</t>
  </si>
  <si>
    <t>Jūrmalas jauniešu teātra studija "Trīs labas lietas" - Latviešu tautas pasaku uzvedums</t>
  </si>
  <si>
    <t>O.Vācietis "Sasiesim Astes"</t>
  </si>
  <si>
    <t>Dace Lasenberga "Rūķis un Pūķa ola" - spēles ar lellēm</t>
  </si>
  <si>
    <t>Ziemassvētku izrāde</t>
  </si>
  <si>
    <t>Jūrmalas jauniešu teātra studija - Pagalma stāsti: "Starp mums runājot..."</t>
  </si>
  <si>
    <t>Līdzfinansētie pasākumi</t>
  </si>
  <si>
    <t xml:space="preserve">18. novembra svinību rīkošana Ķemeros </t>
  </si>
  <si>
    <t xml:space="preserve">Koncertu cikls Dubultu un Slokas ev.lut. Baznīcās </t>
  </si>
  <si>
    <t xml:space="preserve">Jauno Belvederas operas un operetes solistu atlases kārta Jūrmalā </t>
  </si>
  <si>
    <t>Dziedam Jūrmalā (Rīga 2014)</t>
  </si>
  <si>
    <t xml:space="preserve">Fotostudijas ''Aspazija''  - izstāde </t>
  </si>
  <si>
    <t>Pasākumi Mellužu estrādē                              ''Bērnu vasara Mellužu estrādē''</t>
  </si>
  <si>
    <t xml:space="preserve">10.Starpt. Horeogrāfijas festivāls "Arabeska" </t>
  </si>
  <si>
    <t xml:space="preserve">Austrumdeju festivāls </t>
  </si>
  <si>
    <t xml:space="preserve">Festivāls ''Baleta zvaigznes Jūrmalā''  </t>
  </si>
  <si>
    <t>Seno spēkratu parāde "Retro Jūrmala 2014"</t>
  </si>
  <si>
    <t>Festivāls ''Summertime - aicina I.Galante''</t>
  </si>
  <si>
    <t>Garīgās mūzikas festivāls ''Vox Angelica''</t>
  </si>
  <si>
    <t>3d Baltic Bike Days</t>
  </si>
  <si>
    <t>Festivāla ''Live Fests'' līdzfinansējums</t>
  </si>
  <si>
    <t>Starptautiskais bērnu festivāls ''Rudaga'' - 2 pasākumi</t>
  </si>
  <si>
    <t>Jūrmalas mākslinieku kataloga izdošana</t>
  </si>
  <si>
    <t>Starptautiskais modeļu konkurss ''Baltic Beauty Contest''</t>
  </si>
  <si>
    <t>Irkutskas filharmonijas orķestra koncerts Jūrmalā</t>
  </si>
  <si>
    <t>Projekta "Pēctecība" līdzfinansējums</t>
  </si>
  <si>
    <t>'Horna biedrības kopprojekts - Ž.Segals ''Leļļinieks no Lodzas''</t>
  </si>
  <si>
    <t>Andra Baloža autorakoncerts 2013.gada 21.martā (Latviešu biedrības namā)</t>
  </si>
  <si>
    <t>Muzokālo filmu festivāls ''Artissimo Cinema''</t>
  </si>
  <si>
    <t>Hermaņa Brauna fonda festivāls ''Artissimo''</t>
  </si>
  <si>
    <t>Ķemeru svētki</t>
  </si>
  <si>
    <t>Dokumentālā romāna ''Caur sirdi plūstošā dzīve''  līdzfinansējums</t>
  </si>
  <si>
    <t>Manhetenas īsfilmu festivāls</t>
  </si>
  <si>
    <t>Citas kultūras pasākumu izmaksas</t>
  </si>
  <si>
    <t>Tipogrāfijas pakalpojumi (biļetes, afišas un tml.)</t>
  </si>
  <si>
    <t>AKKA/LAA un LaIPA</t>
  </si>
  <si>
    <t>Publisko pasākumu apdrošināšana</t>
  </si>
  <si>
    <t>Elektroenerģijas apmaksa kultūras pasākumos dabā</t>
  </si>
  <si>
    <t>Reklāmas izdevumi kultūras pasākumiem</t>
  </si>
  <si>
    <t>Tv reklāmas sižetu izveide par aktuāliem kultūras dzīves jaunumiem Jūrmalā un to pārraide LTV</t>
  </si>
  <si>
    <t>Rezerves līdzekļi kultūras pasākumiem</t>
  </si>
  <si>
    <t>Kultūras projektu konkurss</t>
  </si>
  <si>
    <t>Topošo kultūras darbinieku papildus studiju izdevumu segšana</t>
  </si>
  <si>
    <t>Starptautisks sadraudzības-kultūrizglītības jaunrades projekts ''Muzikāli teatrālizēts uzvedums ''Saules ielejas simfonija''</t>
  </si>
  <si>
    <t>Lielāko pasākumu filmēšan un pārraidīšana valsts mēroga televīzijās</t>
  </si>
  <si>
    <t>Jūrmalas pilsētas "Jautro un atjautīgo" klubu kustības 2013.gada attīstības plāna finansēšana</t>
  </si>
  <si>
    <t xml:space="preserve">Bērnu  deju kolektīva "Zītariņš" 10 gadu jubilejas pasākums </t>
  </si>
  <si>
    <t xml:space="preserve">Vidējās paaudzes deju kolektīva "Tapa" 15 gadu jubilejas pasākums </t>
  </si>
  <si>
    <t xml:space="preserve">Jauniešu deju kolektīva "Zālīte" 10 gadu jubilejas pasākums </t>
  </si>
  <si>
    <t>"Baltijas ceļa" jubilejas pasākums</t>
  </si>
  <si>
    <t>Latvijas Nacionālo partizānu apvienības un Latvijas Nacionālo karavīru biedrības salidojums (pie P.Zolta pieminekļa)  27.07.2013</t>
  </si>
  <si>
    <r>
      <t>Budžeta finansēta institūcija:</t>
    </r>
    <r>
      <rPr>
        <b/>
        <sz val="9"/>
        <rFont val="Times New Roman"/>
        <family val="1"/>
        <charset val="186"/>
      </rPr>
      <t xml:space="preserve">Jūrmalas pilsētas muzejs, Tirgoņu iela 29 </t>
    </r>
  </si>
  <si>
    <t>Reģistrācijas Nr.40000056408</t>
  </si>
  <si>
    <r>
      <t xml:space="preserve">Programma: </t>
    </r>
    <r>
      <rPr>
        <b/>
        <sz val="11"/>
        <rFont val="Times New Roman"/>
        <family val="1"/>
        <charset val="186"/>
      </rPr>
      <t xml:space="preserve"> Kultūras pasākumi Jūrmalas brīvdabas muzejā</t>
    </r>
    <r>
      <rPr>
        <b/>
        <sz val="9"/>
        <rFont val="Times New Roman"/>
        <family val="1"/>
        <charset val="186"/>
      </rPr>
      <t xml:space="preserve"> </t>
    </r>
  </si>
  <si>
    <t>Funkcionālās klasifikācijas kods:08.620</t>
  </si>
  <si>
    <t>Autorhonorārs aktieriem un mūziķiem/folkloras kopai - 2014.g.</t>
  </si>
  <si>
    <t>Aparatūras noma</t>
  </si>
  <si>
    <t>Pārtikas produkti, balvas</t>
  </si>
  <si>
    <t>1.4.</t>
  </si>
  <si>
    <t>Reklāma - afišas, ielūgumi</t>
  </si>
  <si>
    <t>1.5.</t>
  </si>
  <si>
    <t>Autoratlīdzība putnu būrīšu meistaram</t>
  </si>
  <si>
    <t>1.6.</t>
  </si>
  <si>
    <t>Kokmateriāli putnu būrīšiem</t>
  </si>
  <si>
    <t>1.7.</t>
  </si>
  <si>
    <t>Saimniecības preces</t>
  </si>
  <si>
    <t>1.8.</t>
  </si>
  <si>
    <t>Transporta izdevumi(degviela)</t>
  </si>
  <si>
    <t xml:space="preserve">Autorhonorārs mūziķiem un 2014.g. aktierim-pasākuma vadītājam </t>
  </si>
  <si>
    <t>Pārtikas produkti (zivju zupai), reklāma</t>
  </si>
  <si>
    <t>2.4.</t>
  </si>
  <si>
    <t>Autoratlīdzība zupas vārītājai</t>
  </si>
  <si>
    <t>2.5.</t>
  </si>
  <si>
    <t>2.6.</t>
  </si>
  <si>
    <t>Autoratlīdzība lektoram par lekciju "Dzintara dziednīca"</t>
  </si>
  <si>
    <t>2.7.</t>
  </si>
  <si>
    <t>Saimniecības preces (vienreizējie trauki, salvetes u.c.)</t>
  </si>
  <si>
    <t>2.8.</t>
  </si>
  <si>
    <t>Autoratlīdzība mūziķiem vai tradīciju kopai</t>
  </si>
  <si>
    <t>Reklāma, pārtikas produkti, balvas</t>
  </si>
  <si>
    <t>Autoratlīdzība mūziķiem</t>
  </si>
  <si>
    <t>4.3.</t>
  </si>
  <si>
    <t>Balvas vīndariem - dalībniekiem un galvenā balva</t>
  </si>
  <si>
    <t>4.4.</t>
  </si>
  <si>
    <t>Autortiesības</t>
  </si>
  <si>
    <t>4.5.</t>
  </si>
  <si>
    <t>Autorhonorārs aktierim - pasākuma vadītājam</t>
  </si>
  <si>
    <t>4.6.</t>
  </si>
  <si>
    <t>Autoratlīdzība lektoram (profesionālam vīndarim)</t>
  </si>
  <si>
    <t>4.7.</t>
  </si>
  <si>
    <t>4.8.</t>
  </si>
  <si>
    <t>4.9.</t>
  </si>
  <si>
    <t>Ziemassvētku pasākums (adventes laikā)</t>
  </si>
  <si>
    <t xml:space="preserve">Autoratlīdzība tradīciju kopai </t>
  </si>
  <si>
    <t>Ziemassvētku cienasts (zupa, ķūķis, pīrādziņi u.c.)</t>
  </si>
  <si>
    <t>Saimniecības preces (vienreizējie trauki u.c.)</t>
  </si>
  <si>
    <r>
      <t xml:space="preserve">Programma: </t>
    </r>
    <r>
      <rPr>
        <b/>
        <sz val="11"/>
        <rFont val="Times New Roman"/>
        <family val="1"/>
        <charset val="186"/>
      </rPr>
      <t xml:space="preserve">Aspazijas mājas kultūras pasākumi </t>
    </r>
  </si>
  <si>
    <t>Funkcionālās klasifikācijas kods: 08.620</t>
  </si>
  <si>
    <t>Ceļojošas izstādes  "LITTERA CORDIS"  izveidošana (2013.g.) un izstādes eksponēšana un atklāšanas pasākumi Jūrmalas 1.ģimnāzijā un Bulduru dārzkopības vidusskolā (2014.g.)</t>
  </si>
  <si>
    <t>Autoratlīdzība izstādes māksliniekam</t>
  </si>
  <si>
    <t>Dažādi materiāli ceļojošās izstādes noformēšanai</t>
  </si>
  <si>
    <t>Ziedi, cienasts</t>
  </si>
  <si>
    <t>Rekvizītu un tērpu noma</t>
  </si>
  <si>
    <t>Inventāra noma</t>
  </si>
  <si>
    <t>Autoratlīdzība aktieriem, mūziķiem</t>
  </si>
  <si>
    <t>Reklāma (plakāti, ielūgumi)</t>
  </si>
  <si>
    <t>Autoratlīdzība mūziķiem, aktieriem</t>
  </si>
  <si>
    <t>Ziedi, konditoreja</t>
  </si>
  <si>
    <t>Autoratlīdzība pasākuma režisoram un aktieriem</t>
  </si>
  <si>
    <t>Ziedi, ielūgumi, balvas</t>
  </si>
  <si>
    <t>Autortiesību atlīdzība, digitālās izdrukas ekspozīcijai</t>
  </si>
  <si>
    <t>Ziedi, kafijas pauze, reklāma</t>
  </si>
  <si>
    <t>Skenēšana, maketēšana, digitālās izdrukas</t>
  </si>
  <si>
    <t>Afišas, ielūgumi, ziedi, cienasts</t>
  </si>
  <si>
    <t>Autoratlīdzība aktieriem</t>
  </si>
  <si>
    <t>12.2.</t>
  </si>
  <si>
    <t>12.3.</t>
  </si>
  <si>
    <t>14.2.</t>
  </si>
  <si>
    <r>
      <t xml:space="preserve">Programma: </t>
    </r>
    <r>
      <rPr>
        <b/>
        <sz val="10"/>
        <rFont val="Times New Roman"/>
        <family val="1"/>
        <charset val="186"/>
      </rPr>
      <t xml:space="preserve"> Kultūras pasākumi Jūrmalas pilsētas muzejā</t>
    </r>
    <r>
      <rPr>
        <sz val="10"/>
        <rFont val="Times New Roman"/>
        <family val="1"/>
        <charset val="186"/>
      </rPr>
      <t xml:space="preserve"> </t>
    </r>
  </si>
  <si>
    <t>Transporta noma dalībnieku pārvadāšanai</t>
  </si>
  <si>
    <t>Reklāma, digitālās izdrukas</t>
  </si>
  <si>
    <t>Dažādi materiāli radošajām darbnīcām</t>
  </si>
  <si>
    <t>Autorhonorārs mūziķiem</t>
  </si>
  <si>
    <t>Kafija, konditoreja</t>
  </si>
  <si>
    <t>Šekspīra lugas "Spītnieces savaldīšana"iestudējums muzeju nakts pasākumā</t>
  </si>
  <si>
    <t>Autoratlīdzība par lugas iestudējumu</t>
  </si>
  <si>
    <t>Autoratlīdzība par pasāk.scenāriju un deju iestudējumu</t>
  </si>
  <si>
    <t>Atalgojums par tērpu šūšanu</t>
  </si>
  <si>
    <t xml:space="preserve">Gadskārtējā starptautiskā jūras ainavu izstāde "Marina" </t>
  </si>
  <si>
    <t xml:space="preserve">Ārvalstu mākslinieku saimnieciskā apkalpošana </t>
  </si>
  <si>
    <t>Ielūgumi, plakāti, reklāmas baneris</t>
  </si>
  <si>
    <t xml:space="preserve">Tēlotājmākslas izstāde 50.gadi mākslā </t>
  </si>
  <si>
    <t>Tēlotājmākslas izstāde 50.gadi mākslā mākslin.apkalpošana</t>
  </si>
  <si>
    <t>Tēlotājmākslas izstāde 50.gadi mākslā ielūgumi,plakāti</t>
  </si>
  <si>
    <t>Jūrmalas mākslinieku grupas un Inas Intas Liniņas-Ozoliņas izstādes</t>
  </si>
  <si>
    <t>Konditorejas izstrādājumi, ziedi</t>
  </si>
  <si>
    <t>Ielūgumi, plakāti</t>
  </si>
  <si>
    <t>Banera uzlīmes (2013.g.), jauns baneris (2014.g.)</t>
  </si>
  <si>
    <r>
      <t xml:space="preserve">Kultūras projekts </t>
    </r>
    <r>
      <rPr>
        <b/>
        <i/>
        <sz val="9"/>
        <rFont val="Times New Roman"/>
        <family val="1"/>
        <charset val="186"/>
      </rPr>
      <t>"Bērnu gada balva mākslā "Lielā zemene""</t>
    </r>
  </si>
  <si>
    <t>Biroja preču iegāde nodarbībām</t>
  </si>
  <si>
    <t>Dažādu materiālu iegāde bērnu nodarbībām</t>
  </si>
  <si>
    <t>Balvas māksliniekiem un bērniem</t>
  </si>
  <si>
    <t>Priekšmetu iepirkumi muzeja kolekciju papildināšanai</t>
  </si>
  <si>
    <t>Vēsturisko prieksmetu iepirkumi Aspazijas mājas ekspozīcijai</t>
  </si>
  <si>
    <t>Mākslas darbu iepirkumi kolekcijas papildināšanai</t>
  </si>
  <si>
    <t>Latvijas mākslinieku zīmējumu izstāde</t>
  </si>
  <si>
    <t>Autoratlīdzība izstādes kuratoram</t>
  </si>
  <si>
    <t>Printēts reklāmas baneris</t>
  </si>
  <si>
    <t>Dažādi materiāli izstādes noformēšanai</t>
  </si>
  <si>
    <t>Ziedi, suvenīri</t>
  </si>
  <si>
    <t xml:space="preserve">Jūrmalnieka, fotogrāfa Kārļa Edes un viņa meitas Ērikas Barahonas - Edes (Gugenheima muzejs, Bilbao, Spānija) fotogrāfiju izstāde „Satikšanās Jūrmalā” </t>
  </si>
  <si>
    <t>Lielformāta digitālās izdrukas izstādei</t>
  </si>
  <si>
    <t>Materiāli izstādes noformēšanai (papīrs, kartons, rāmji)</t>
  </si>
  <si>
    <t>Ielūgumi, plakāti, ziedi, kafijas pauze</t>
  </si>
  <si>
    <t>Dzintara izstāde no muzeja krājuma</t>
  </si>
  <si>
    <t>Plastikāta planšetes un to apdruka</t>
  </si>
  <si>
    <t>Pastkartes (digitālās izdrukas)</t>
  </si>
  <si>
    <t>Konditorejas izstrādājumi</t>
  </si>
  <si>
    <t xml:space="preserve">Izstādes no mākslas krājuma - "Austrumu motīvi" un Harija Bobinska atceres izstāde </t>
  </si>
  <si>
    <t>Mākslas darbu ierāmēšana, stiklošana, paspartu izgatavošana (30 grafikas un zīmējumi)</t>
  </si>
  <si>
    <t>Ielūgumi, plakāti, konditoreja</t>
  </si>
  <si>
    <t>Muzeja priekšmetu restaurācija</t>
  </si>
  <si>
    <t>Mākslas kolekcijas skulptūru restaurācija</t>
  </si>
  <si>
    <t>13.2.</t>
  </si>
  <si>
    <t>Vēstures priekšmetu restaurācija Aspazijas mājas ekspozīcijai</t>
  </si>
  <si>
    <t>Dažādu kopiju izgatavošana izstāžu un muzeja krājuma vajadzībām</t>
  </si>
  <si>
    <t>Arhīvu un muzeju dokumentu kopijas un fotokopijas Aspazijas mājas ekspozīcijai</t>
  </si>
  <si>
    <t>Latvijas TV1  raidījumu programmas "Ielas garumā" ierakstu iegāde</t>
  </si>
  <si>
    <t xml:space="preserve">Materiālu iegāde skolēnu muzejpedagoģiskai programmai "Mana sapņu Jūrmala"  </t>
  </si>
  <si>
    <t>Dažādu materiālu (plastikas, krāsu, krītiņu, papīra u.c.) iegāde muzeja krājuma priekšmetu un Jūrmalas celtņu kopiju un maketu veidošanai</t>
  </si>
  <si>
    <t>Starptautiskās zinātniskās konferences rakstu krājums "Kultūrvēsturiskais mantojums kūrortā. Tradīcijas un mūsdienu aktualitātes"</t>
  </si>
  <si>
    <t>Autoratlīdzība par rakstu krājuma sastādīšanu un rediģēšanu</t>
  </si>
  <si>
    <t>Autoratlīdzība tulkiem (latviešu un angļu val.)</t>
  </si>
  <si>
    <t>Rakstu krājuma iespiešana un iegāde</t>
  </si>
  <si>
    <t>Biroja preces</t>
  </si>
  <si>
    <t>Ceļojoša izstāde "Briti Jūrmalā"</t>
  </si>
  <si>
    <t>Autorhonorārs izstādes māksliniekam</t>
  </si>
  <si>
    <t>Ielūgumi, afišas, ziedi, kafijas pauze</t>
  </si>
  <si>
    <t xml:space="preserve">Starptautiska izstāde "Siļķes Baltijas un Ziemeļu jūrā" </t>
  </si>
  <si>
    <t xml:space="preserve"> Tulkojumi no latviešu uz angļu val.</t>
  </si>
  <si>
    <t>Kopā finansējums pa programmām</t>
  </si>
  <si>
    <t>Budžeta finansēta institūcija SIA "Dzintaru koncertzāle"</t>
  </si>
  <si>
    <t>Reģistrācijas Nr. 40003378932</t>
  </si>
  <si>
    <t>Struktūrvienība SIA "Dzintaru koncertzāle"</t>
  </si>
  <si>
    <t>Programma: Atbalstāmie pasākumi Dzintaru koncertzālē 2014.gada sezonā</t>
  </si>
  <si>
    <t xml:space="preserve">Deju kolektīva "Tapa" 15 gadu jubilejas koncerts </t>
  </si>
  <si>
    <t>Vasaras saulgriežu ielīgošanas koncerts</t>
  </si>
  <si>
    <t xml:space="preserve">Starptautiskais bērnu horeogrāfijas festivāls "Arabeskas" </t>
  </si>
  <si>
    <t xml:space="preserve">Festivāls LIVE FEST 2013 Animals &amp; Friends </t>
  </si>
  <si>
    <t>I.Akurātere, J.Kulakovs Sapumpurots zars ar grupu Pērkons - Labdarības  koncerts .</t>
  </si>
  <si>
    <t xml:space="preserve">Hermaņa Brauna Fonda festivāls "Artissimo" </t>
  </si>
  <si>
    <t xml:space="preserve">Starptautiskais populārās mūzikas jauno izpildītāju konkurss "Jaunais Vilnis 2013" </t>
  </si>
  <si>
    <t xml:space="preserve">7 pasākumu dienas </t>
  </si>
  <si>
    <t xml:space="preserve">"TNT dāvā Zvaigznes" </t>
  </si>
  <si>
    <t xml:space="preserve">Starptautiskais baleta festivāls "Baleta zvaigznes Jūrmalā" </t>
  </si>
  <si>
    <t xml:space="preserve">Starptautiskais mūzikas festivāls SUMMERTIME - aicina Inese Galante </t>
  </si>
  <si>
    <t>7 pasākumu dienas</t>
  </si>
  <si>
    <t xml:space="preserve">Jubilejas koncertuzvedums "Olgai Dreģei 75" </t>
  </si>
  <si>
    <t xml:space="preserve">Latviešu estrāde - Nezāles neiznīksts - grupas Līvi labāko dziesmu koncerts </t>
  </si>
  <si>
    <t xml:space="preserve">Latviešu estrāde - Raimonds Pauls un Guntars Račs koncerts Nekur nav tik labi kā mājās </t>
  </si>
  <si>
    <t xml:space="preserve">Irkutskas Filharmonijas Simfoniskā orķestra koncerts </t>
  </si>
  <si>
    <t xml:space="preserve">Igo koncertprogramma </t>
  </si>
  <si>
    <t xml:space="preserve">Festivāls LIVE FEST 2013 Soul Music Rewiv </t>
  </si>
  <si>
    <t xml:space="preserve">Dzintaru koncertzāles sezonas noslēguma koncerts Marija Maumova </t>
  </si>
  <si>
    <t xml:space="preserve">Tautas deju pērles Jūrmalā </t>
  </si>
  <si>
    <t>Starptautiskais Senioru deju festivāls</t>
  </si>
  <si>
    <t>Nordic Symphony Orchestra</t>
  </si>
  <si>
    <t>R.Paula koncerts</t>
  </si>
  <si>
    <t>Latviešu estrādes koncerts</t>
  </si>
  <si>
    <t xml:space="preserve">2 pasākumu dienas </t>
  </si>
  <si>
    <t>Neredzīgo biedrības pasākums</t>
  </si>
  <si>
    <t>Dzintaru koncertzāles sezonas noslēguma koncerts ar Raimondu Ozolu</t>
  </si>
  <si>
    <t>Grupas " Menuets" koncerts</t>
  </si>
  <si>
    <t>Labarības koncerts "Dziesmas par mīlestību"</t>
  </si>
  <si>
    <t>Ulda Dumpja jubilejas koncerts</t>
  </si>
  <si>
    <t xml:space="preserve">Programma: Starptautiskais baleta festivāls "Baleta zvaigznes Jūrmalā" </t>
  </si>
  <si>
    <t>Nr. p. k.</t>
  </si>
  <si>
    <t>Ekonomiskās klasifikācijas kods</t>
  </si>
  <si>
    <t>Rādītāju nosaukums</t>
  </si>
  <si>
    <t>1.</t>
  </si>
  <si>
    <t>Darbinieku darba samaksa</t>
  </si>
  <si>
    <t>2.</t>
  </si>
  <si>
    <t>Telefona abonēšanas maksa, sarunu apmaksa, interneta pakalpojumu sniedzēju apmaksa</t>
  </si>
  <si>
    <t>Izdevumi par elektroenerģiju</t>
  </si>
  <si>
    <t>Izdevumi par atkritumu izvešana</t>
  </si>
  <si>
    <t>Iekārtu un inventāra noma</t>
  </si>
  <si>
    <t>Nekustamā īpašuma nodokļa maksājumi budžetā</t>
  </si>
  <si>
    <t>Pārējie budžeta iestāžu pārskaitītie nodokļi un nodevas</t>
  </si>
  <si>
    <t>Pašizmaksa kopā:</t>
  </si>
  <si>
    <t>PVN 21%</t>
  </si>
  <si>
    <t>Summa ar PVN</t>
  </si>
  <si>
    <t xml:space="preserve">Dzintaru koncertzāles lielās zāles viena pasākuma                                                                         pašizmaksas 2014. gadam sadalījums pa ekonomiskās klasifikācijas kodiem </t>
  </si>
  <si>
    <t>Attīstības pārvaldes Vides nodaļa</t>
  </si>
  <si>
    <t>Attīstības pārvaldes Stratēģiskās un biznesa plānošanas nodaļa</t>
  </si>
  <si>
    <t>Attīstības pārvaldes Projektu ieviešanas nodaļa</t>
  </si>
  <si>
    <t>Dokumentācijas sagatavošana Ķemeru sanatorijas iekļaušanai Pasaules mantojuma Latvijas nacionālajā sarakstā</t>
  </si>
  <si>
    <t>Īpašumu pārvaldes Kapitāla daļu pārvaldīšanas nodaļa</t>
  </si>
  <si>
    <t>Administratīvi juridiskās pārvaldes Juridiskā nodrošinājuma nodaļa un Tiesvedības nodaļa</t>
  </si>
  <si>
    <t>Īpašumu pārvaldes Pašvaldības īpašumu nodaļa</t>
  </si>
  <si>
    <t>Mārketinga, sabiedrisko attiecību un ārējo sakaru pārvaldes Ārējo sakaru un protokola nodaļa</t>
  </si>
  <si>
    <t>Naudas balva nominācijai "Gada cilvēks"</t>
  </si>
  <si>
    <t>Mārketinga, sabiedrisko attiecību un ārējo sakaru pārvaldes Mārketinga nodaļa</t>
  </si>
  <si>
    <t>"Jūrmalas kauss 2014" Starptautiskais karatē čempionāts</t>
  </si>
  <si>
    <t>Biedrība "Latvijas Airēšanas federācija"</t>
  </si>
  <si>
    <t>Jūrmalas sporta centrs</t>
  </si>
  <si>
    <t xml:space="preserve">Koncerts pirmajā adventē </t>
  </si>
  <si>
    <t xml:space="preserve">Ēnu dienas/Karjeras dienas - Ls 200, Jūrmalas labākais ēdināšanas uzņēmums - Ls 1650, </t>
  </si>
  <si>
    <t>Jūrmalas labākais ēdināšanas uzņēmums</t>
  </si>
  <si>
    <t>Skolēnu biznesa plānu konkurss - Ls 500, Jūrmalas labākais ēdināšanas uzņēmums - Ls 915</t>
  </si>
  <si>
    <t>Baltijas valstu starpreģionālā sadarbība</t>
  </si>
  <si>
    <t>Detalplānojums kompensējamiem zemesgab.</t>
  </si>
  <si>
    <t>Ar ārējo sakaru attīstību saistītās starptautiskās un institucionālās sadarbības aktivitātes</t>
  </si>
  <si>
    <t xml:space="preserve">2014.gada projekta "Jūrmalas pilsētas tranzītielas P128 (Talsu šoseja/Kolkas iela) izbūve" budžeta
 atšifrējums pa aktivitātēm </t>
  </si>
  <si>
    <t>Projekta īstenotājs</t>
  </si>
  <si>
    <t>Jūrmalas pilsētas dome</t>
  </si>
  <si>
    <t>Reģistrācijas numurs</t>
  </si>
  <si>
    <t>Projekta nosaukums</t>
  </si>
  <si>
    <t>"Jūrmalas pilsētas tranzītielas P128 (Talsu šoseja/Kolkas iela) izbūve"</t>
  </si>
  <si>
    <t>Projekta īstenotāja struktūrvienība</t>
  </si>
  <si>
    <t>Funkcionālās klasifikācijas kods</t>
  </si>
  <si>
    <t>Pasākums/ aktivitāte*</t>
  </si>
  <si>
    <t>Projekta attiecināmās izmaksas KOPĀ:</t>
  </si>
  <si>
    <t>Publicitātes pasākumi</t>
  </si>
  <si>
    <t>Pilsētsaimniecības pārvaldes Būvniecības nodaļa</t>
  </si>
  <si>
    <t>Būvprojekta izstrāde</t>
  </si>
  <si>
    <t>Būvuzraudzība</t>
  </si>
  <si>
    <t>Būvprojekta autoruzraudzība</t>
  </si>
  <si>
    <t>Projekta neattiecināmās izmaksas KOPĀ:</t>
  </si>
  <si>
    <t>Teātra un deju svētki pirmsskolas vecuma bērniem</t>
  </si>
  <si>
    <t>Autoratlīdzība fotomūzikas izstādes "Zaļš, balts, zils" veidotājiem</t>
  </si>
  <si>
    <t>Pārtikas produkti (āboli, siers u.c.), reklāma</t>
  </si>
  <si>
    <t>Mākslinieka Valda Buša 90 gadu jubilejas izstāde</t>
  </si>
  <si>
    <t>Plakāti, ielūgumi</t>
  </si>
  <si>
    <t>Reklāmas baneru uzlīmes</t>
  </si>
  <si>
    <t>Kliņģeris, sulas, ūdens, ziedi</t>
  </si>
  <si>
    <t xml:space="preserve">Pārējo mākslas izstāžu iekārtošanas, noformēšanas, atklāšanas un reklāmas pasākumi </t>
  </si>
  <si>
    <t>13.3.</t>
  </si>
  <si>
    <t>13.4.</t>
  </si>
  <si>
    <t>13.5.</t>
  </si>
  <si>
    <t>2014.gada 20. aprīlis</t>
  </si>
  <si>
    <t xml:space="preserve">Lieldienu pasākums </t>
  </si>
  <si>
    <t>2014.gadā - 17.maijs</t>
  </si>
  <si>
    <t>Starptautiskā muzeju nakts</t>
  </si>
  <si>
    <t>2014. gada 23. augusts</t>
  </si>
  <si>
    <t xml:space="preserve">Amatu diena </t>
  </si>
  <si>
    <t>2014.gada 27.septembris</t>
  </si>
  <si>
    <t xml:space="preserve">Vīna svētki </t>
  </si>
  <si>
    <t>11.septembris</t>
  </si>
  <si>
    <t>Dzejas dienas pie Raiņa priedēm</t>
  </si>
  <si>
    <t>3.oktobris</t>
  </si>
  <si>
    <t>Elzas diena</t>
  </si>
  <si>
    <t>11.jūlijs</t>
  </si>
  <si>
    <t>Restaurētā ēku kompleksa Z. Meierovica prosp. 18/20 atklāšanas pasākums</t>
  </si>
  <si>
    <t>Transporta izdevumi (degviela)</t>
  </si>
  <si>
    <t>2014.gadā - 12 personas, 4 stundas</t>
  </si>
  <si>
    <t>Autoratlīdzība amatniekiem</t>
  </si>
  <si>
    <t>Ls 6 x 100 personas</t>
  </si>
  <si>
    <t>Ls 10 x 10 gab.</t>
  </si>
  <si>
    <t>Rāmju iegāde ekspozīcijas noformēšanai</t>
  </si>
  <si>
    <t>18.jūlijs</t>
  </si>
  <si>
    <t>Ulda Zemzara izstādes atklāšana</t>
  </si>
  <si>
    <t>5.augusts</t>
  </si>
  <si>
    <t>Kultūrvēsturiskas izstādes "Aspazija un Eiropa" sagatavošana un atklāšanas pasākums</t>
  </si>
  <si>
    <t>Ls 25x5 personas</t>
  </si>
  <si>
    <t>Autorhonorārs radošo darbnīcu vadītājiem</t>
  </si>
  <si>
    <t>Saimnieciskā apkalpošana</t>
  </si>
  <si>
    <t>t.sk. Bukletu izdošana Ls 2500</t>
  </si>
  <si>
    <t>Jūrmala - Eiropas kultūras galvaspilsētas kaimiņpilsēta</t>
  </si>
  <si>
    <t>Pasaules koru olimpiāde (Rīga 2014)</t>
  </si>
  <si>
    <t>Nakts ekspedīcija ģimenei "Nestāsti Pasaciņas" Dzintaru mežaparkā (Rīga 2014)</t>
  </si>
  <si>
    <t>Jūrmalas kultūrvēsturiskais mantojums</t>
  </si>
  <si>
    <t>Vispārējie latviešu Dziemu un Deju svētki</t>
  </si>
  <si>
    <t>Tērpi vizuālā tēla pilnveidošanai un nepilnību novēršanai</t>
  </si>
  <si>
    <t>Deju inventārs</t>
  </si>
  <si>
    <t>Tērpu restaurācija/labošana</t>
  </si>
  <si>
    <t>Dalībnieku izmitināšana</t>
  </si>
  <si>
    <t>Dalībnieku ēdinšāna</t>
  </si>
  <si>
    <t>Transporta izdevumi</t>
  </si>
  <si>
    <t>Veselības aprūpe (med.darbinieka algošana -Ls 150.00); dalībnieku fotogrāfēšana - Ls 510.00.</t>
  </si>
  <si>
    <t>Medikamenti</t>
  </si>
  <si>
    <t>Svētku gājiena noformējums</t>
  </si>
  <si>
    <t>Dzeramais ūdens</t>
  </si>
  <si>
    <t>Tērpi pilsētas delegācijai svētku gājienā</t>
  </si>
  <si>
    <t>Neparedzēti izdevumi</t>
  </si>
  <si>
    <t>Jūrmalas iedzīvotāju kultūrizglītība</t>
  </si>
  <si>
    <t>Starptautiskās kultūras dienas -      (2013.gads - Vācijas dienas;         2014. gads - Taizemes dienas)</t>
  </si>
  <si>
    <t>Jūrmalas teātris</t>
  </si>
  <si>
    <t>"Jokosim Tautiski" - pasākums 01.aprīlī KKN</t>
  </si>
  <si>
    <t>Deju lieluzvedums "Pūt vējiņi pirms..." (VPDK "Vēlreiz")</t>
  </si>
  <si>
    <t xml:space="preserve">Ceļojošais mini festivāls "Pirkstiņi pa taustiņiem" KKN </t>
  </si>
  <si>
    <t>Pasākumu cikls "Portreti" 12 pasākumi JKC</t>
  </si>
  <si>
    <t>Tradicionālie Jūrmalas pasākumi</t>
  </si>
  <si>
    <t>Jūrmalas kūrortsezonas atklāšanas pasākums (17. maijs)</t>
  </si>
  <si>
    <t>Teātra izrādes</t>
  </si>
  <si>
    <t>Rudens sezonas atklāšana (4.oktobris)</t>
  </si>
  <si>
    <t>Ziemas Sezonas atklāšana (06.decembris)</t>
  </si>
  <si>
    <t>Jauktais Koris "Lira" 40 gadu jubilejas pasākums</t>
  </si>
  <si>
    <t>Muzeju nakts - Sarkanā krāsa, Dzintars</t>
  </si>
  <si>
    <t>Vasaras koncerti Horna dārzā (6 koncerti)</t>
  </si>
  <si>
    <t>Deju kolektīva "Tapa" gada koncerts</t>
  </si>
  <si>
    <t>BG deju studijas gada koncerts</t>
  </si>
  <si>
    <t>Deju kolektīva "Ābelīte" 65 gadu jubilejas koncerts</t>
  </si>
  <si>
    <t>Koris "Jūrmala" 25 gadu jubileja</t>
  </si>
  <si>
    <t>Deju kolektīva "Zītariņš" 10 gadu jubilejas koncerts</t>
  </si>
  <si>
    <t>Jūrmalas Teātra 35 gadu jubileja</t>
  </si>
  <si>
    <t>13. Teātru salidojums Ventspilī (25.-27.jūlijs) - Jūrmalas teātra dalība</t>
  </si>
  <si>
    <t>Lielā diena Majoros</t>
  </si>
  <si>
    <t>Mātes dienas koncerts JKC</t>
  </si>
  <si>
    <t>Balle 18. novembrī JKC</t>
  </si>
  <si>
    <t>Jūrmalas Kultūras centra atklāšana</t>
  </si>
  <si>
    <t>Citi pasākumi</t>
  </si>
  <si>
    <t>Valsts budžeta transferti</t>
  </si>
  <si>
    <t>minerālūdens, sulas, konditoreja, Ls 2,50 x 120 personas</t>
  </si>
  <si>
    <t>Pārtikas produkti</t>
  </si>
  <si>
    <t>aptuveni 60 mākslinieki-dalībnieki</t>
  </si>
  <si>
    <t xml:space="preserve">Autoratlīdzība par nodarbību vadīšanu un noslēguma pasākuma scenārija izstrādi </t>
  </si>
  <si>
    <t>Ls 12 x 21 izstāde</t>
  </si>
  <si>
    <t>Ls 27,04x11stundas</t>
  </si>
  <si>
    <t>Ls 11x21 izstāde</t>
  </si>
  <si>
    <t>vidēji Ls 10x21 izstāde</t>
  </si>
  <si>
    <t>Ls30x12 mēneši</t>
  </si>
  <si>
    <t>Transporta noma baneru nomaiņai</t>
  </si>
  <si>
    <t>Ziedi māksliniekiem</t>
  </si>
  <si>
    <t>Konditorejas izstrādājumi, kafija</t>
  </si>
  <si>
    <t>Ls 45 x 10 gab</t>
  </si>
  <si>
    <r>
      <t xml:space="preserve">Izvelkamo stendu 60x180 cm( </t>
    </r>
    <r>
      <rPr>
        <i/>
        <sz val="9"/>
        <rFont val="Times New Roman"/>
        <family val="1"/>
        <charset val="186"/>
      </rPr>
      <t>express roll up</t>
    </r>
    <r>
      <rPr>
        <sz val="9"/>
        <rFont val="Times New Roman"/>
        <family val="1"/>
        <charset val="186"/>
      </rPr>
      <t>) iegāde</t>
    </r>
  </si>
  <si>
    <t>Glābšanas staciju attīstība</t>
  </si>
  <si>
    <t>Stadiona koka konstrukciju apstŗāde atbilstoši ugunsdrošības noteikumiem</t>
  </si>
  <si>
    <t>T.sk. Ls 5000 Kauguru kultūras nams metu konkurss</t>
  </si>
  <si>
    <t>Baseina filtru nomaiņa</t>
  </si>
  <si>
    <t>Ķemeru kapličas kapitālais remonts</t>
  </si>
  <si>
    <t>Dubultu tirgus labiekārtošana</t>
  </si>
  <si>
    <t xml:space="preserve">Jaunu solu un atkritumu urnu komplektu izvietošana </t>
  </si>
  <si>
    <t>Dzintaru koncertzāles infrastruktūras uzlabošana</t>
  </si>
  <si>
    <t>Krēslu iegāde koncerzāles vajadzībām</t>
  </si>
  <si>
    <t>Pamatbudžets Ls 172069, kredīts Ls 2481666</t>
  </si>
  <si>
    <t>Ķemeru kūrorta poliklīnikas un sanatorijas attīstība</t>
  </si>
  <si>
    <t>Iedzīvotāju projektu konkurss pašvaldības administratīvajā teritorijā esošas atpūtas infrastrūktūras attīstībai</t>
  </si>
  <si>
    <t>Enerģētikas rīcības plāna izstrāde</t>
  </si>
  <si>
    <t>"Jūrmalas vārtu" izveide</t>
  </si>
  <si>
    <t>Konkursa organizēšana</t>
  </si>
  <si>
    <t>Tehniskās ekspertīzes</t>
  </si>
  <si>
    <t>2013.gadā Tukuma ielā 42 kapitālais remonts</t>
  </si>
  <si>
    <t>Jaunrades parks Kauguros</t>
  </si>
  <si>
    <t>Kultūras nodaļa</t>
  </si>
  <si>
    <t>Kultūras projektu finansējums</t>
  </si>
  <si>
    <t xml:space="preserve">3. </t>
  </si>
  <si>
    <t>Kultūras pasākumi</t>
  </si>
  <si>
    <t>Tautas tērpu iegāde izglītības iestāžu deju kolektīviem un koriem dalībai XI Latvijas skolu jaunatnes dziesmu un deju svētkiem</t>
  </si>
  <si>
    <t>Apdrošināšanas izdevumi</t>
  </si>
  <si>
    <t>Pilsētas kultūras stratēģijas izstrāde</t>
  </si>
  <si>
    <t>Pasaules  koru olimpiādes norise Jūrmalā 2 dienas, 7 kori</t>
  </si>
  <si>
    <t>Izglītības semināri nozares darbiniekiem</t>
  </si>
  <si>
    <t>Trotuāru remonts</t>
  </si>
  <si>
    <t>Projekts "Sociālās integrācijas mehānismi bērniem un jauniešiem ar speciālām vajadzībām"</t>
  </si>
  <si>
    <t>Mārketinga, sabiedrisko attiecību un ārējo sakaru pārvaldes Sabiedrisko attiecību nodaļa</t>
  </si>
  <si>
    <r>
      <t xml:space="preserve">Summa, LVL  </t>
    </r>
    <r>
      <rPr>
        <sz val="8"/>
        <color theme="1"/>
        <rFont val="Times New Roman"/>
        <family val="1"/>
        <charset val="186"/>
      </rPr>
      <t>(1 pasākuma diena)</t>
    </r>
    <r>
      <rPr>
        <sz val="11"/>
        <color theme="1"/>
        <rFont val="Times New Roman"/>
        <family val="1"/>
        <charset val="186"/>
      </rPr>
      <t xml:space="preserve"> (informatīvi)</t>
    </r>
  </si>
  <si>
    <r>
      <t xml:space="preserve">Summa, EUR </t>
    </r>
    <r>
      <rPr>
        <sz val="8"/>
        <color theme="1"/>
        <rFont val="Times New Roman"/>
        <family val="1"/>
        <charset val="186"/>
      </rPr>
      <t>(1 pasākuma diena)</t>
    </r>
  </si>
  <si>
    <t>Starptautiskās Latvijas kūrortu konferences rīkošana, Ārvalstu tūrisma aģentu un žurnālistu, citu delegāciju uzņemšana Jūrmalā</t>
  </si>
  <si>
    <t xml:space="preserve">Ornitoloģiskā izpēte </t>
  </si>
  <si>
    <t>Reprezentācijas izdevumi, u.c.</t>
  </si>
  <si>
    <t>Karjeras attīstības pasākumi</t>
  </si>
  <si>
    <t xml:space="preserve">Projektu pieteikumu sagatavošanas un projektu ieviešanas izmaksas </t>
  </si>
  <si>
    <t>Tehniskās dokumentācijas izstrāde (skiču projekts, mets, vienkāršotās renovācijas projekts, u.tml.)</t>
  </si>
  <si>
    <t>izstrādāt - TEP, u.tml.</t>
  </si>
  <si>
    <t>4.31.1</t>
  </si>
  <si>
    <t>4.31.2</t>
  </si>
  <si>
    <t>4.31.3</t>
  </si>
  <si>
    <t>4.31.4</t>
  </si>
  <si>
    <t>4.31.5</t>
  </si>
  <si>
    <t>4.31.6</t>
  </si>
  <si>
    <t>Koncerti, izrādes, lekcijas, kinoseansi</t>
  </si>
  <si>
    <t>Jūrmalas Kultūras centrs</t>
  </si>
  <si>
    <t>2014.gada budžeta projekta atšifrējums pa budžeta veidiem</t>
  </si>
  <si>
    <t>08.620</t>
  </si>
  <si>
    <t>2013.gada pārejošais finansējums</t>
  </si>
  <si>
    <t>t.sk. žoga izbūve</t>
  </si>
  <si>
    <t>Priekšapamaksa Metrum lokālplānojuma izstrādei, T.sk. Ls 3000 Pumpuru peldbaseina izveidošanai</t>
  </si>
  <si>
    <t>Ls 330300 pamatbudžets, Ls 768300 kredīts, Ls 50000 trotuāru remontam. T.sk. ielu asfalta seguma remonts ielās, kur veikta ūdenssaimniecības projekta II kārta. Kapitālā remonta un rekonstrukcijas izdevumi.</t>
  </si>
  <si>
    <t>4 pasākumu dienas</t>
  </si>
  <si>
    <t>Comedy Club</t>
  </si>
  <si>
    <t xml:space="preserve">Jūrmalas sporta centrs </t>
  </si>
  <si>
    <t>Sporta pasākumi - interešu izglītības programma (regbijs)</t>
  </si>
  <si>
    <t>V.F. 09.510</t>
  </si>
  <si>
    <t>Regbijs</t>
  </si>
  <si>
    <t>Jaunatnes regbija turnīrs ''Together In Jūrmala 2014''</t>
  </si>
  <si>
    <t>Mācību līdzekļi</t>
  </si>
  <si>
    <t>Balvām</t>
  </si>
  <si>
    <t>Balvas</t>
  </si>
  <si>
    <t>Transporta noma sacensību nodrošināšanai</t>
  </si>
  <si>
    <t>Autobusu noma</t>
  </si>
  <si>
    <t>Telpu īre sacensību nodrošināšanai</t>
  </si>
  <si>
    <t>Telpu īre</t>
  </si>
  <si>
    <t>Medikamentu iegādei</t>
  </si>
  <si>
    <t>Reklāmas nodrošināšanai</t>
  </si>
  <si>
    <t>Reklamas izdevumi</t>
  </si>
  <si>
    <t>Sakaru pakalpojumi</t>
  </si>
  <si>
    <t>Latvijas čempionāti regbijā</t>
  </si>
  <si>
    <t>Regbija sacensības</t>
  </si>
  <si>
    <t>Sporta tērpu iegāde</t>
  </si>
  <si>
    <t>Sporta tērpi</t>
  </si>
  <si>
    <t>Sporta pasākumi - profesionālās ievirzes izglītības prorgramma (peldēšana)</t>
  </si>
  <si>
    <t>V.F..09.510</t>
  </si>
  <si>
    <t>Peldēšana</t>
  </si>
  <si>
    <t>Peldēšanas čempionāti</t>
  </si>
  <si>
    <t>Peldēšanas sacensības</t>
  </si>
  <si>
    <t xml:space="preserve">Dalības maksa </t>
  </si>
  <si>
    <t>Federācijas un novadu kausi</t>
  </si>
  <si>
    <t>Sporta nometnes</t>
  </si>
  <si>
    <t>Sporta pasākumi - profesionālās ievirzes izglītības prorgramma (futbols)</t>
  </si>
  <si>
    <t>Futbols</t>
  </si>
  <si>
    <t>Futbola čempionāti</t>
  </si>
  <si>
    <t>Futbola sacensības</t>
  </si>
  <si>
    <t>Sporta pasākumi - bērnu vasaras nometnes</t>
  </si>
  <si>
    <t>Bērnu vasaras nometnes</t>
  </si>
  <si>
    <t>Jūrmalas Sporta skola</t>
  </si>
  <si>
    <t xml:space="preserve">Basketbols. zēni, treneri Ludmila Butāne, Broņislavs Butāns:  4 prof. ievirzes grupas,  60 audzēkņi. </t>
  </si>
  <si>
    <t>Sporta inventārs</t>
  </si>
  <si>
    <t>Bumbas, tīkliņi</t>
  </si>
  <si>
    <t xml:space="preserve">1.2. </t>
  </si>
  <si>
    <t xml:space="preserve">Biedru nauda, licences, dalības maksa sacensības  </t>
  </si>
  <si>
    <t>2 izbraukuma nometnes</t>
  </si>
  <si>
    <t>2  reizes x 30 dal.</t>
  </si>
  <si>
    <t>Transporta noma</t>
  </si>
  <si>
    <t>9 reizes , 74 st.x 15,-</t>
  </si>
  <si>
    <t xml:space="preserve">1.5. </t>
  </si>
  <si>
    <t>JPD autobuss</t>
  </si>
  <si>
    <t>1180 km</t>
  </si>
  <si>
    <t>Sporta terpi</t>
  </si>
  <si>
    <t>Spēļu formas 15 x 25,00Ls</t>
  </si>
  <si>
    <t>ēdināšana 2 reizes x50dal.x7 dienas</t>
  </si>
  <si>
    <t>Austrumeiropas basketbola līga</t>
  </si>
  <si>
    <t>licences, drošibas nauda</t>
  </si>
  <si>
    <t>transporta noma</t>
  </si>
  <si>
    <t>Basketbols.  zēni, treneris Mārtiņš Liepa: 2 prof. ievirzes grupas, 1 interešu izgl., 39 audzēkņi.</t>
  </si>
  <si>
    <t>Sporta inventārs :</t>
  </si>
  <si>
    <t xml:space="preserve">Bumbas un tīkliņi </t>
  </si>
  <si>
    <t>1 izbraukuma nometne</t>
  </si>
  <si>
    <t>30 dalibn.</t>
  </si>
  <si>
    <t xml:space="preserve"> 4 reizes, 36 st. x 15,-</t>
  </si>
  <si>
    <t xml:space="preserve">JPD autobuss </t>
  </si>
  <si>
    <t>km.- 2380 km.</t>
  </si>
  <si>
    <t>3.</t>
  </si>
  <si>
    <t>Basketbols.  meitenes , treneris Andris Steļmahs: 2 prof. ievirzes grupas, 31 audzēkne.</t>
  </si>
  <si>
    <t>Dalības maksa:</t>
  </si>
  <si>
    <t>Biedru nauda, licences.</t>
  </si>
  <si>
    <t xml:space="preserve">Bumbas, tīkliņi </t>
  </si>
  <si>
    <t>3 izbraukuma nometnes</t>
  </si>
  <si>
    <t xml:space="preserve">1 x 30dal. , 2 x 15.dal. </t>
  </si>
  <si>
    <t xml:space="preserve"> 3 reizes, 28 st. x Ls 15,-</t>
  </si>
  <si>
    <t>3.6.</t>
  </si>
  <si>
    <t>km. 3330 km</t>
  </si>
  <si>
    <t>3.7.</t>
  </si>
  <si>
    <t>14 dalībniekiem</t>
  </si>
  <si>
    <t>3.8.</t>
  </si>
  <si>
    <t>Austrumeiripas meiteņu basketbola Līga. Trešais posms. JPD protokols Nr. 1.1-62/3</t>
  </si>
  <si>
    <t>Transporta biļetes, Apdrošināšanas izdevumi, Vīzas. 14 cilv.</t>
  </si>
  <si>
    <t>Austrumeiripas meiteņu basketbola Līga. 2014.-2016.gadu projekts. 1. posms</t>
  </si>
  <si>
    <t>Sporta formas 14cilv.x 50LVL</t>
  </si>
  <si>
    <t xml:space="preserve"> </t>
  </si>
  <si>
    <t>Drošības nauda. Sezonas beigās tiek atmaksāta</t>
  </si>
  <si>
    <t>2 izbraukumi. Transporta biļetes, Apdrošināšanas izdevumi. 14 cilv. X 40,00Ls x 2 reizes</t>
  </si>
  <si>
    <t>3.9.</t>
  </si>
  <si>
    <t>Braucienu izdevumi</t>
  </si>
  <si>
    <t>Vienīcas izdevumi</t>
  </si>
  <si>
    <t>4.</t>
  </si>
  <si>
    <t>Basketbols.  meitenes , trenere Andra Strautiņa: 3 prof. ievirzes grupas, 44 audzēknes</t>
  </si>
  <si>
    <t>Biedru nauda, licences</t>
  </si>
  <si>
    <t xml:space="preserve"> Bumbas </t>
  </si>
  <si>
    <t xml:space="preserve">Spēļu formas </t>
  </si>
  <si>
    <t xml:space="preserve">Telpu noma </t>
  </si>
  <si>
    <t>Telpu noma LČ finālsacensībām: 15 dal x 2 d. x Ls 8,-)</t>
  </si>
  <si>
    <t xml:space="preserve">2 x 30 dal. </t>
  </si>
  <si>
    <t xml:space="preserve">4.6. </t>
  </si>
  <si>
    <t xml:space="preserve">Transporta noma </t>
  </si>
  <si>
    <t>2 reizes , 16 st.x Ls 15,00</t>
  </si>
  <si>
    <t xml:space="preserve">4.7. </t>
  </si>
  <si>
    <t xml:space="preserve">JPD Autobuss </t>
  </si>
  <si>
    <t xml:space="preserve">Autobuss km.3330 </t>
  </si>
  <si>
    <t>5.</t>
  </si>
  <si>
    <t>Burāšana, treneri Ināra Aile un Juris Ailis : 4 prof. ievirzes grupas, 39 audzēknes</t>
  </si>
  <si>
    <t>PL</t>
  </si>
  <si>
    <t xml:space="preserve">Laiva Optimist </t>
  </si>
  <si>
    <t xml:space="preserve">Burāšanas vējjakas un t-krekli </t>
  </si>
  <si>
    <t>Burāšanas glābšanas vestes</t>
  </si>
  <si>
    <t>6.</t>
  </si>
  <si>
    <t>Handbols, treneri Māris Meiers, Juris Moisejevs: 4 prof. ievirzes grupas, 47 audzēkņi.</t>
  </si>
  <si>
    <t xml:space="preserve">Sporta inventārs </t>
  </si>
  <si>
    <t xml:space="preserve">Bumbas </t>
  </si>
  <si>
    <t>Nometne</t>
  </si>
  <si>
    <t>1 dienas nometne , 25 dal.</t>
  </si>
  <si>
    <t>16 reizes, 142 st x Ls 15,00</t>
  </si>
  <si>
    <t>Hokejs, treneri Eduards Ivanovs, Edgars Lipsbergs, Edmunds Vasiļjevs: 4 prof. ievirzes grupas, 56 audzēkņi.</t>
  </si>
  <si>
    <t xml:space="preserve">Dalības maksa: biedru nauda </t>
  </si>
  <si>
    <t>Spēļu formas un getras (25 x 40,00Ls)</t>
  </si>
  <si>
    <t xml:space="preserve">7.3. </t>
  </si>
  <si>
    <t xml:space="preserve"> JPD Autobuss </t>
  </si>
  <si>
    <t xml:space="preserve"> km 3450 </t>
  </si>
  <si>
    <t xml:space="preserve">7.4. </t>
  </si>
  <si>
    <t>Krekli,getras</t>
  </si>
  <si>
    <t xml:space="preserve">7.5. </t>
  </si>
  <si>
    <t>Licences</t>
  </si>
  <si>
    <t>LHF licences</t>
  </si>
  <si>
    <t xml:space="preserve">7.6. </t>
  </si>
  <si>
    <t>Ledus laukuma īre</t>
  </si>
  <si>
    <t>8.</t>
  </si>
  <si>
    <t>Mākslas vingrošana, treneri Natālija Maculēviča, Ilvija Japuņa, Zoja Stepanova, Tatjana Petrova, Olga Timofejeva, Daiga Liepiņa: 11 prof. ievirzes grupas, 98 audzēkņi.</t>
  </si>
  <si>
    <t>Sporta formas un sporta apavi.</t>
  </si>
  <si>
    <t>Sporta Inventārs</t>
  </si>
  <si>
    <t>Vingrošana apļi, vāles.</t>
  </si>
  <si>
    <t>Mākslas vingrošanas paklāja celiņš</t>
  </si>
  <si>
    <t>Inventārs</t>
  </si>
  <si>
    <t>Magnetofoni treniņiem 2 x 75,-</t>
  </si>
  <si>
    <t>Telpu noma LČ sacensībām ( 15 dalibn.x 2 d. x Ls 8 ,-)</t>
  </si>
  <si>
    <t xml:space="preserve">1 izbraukuma nometne 30 dal. </t>
  </si>
  <si>
    <t xml:space="preserve">8.8. </t>
  </si>
  <si>
    <t>Dienas nometne</t>
  </si>
  <si>
    <t>2 dienas nometnes : 1.- 30 dal, 1-25 dal.</t>
  </si>
  <si>
    <t xml:space="preserve"> 5 reizes, 52 st x 15,-</t>
  </si>
  <si>
    <t>Dalībai Starptautiskajās sacensībās mākslas vigrošanā Dublinā</t>
  </si>
  <si>
    <t>Brauciena izdevumi</t>
  </si>
  <si>
    <t>9.</t>
  </si>
  <si>
    <t>Teniss , treneri Zaiga Ivanova, Nils Ivanovs: 2 prof. ievirzes grupas, 16 audzēkņi.</t>
  </si>
  <si>
    <t xml:space="preserve">Tenisa bumbas </t>
  </si>
  <si>
    <t>Tenisa laukumu noma: (12 mēn x 1015,-)</t>
  </si>
  <si>
    <t>10.</t>
  </si>
  <si>
    <t>Vieglatlētika, treneri Andis Austrups, Adrija Muša, Anatolijs Titovs, Jeļena Titova: 8 prof. ievirzes grupas, 82 audzēkņi.</t>
  </si>
  <si>
    <t>Biedru nauda un licences</t>
  </si>
  <si>
    <t>barjeras</t>
  </si>
  <si>
    <t xml:space="preserve">Sporta tērpi: </t>
  </si>
  <si>
    <t>Sporta formas un sporta apavi</t>
  </si>
  <si>
    <t>10.4.</t>
  </si>
  <si>
    <t>Sporta manēžas īre: 6 mēn. x Ls 357,-</t>
  </si>
  <si>
    <t>10.5.</t>
  </si>
  <si>
    <t xml:space="preserve">Dienas nometne: </t>
  </si>
  <si>
    <t>30 dal .</t>
  </si>
  <si>
    <t>10.6.</t>
  </si>
  <si>
    <t>Mācību nometnes</t>
  </si>
  <si>
    <t xml:space="preserve"> Mācību – treniņu nometnes LR izlases, jaunatnes izlases un ASM grupas audz. 4 nomenes: 1 dienas – 10 audz., 3 izbraukuma – 3 x 10 audz.</t>
  </si>
  <si>
    <t>10.7.</t>
  </si>
  <si>
    <t>Transporta noma: 4 reizes , 40 st. x 15,-</t>
  </si>
  <si>
    <t>11.</t>
  </si>
  <si>
    <t>Volejbols, Aleksandra Tihovska: 2 prof. ievirzes grupas, 32 audzēkņi.</t>
  </si>
  <si>
    <t>Transporta noma, 9 reizes, 88 stundas x Ls15,-</t>
  </si>
  <si>
    <t>Murjāņu sporta ģimnāzija</t>
  </si>
  <si>
    <t>10000m²</t>
  </si>
  <si>
    <t>100m</t>
  </si>
  <si>
    <r>
      <t>1500m</t>
    </r>
    <r>
      <rPr>
        <sz val="9"/>
        <rFont val="Calibri"/>
        <family val="2"/>
        <charset val="186"/>
      </rPr>
      <t>²</t>
    </r>
  </si>
  <si>
    <r>
      <t>25000m</t>
    </r>
    <r>
      <rPr>
        <sz val="9"/>
        <rFont val="Calibri"/>
        <family val="2"/>
        <charset val="186"/>
      </rPr>
      <t>²</t>
    </r>
  </si>
  <si>
    <r>
      <t>2500m</t>
    </r>
    <r>
      <rPr>
        <sz val="9"/>
        <rFont val="Calibri"/>
        <family val="2"/>
        <charset val="186"/>
      </rPr>
      <t>²</t>
    </r>
  </si>
  <si>
    <r>
      <t xml:space="preserve">10500m </t>
    </r>
    <r>
      <rPr>
        <sz val="9"/>
        <rFont val="Calibri"/>
        <family val="2"/>
        <charset val="186"/>
      </rPr>
      <t>²</t>
    </r>
  </si>
  <si>
    <t>Starptautisko projektu līdzfinansēšanai</t>
  </si>
  <si>
    <t>Tūrisma nodaļa</t>
  </si>
  <si>
    <t>2014.gads stiprināts plāns (EUR)</t>
  </si>
  <si>
    <t>2014.gada stiprināts plāns (EUR)</t>
  </si>
  <si>
    <t>2014.gada stiprinātais plāns (EUR)</t>
  </si>
  <si>
    <t>topogrāfiskā uzmērīšana (MK 27.12. 2011. noteikumi Nr.1032)</t>
  </si>
  <si>
    <t>Pilsētsaimniecības pārvaldes Pilsētsaimniecības un labiekārtošanas nodaļa</t>
  </si>
  <si>
    <t>Iepirkums  ''Par pakalpojumu sniegšanu mobilajā atkarību profilakses punktā un atkarību centrā Jūrmalas pilsētā'' - publisko iepirkumu līgums ar biedrību ''Vecāki Jūrmalai'' līdz 2013.gada 31.martam, no 2013.gada 1.aprīļa ar ______( Ls 735 mēnesī).</t>
  </si>
  <si>
    <t>Kopā finansējums pa programmām :</t>
  </si>
  <si>
    <t>Kopā finansējums pa programmām:</t>
  </si>
  <si>
    <t xml:space="preserve"> LČ finālsacensībām: 15 dal x 2 d. x Ls 8,-), Lapmežciema sporta zāles īre sagat. posmam finālsacensībām  ( 35 st. x Ls 11,-)</t>
  </si>
  <si>
    <t>Finansējums pa sporta veidiem</t>
  </si>
  <si>
    <t>Pašvaldības budžets 2014.g.              kopā (euro)</t>
  </si>
  <si>
    <t xml:space="preserve">Vienas dienas uzturēšanās izmaksas 2014.g.  no pašvaldības budžeta </t>
  </si>
  <si>
    <r>
      <t xml:space="preserve">Sociālās aprūpes nodaļa </t>
    </r>
    <r>
      <rPr>
        <sz val="9"/>
        <rFont val="Times New Roman"/>
        <family val="1"/>
        <charset val="186"/>
      </rPr>
      <t>(latos)</t>
    </r>
  </si>
  <si>
    <r>
      <t xml:space="preserve">Sociālās aprūpes nodaļa </t>
    </r>
    <r>
      <rPr>
        <sz val="9"/>
        <rFont val="Times New Roman"/>
        <family val="1"/>
        <charset val="186"/>
      </rPr>
      <t>(euro)</t>
    </r>
  </si>
  <si>
    <r>
      <t xml:space="preserve">Sociālās aprūpes un sociālās rehabilitācijas nodaļa </t>
    </r>
    <r>
      <rPr>
        <sz val="9"/>
        <rFont val="Times New Roman"/>
        <family val="1"/>
        <charset val="186"/>
      </rPr>
      <t>(latos)</t>
    </r>
  </si>
  <si>
    <r>
      <t xml:space="preserve">Sociālās aprūpes un sociālās rehabilitācijas nodaļa </t>
    </r>
    <r>
      <rPr>
        <sz val="9"/>
        <rFont val="Times New Roman"/>
        <family val="1"/>
        <charset val="186"/>
      </rPr>
      <t>(euro)</t>
    </r>
  </si>
  <si>
    <r>
      <t xml:space="preserve">Veselības aprūpes nodaļa </t>
    </r>
    <r>
      <rPr>
        <sz val="9"/>
        <rFont val="Times New Roman"/>
        <family val="1"/>
        <charset val="186"/>
      </rPr>
      <t>(latos)</t>
    </r>
  </si>
  <si>
    <r>
      <t xml:space="preserve">Veselības aprūpes nodaļa </t>
    </r>
    <r>
      <rPr>
        <sz val="9"/>
        <rFont val="Times New Roman"/>
        <family val="1"/>
        <charset val="186"/>
      </rPr>
      <t>(euro)</t>
    </r>
  </si>
  <si>
    <t>Būvniecība</t>
  </si>
  <si>
    <t>KOPĀ :</t>
  </si>
  <si>
    <t>14.pielikums apstiprināts ar Jūrmalas pilsētas domes 
2013.gada 27.decembra saistošajiem noteikumiem Nr.77
 (protokols Nr. 31, 7.punkts)</t>
  </si>
  <si>
    <t xml:space="preserve"> 19.pielikums apstiprināts ar Jūrmalas pilsētas domes 
2013.gada 27.decembra saistošajiem noteikumiem Nr. 77
(protokols Nr.31, 7.punkts)</t>
  </si>
  <si>
    <t xml:space="preserve"> 24.pielikums apstiprināts ar Jūrmalas pilsētas domes
2013.gada 27.decembra saistošajiem noteikumiem Nr. 77 
(protokols Nr.31, 7.punkts)</t>
  </si>
  <si>
    <t>25.pielikums apstiprināts ar Jūrmalas pilsētas domes
2013.gada 27.decembra saistošajiem noteikumiem Nr. 77 
(protokols Nr.31, 7.punkts)</t>
  </si>
  <si>
    <t>26.pielikums apstiprināts ar Jūrmalas pilsētas domes
2013.gada 27.decembra  saistošajiem noteikumiem Nr. 77
(protokols Nr.31, 7.punkts)</t>
  </si>
  <si>
    <t xml:space="preserve"> 3.pielikums  apstiprināts ar Jūrmalas pilsētas domes
 2013.gada 27.decembra saistošajiem noteikumiem Nr.77
 (protokols Nr.31, 7.punkts)</t>
  </si>
  <si>
    <t>4.pielikums  apstiprināts ar Jūrmalas pilsētas domes
 2013.gada 27.decembra saistošajiem noteikumiem Nr.77
 (protokols Nr.31, 7.punkts)</t>
  </si>
  <si>
    <t>5.pielikums  apstiprināts ar Jūrmalas pilsētas domes
 2013.gada 27.decembra saistošajiem noteikumiem Nr.77
 (protokols Nr.31, 7.punkts)</t>
  </si>
  <si>
    <t>6.pielikums  apstiprināts ar Jūrmalas pilsētas domes
 2013.gada 27.decembra saistošajiem noteikumiem Nr.77
 (protokols Nr.31, 7.punkts)</t>
  </si>
  <si>
    <t>7.pielikums  apstiprināts ar Jūrmalas pilsētas domes
 2013.gada 27.decembra saistošajiem noteikumiem Nr.77
 (protokols Nr.31, 7.punkts)</t>
  </si>
  <si>
    <t>8.pielikums  apstiprināts ar Jūrmalas pilsētas domes
 2013.gada 27.decembra saistošajiem noteikumiem Nr.77
 (protokols Nr.31, 7.punkts)</t>
  </si>
  <si>
    <t>9.pielikums  apstiprināts ar Jūrmalas pilsētas domes
 2013.gada 27.decembra saistošajiem noteikumiem Nr.77
 (protokols Nr.31, 7.punkts)</t>
  </si>
  <si>
    <t>10.pielikums  apstiprināts ar Jūrmalas pilsētas domes
 2013.gada 27.decembra saistošajiem noteikumiem Nr.77
 (protokols Nr.31, 7.punkts)</t>
  </si>
  <si>
    <t>11.pielikums  apstiprināts ar Jūrmalas pilsētas domes
 2013.gada 27.decembra saistošajiem noteikumiem Nr.77
 (protokols Nr.31, 7.punkts)</t>
  </si>
  <si>
    <t>12.pielikums  apstiprināts ar Jūrmalas pilsētas domes
 2013.gada 27.decembra saistošajiem noteikumiem Nr.77
 (protokols Nr.31, 7.punkts)</t>
  </si>
  <si>
    <t>13.pielikums apstiprināts ar  Jūrmalas pilsētas domes
 2013.gada 27.decembra saistošajiem noteikumiem Nr.77
 (protokols Nr.31, 7.punkts)</t>
  </si>
  <si>
    <t>lode</t>
  </si>
  <si>
    <t>15.pielikums  apstiprināts ar Jūrmalas pilsētas domes
 2013.gada 27.decembra saistošajiem noteikumiem Nr.77
 (protokols Nr.31, 7.punkts)</t>
  </si>
  <si>
    <t>16.pielikums apstiprināts ar Jūrmalas pilsētas domes 2013.gada 27.decembra saistošajiem noteikumiem Nr.77 
(protokols Nr.31, 7.punkts)</t>
  </si>
  <si>
    <t>17.pielikums apstiprināts ar Jūrmalas pilsētas domes 2013.gada 27.decembra saistošajiem noteikumiem Nr.77 
(protokols Nr.31, 7.punkts)</t>
  </si>
  <si>
    <t>18.pielikums apstiprināts ar Jūrmalas pilsētas domes 2013.gada 27.decembra saistošajiem noteikumiem Nr.77 
(protokols Nr.31, 7.punkts)</t>
  </si>
  <si>
    <t xml:space="preserve"> 20.pielikums apstiprināts ar Jūrmalas pilsētas domes
2013.gada 27.decembra saistošajiem noteikumiem Nr. 77
(protoklos Nr.31, 7.punkts)</t>
  </si>
  <si>
    <t xml:space="preserve"> 21.pielikums apstiprināts ar Jūrmalas pilsētas domes
2013.gada 27.decembra saistošajiem noteikumiem Nr. 77
(protoklos Nr.31, 7.punkts)</t>
  </si>
  <si>
    <t>22.pielikums apstiprināts ar Jūrmalas pilsētas domes
2013.gada 27.decembra saistošajiem noteikumiem Nr. 77 
(protokols Nr.31, 7.punkts)</t>
  </si>
  <si>
    <t>23.pielikums apstiprināts ar Jūrmalas pilsētas domes
2013.gada 27.decembra saistošajiem noteikumiem Nr. 77 
(protokols Nr.31, 7.punkts)</t>
  </si>
  <si>
    <t>27.pielikums apstiprināts ar Jūrmalas pilsētas domes
2013.gada 27.decembra  saistošajiem noteikumiem Nr. 77
(protokols Nr.31, 7.punkts)</t>
  </si>
  <si>
    <t>28.pielikums apstiprināts ar Jūrmalas pilsētas domes
2013.gada 27.decembra  saistošajiem noteikumiem Nr. 77
(protokols Nr.31, 7.punkts)</t>
  </si>
  <si>
    <t>29.pielikums apstiprināts ar Jūrmalas pilsētas domes
2013.gada 27.decembra  saistošajiem noteikumiem Nr. 77
(protokols Nr.31, 7.punkts)</t>
  </si>
  <si>
    <t>30.pielikums apstiprināts ar Jūrmalas pilsētas domes
2013.gada 27.decembra saistošajiem noteikumiem Nr.77 
(protokols Nr.31, 7.punkts)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</si>
</sst>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4" formatCode="_-&quot;Ls&quot;\ * #,##0.00_-;\-&quot;Ls&quot;\ * #,##0.00_-;_-&quot;Ls&quot;\ * &quot;-&quot;??_-;_-@_-"/>
    <numFmt numFmtId="43" formatCode="_-* #,##0.00_-;\-* #,##0.00_-;_-* &quot;-&quot;??_-;_-@_-"/>
    <numFmt numFmtId="164" formatCode="0.000"/>
    <numFmt numFmtId="165" formatCode="#,##0.000"/>
    <numFmt numFmtId="166" formatCode="_-* #,##0_-;\-* #,##0_-;_-* &quot;-&quot;??_-;_-@_-"/>
    <numFmt numFmtId="167" formatCode="#,##0_ ;[Red]\-#,##0\ "/>
    <numFmt numFmtId="168" formatCode="#,##0.00_ ;[Red]\-#,##0.00\ "/>
    <numFmt numFmtId="169" formatCode="#,##0.0_ ;[Red]\-#,##0.0\ "/>
    <numFmt numFmtId="170" formatCode="#,##0_ ;\-#,##0\ "/>
    <numFmt numFmtId="171" formatCode="0.0"/>
  </numFmts>
  <fonts count="59" x14ac:knownFonts="1">
    <font>
      <sz val="11"/>
      <color theme="1"/>
      <name val="Calibri"/>
      <family val="2"/>
      <charset val="186"/>
      <scheme val="minor"/>
    </font>
    <font>
      <sz val="11"/>
      <color theme="1"/>
      <name val="Calibri"/>
      <family val="2"/>
      <charset val="186"/>
      <scheme val="minor"/>
    </font>
    <font>
      <sz val="10"/>
      <name val="Arial"/>
      <family val="2"/>
      <charset val="186"/>
    </font>
    <font>
      <sz val="11"/>
      <name val="Calibri"/>
      <family val="2"/>
    </font>
    <font>
      <sz val="10"/>
      <name val="Times New Roman"/>
      <family val="1"/>
      <charset val="186"/>
    </font>
    <font>
      <b/>
      <sz val="11"/>
      <name val="Times New Roman"/>
      <family val="1"/>
      <charset val="186"/>
    </font>
    <font>
      <sz val="12"/>
      <name val="Times New Roman"/>
      <family val="1"/>
      <charset val="186"/>
    </font>
    <font>
      <b/>
      <sz val="10"/>
      <name val="Arial"/>
      <family val="2"/>
      <charset val="186"/>
    </font>
    <font>
      <b/>
      <sz val="12"/>
      <name val="Times New Roman"/>
      <family val="1"/>
      <charset val="186"/>
    </font>
    <font>
      <b/>
      <sz val="10"/>
      <name val="Times New Roman"/>
      <family val="1"/>
      <charset val="186"/>
    </font>
    <font>
      <b/>
      <sz val="14"/>
      <name val="Times New Roman"/>
      <family val="1"/>
      <charset val="186"/>
    </font>
    <font>
      <sz val="11"/>
      <name val="Times New Roman"/>
      <family val="1"/>
      <charset val="186"/>
    </font>
    <font>
      <sz val="8"/>
      <name val="Times New Roman"/>
      <family val="1"/>
      <charset val="186"/>
    </font>
    <font>
      <i/>
      <sz val="10"/>
      <name val="Times New Roman"/>
      <family val="1"/>
      <charset val="186"/>
    </font>
    <font>
      <sz val="9"/>
      <name val="Times New Roman"/>
      <family val="1"/>
      <charset val="186"/>
    </font>
    <font>
      <b/>
      <sz val="9"/>
      <name val="Times New Roman"/>
      <family val="1"/>
      <charset val="186"/>
    </font>
    <font>
      <sz val="9"/>
      <name val="Calibri"/>
      <family val="2"/>
      <charset val="186"/>
    </font>
    <font>
      <sz val="9"/>
      <color theme="1"/>
      <name val="Times New Roman"/>
      <family val="2"/>
      <charset val="186"/>
    </font>
    <font>
      <u/>
      <sz val="10"/>
      <color indexed="12"/>
      <name val="Arial"/>
      <family val="2"/>
      <charset val="186"/>
    </font>
    <font>
      <sz val="11"/>
      <color theme="1"/>
      <name val="Calibri"/>
      <family val="2"/>
      <scheme val="minor"/>
    </font>
    <font>
      <sz val="6"/>
      <name val="Times New Roman"/>
      <family val="1"/>
      <charset val="186"/>
    </font>
    <font>
      <sz val="11"/>
      <color rgb="FFFF0000"/>
      <name val="Calibri"/>
      <family val="2"/>
      <charset val="186"/>
      <scheme val="minor"/>
    </font>
    <font>
      <sz val="10"/>
      <name val="Arial"/>
      <family val="2"/>
      <charset val="186"/>
    </font>
    <font>
      <i/>
      <sz val="12"/>
      <name val="Times New Roman"/>
      <family val="1"/>
      <charset val="186"/>
    </font>
    <font>
      <b/>
      <i/>
      <sz val="12"/>
      <name val="Times New Roman"/>
      <family val="1"/>
      <charset val="186"/>
    </font>
    <font>
      <b/>
      <sz val="8"/>
      <name val="Times New Roman"/>
      <family val="1"/>
      <charset val="186"/>
    </font>
    <font>
      <sz val="9"/>
      <color theme="1"/>
      <name val="Times New Roman"/>
      <family val="1"/>
      <charset val="186"/>
    </font>
    <font>
      <b/>
      <sz val="9"/>
      <color theme="1"/>
      <name val="Times New Roman"/>
      <family val="1"/>
      <charset val="186"/>
    </font>
    <font>
      <b/>
      <sz val="9"/>
      <color indexed="8"/>
      <name val="Times New Roman"/>
      <family val="1"/>
      <charset val="186"/>
    </font>
    <font>
      <sz val="9"/>
      <color indexed="8"/>
      <name val="Times New Roman"/>
      <family val="1"/>
      <charset val="186"/>
    </font>
    <font>
      <sz val="8"/>
      <color indexed="8"/>
      <name val="Times New Roman"/>
      <family val="1"/>
      <charset val="186"/>
    </font>
    <font>
      <b/>
      <sz val="9"/>
      <color rgb="FFFF0000"/>
      <name val="Times New Roman"/>
      <family val="1"/>
      <charset val="186"/>
    </font>
    <font>
      <sz val="9"/>
      <color rgb="FFFF0000"/>
      <name val="Times New Roman"/>
      <family val="1"/>
      <charset val="186"/>
    </font>
    <font>
      <i/>
      <sz val="9"/>
      <name val="Times New Roman"/>
      <family val="1"/>
      <charset val="186"/>
    </font>
    <font>
      <i/>
      <sz val="9"/>
      <color rgb="FFFF0000"/>
      <name val="Times New Roman"/>
      <family val="1"/>
      <charset val="186"/>
    </font>
    <font>
      <sz val="12"/>
      <name val="Arial"/>
      <family val="2"/>
      <charset val="186"/>
    </font>
    <font>
      <b/>
      <sz val="12"/>
      <name val="Arial"/>
      <family val="2"/>
      <charset val="186"/>
    </font>
    <font>
      <sz val="10"/>
      <color rgb="FF00B0F0"/>
      <name val="Times New Roman"/>
      <family val="1"/>
      <charset val="186"/>
    </font>
    <font>
      <sz val="12"/>
      <color rgb="FF00B0F0"/>
      <name val="Times New Roman"/>
      <family val="1"/>
      <charset val="186"/>
    </font>
    <font>
      <sz val="9"/>
      <name val="Arial"/>
      <family val="2"/>
      <charset val="186"/>
    </font>
    <font>
      <u/>
      <sz val="10"/>
      <color theme="10"/>
      <name val="Arial"/>
      <family val="2"/>
      <charset val="186"/>
    </font>
    <font>
      <u/>
      <sz val="8"/>
      <color theme="10"/>
      <name val="Arial"/>
      <family val="2"/>
      <charset val="186"/>
    </font>
    <font>
      <b/>
      <i/>
      <sz val="9"/>
      <name val="Times New Roman"/>
      <family val="1"/>
      <charset val="186"/>
    </font>
    <font>
      <sz val="11"/>
      <color indexed="8"/>
      <name val="Calibri"/>
      <family val="2"/>
      <charset val="186"/>
    </font>
    <font>
      <sz val="10"/>
      <name val="Arial"/>
      <family val="2"/>
      <charset val="186"/>
    </font>
    <font>
      <b/>
      <sz val="9"/>
      <color rgb="FFC00000"/>
      <name val="Times New Roman"/>
      <family val="1"/>
      <charset val="186"/>
    </font>
    <font>
      <b/>
      <sz val="9"/>
      <color theme="3" tint="0.39997558519241921"/>
      <name val="Times New Roman"/>
      <family val="1"/>
      <charset val="186"/>
    </font>
    <font>
      <b/>
      <sz val="9"/>
      <color theme="4"/>
      <name val="Times New Roman"/>
      <family val="1"/>
      <charset val="186"/>
    </font>
    <font>
      <b/>
      <sz val="12"/>
      <color theme="1"/>
      <name val="Times New Roman"/>
      <family val="1"/>
      <charset val="186"/>
    </font>
    <font>
      <sz val="12"/>
      <color theme="1"/>
      <name val="Times New Roman"/>
      <family val="1"/>
      <charset val="186"/>
    </font>
    <font>
      <sz val="11"/>
      <color theme="1"/>
      <name val="Times New Roman"/>
      <family val="1"/>
      <charset val="186"/>
    </font>
    <font>
      <b/>
      <sz val="11"/>
      <color theme="1"/>
      <name val="Times New Roman"/>
      <family val="1"/>
      <charset val="186"/>
    </font>
    <font>
      <u/>
      <sz val="9"/>
      <color theme="1"/>
      <name val="Times New Roman"/>
      <family val="1"/>
      <charset val="186"/>
    </font>
    <font>
      <u/>
      <sz val="9"/>
      <name val="Times New Roman"/>
      <family val="2"/>
      <charset val="186"/>
    </font>
    <font>
      <sz val="10"/>
      <color theme="7" tint="-0.249977111117893"/>
      <name val="Times New Roman"/>
      <family val="1"/>
      <charset val="186"/>
    </font>
    <font>
      <sz val="10"/>
      <name val="Arial"/>
      <family val="2"/>
      <charset val="186"/>
    </font>
    <font>
      <b/>
      <sz val="9"/>
      <color rgb="FF7030A0"/>
      <name val="Times New Roman"/>
      <family val="1"/>
      <charset val="186"/>
    </font>
    <font>
      <sz val="8"/>
      <color theme="1"/>
      <name val="Times New Roman"/>
      <family val="1"/>
      <charset val="186"/>
    </font>
    <font>
      <sz val="10"/>
      <name val="Arial"/>
      <family val="2"/>
      <charset val="186"/>
    </font>
  </fonts>
  <fills count="1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4" tint="0.39997558519241921"/>
        <bgColor indexed="64"/>
      </patternFill>
    </fill>
    <fill>
      <patternFill patternType="solid">
        <fgColor indexed="9"/>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6" tint="0.39997558519241921"/>
        <bgColor indexed="64"/>
      </patternFill>
    </fill>
  </fills>
  <borders count="80">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hair">
        <color indexed="64"/>
      </bottom>
      <diagonal/>
    </border>
    <border>
      <left style="thin">
        <color indexed="64"/>
      </left>
      <right/>
      <top/>
      <bottom/>
      <diagonal/>
    </border>
    <border>
      <left style="hair">
        <color indexed="64"/>
      </left>
      <right style="hair">
        <color indexed="64"/>
      </right>
      <top/>
      <bottom/>
      <diagonal/>
    </border>
    <border>
      <left style="hair">
        <color indexed="64"/>
      </left>
      <right style="thin">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thin">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35">
    <xf numFmtId="0" fontId="0" fillId="0" borderId="0"/>
    <xf numFmtId="0" fontId="2" fillId="0" borderId="0"/>
    <xf numFmtId="0" fontId="1" fillId="0" borderId="0"/>
    <xf numFmtId="0" fontId="2" fillId="0" borderId="0"/>
    <xf numFmtId="0" fontId="2" fillId="0" borderId="0"/>
    <xf numFmtId="43"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0" fontId="18" fillId="0" borderId="0" applyNumberFormat="0" applyFill="0" applyBorder="0" applyAlignment="0" applyProtection="0">
      <alignment vertical="top"/>
      <protection locked="0"/>
    </xf>
    <xf numFmtId="0" fontId="2" fillId="0" borderId="0"/>
    <xf numFmtId="0" fontId="19" fillId="0" borderId="0"/>
    <xf numFmtId="0" fontId="2" fillId="0" borderId="0"/>
    <xf numFmtId="0" fontId="1" fillId="0" borderId="0"/>
    <xf numFmtId="0" fontId="1" fillId="0" borderId="0"/>
    <xf numFmtId="0" fontId="19" fillId="0" borderId="0"/>
    <xf numFmtId="0" fontId="2" fillId="0" borderId="0"/>
    <xf numFmtId="0" fontId="2" fillId="0" borderId="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2" fillId="0" borderId="0"/>
    <xf numFmtId="43" fontId="1" fillId="0" borderId="0" applyFont="0" applyFill="0" applyBorder="0" applyAlignment="0" applyProtection="0"/>
    <xf numFmtId="0" fontId="17"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9" fillId="0" borderId="0"/>
    <xf numFmtId="0" fontId="1" fillId="0" borderId="0"/>
    <xf numFmtId="0" fontId="40" fillId="0" borderId="0" applyNumberFormat="0" applyFill="0" applyBorder="0" applyAlignment="0" applyProtection="0"/>
    <xf numFmtId="0" fontId="43" fillId="0" borderId="0"/>
    <xf numFmtId="0" fontId="44" fillId="0" borderId="0"/>
    <xf numFmtId="0" fontId="55" fillId="0" borderId="0"/>
    <xf numFmtId="0" fontId="58" fillId="0" borderId="0"/>
  </cellStyleXfs>
  <cellXfs count="2473">
    <xf numFmtId="0" fontId="0" fillId="0" borderId="0" xfId="0"/>
    <xf numFmtId="49" fontId="3" fillId="0" borderId="0" xfId="1" applyNumberFormat="1" applyFont="1" applyFill="1" applyAlignment="1">
      <alignment horizontal="right"/>
    </xf>
    <xf numFmtId="0" fontId="3" fillId="0" borderId="0" xfId="1" applyFont="1" applyFill="1"/>
    <xf numFmtId="0" fontId="3" fillId="0" borderId="0" xfId="1" applyFont="1" applyFill="1" applyAlignment="1">
      <alignment horizontal="right"/>
    </xf>
    <xf numFmtId="0" fontId="4" fillId="0" borderId="0" xfId="1" applyFont="1" applyFill="1"/>
    <xf numFmtId="0" fontId="2" fillId="0" borderId="0" xfId="1" applyFont="1"/>
    <xf numFmtId="0" fontId="4" fillId="0" borderId="0" xfId="1" applyFont="1" applyFill="1" applyAlignment="1">
      <alignment horizontal="right"/>
    </xf>
    <xf numFmtId="0" fontId="6" fillId="0" borderId="0" xfId="1" applyFont="1" applyFill="1"/>
    <xf numFmtId="0" fontId="7" fillId="0" borderId="0" xfId="1" applyFont="1" applyFill="1" applyAlignment="1">
      <alignment horizontal="center"/>
    </xf>
    <xf numFmtId="0" fontId="7" fillId="0" borderId="0" xfId="1" applyFont="1" applyFill="1" applyAlignment="1">
      <alignment horizontal="right"/>
    </xf>
    <xf numFmtId="0" fontId="9" fillId="0" borderId="0" xfId="1" applyFont="1" applyFill="1" applyAlignment="1">
      <alignment horizontal="center"/>
    </xf>
    <xf numFmtId="0" fontId="6" fillId="0" borderId="0" xfId="1" applyFont="1" applyFill="1" applyBorder="1"/>
    <xf numFmtId="0" fontId="12" fillId="0" borderId="4" xfId="1" applyFont="1" applyFill="1" applyBorder="1" applyAlignment="1">
      <alignment horizontal="center" vertical="center"/>
    </xf>
    <xf numFmtId="0" fontId="12" fillId="0" borderId="5" xfId="1" applyFont="1" applyFill="1" applyBorder="1" applyAlignment="1">
      <alignment horizontal="center" vertical="center"/>
    </xf>
    <xf numFmtId="0" fontId="4" fillId="0" borderId="4" xfId="1" applyFont="1" applyFill="1" applyBorder="1" applyAlignment="1">
      <alignment vertical="center"/>
    </xf>
    <xf numFmtId="0" fontId="4" fillId="0" borderId="5" xfId="1" applyFont="1" applyFill="1" applyBorder="1" applyAlignment="1">
      <alignment vertical="center" wrapText="1"/>
    </xf>
    <xf numFmtId="3" fontId="9" fillId="0" borderId="5" xfId="1" applyNumberFormat="1" applyFont="1" applyFill="1" applyBorder="1" applyAlignment="1">
      <alignment horizontal="right" vertical="center"/>
    </xf>
    <xf numFmtId="0" fontId="4" fillId="0" borderId="5" xfId="1" applyFont="1" applyFill="1" applyBorder="1" applyAlignment="1">
      <alignment vertical="center"/>
    </xf>
    <xf numFmtId="0" fontId="13" fillId="0" borderId="4" xfId="1" applyFont="1" applyFill="1" applyBorder="1" applyAlignment="1">
      <alignment vertical="center"/>
    </xf>
    <xf numFmtId="0" fontId="9" fillId="0" borderId="5" xfId="1" applyFont="1" applyFill="1" applyBorder="1" applyAlignment="1">
      <alignment vertical="center"/>
    </xf>
    <xf numFmtId="3" fontId="9" fillId="0" borderId="5" xfId="1" applyNumberFormat="1" applyFont="1" applyFill="1" applyBorder="1" applyAlignment="1">
      <alignment vertical="center"/>
    </xf>
    <xf numFmtId="2" fontId="9" fillId="0" borderId="5" xfId="1" applyNumberFormat="1" applyFont="1" applyFill="1" applyBorder="1" applyAlignment="1">
      <alignment horizontal="right" vertical="center"/>
    </xf>
    <xf numFmtId="2" fontId="9" fillId="0" borderId="6" xfId="1" applyNumberFormat="1" applyFont="1" applyFill="1" applyBorder="1" applyAlignment="1">
      <alignment horizontal="right" vertical="center"/>
    </xf>
    <xf numFmtId="0" fontId="9" fillId="0" borderId="4" xfId="1" applyFont="1" applyFill="1" applyBorder="1" applyAlignment="1">
      <alignment horizontal="right" vertical="center"/>
    </xf>
    <xf numFmtId="164" fontId="9" fillId="0" borderId="5" xfId="1" applyNumberFormat="1" applyFont="1" applyFill="1" applyBorder="1" applyAlignment="1">
      <alignment vertical="center"/>
    </xf>
    <xf numFmtId="164" fontId="9" fillId="0" borderId="6" xfId="1" applyNumberFormat="1" applyFont="1" applyFill="1" applyBorder="1" applyAlignment="1">
      <alignment vertical="center"/>
    </xf>
    <xf numFmtId="0" fontId="4" fillId="0" borderId="0" xfId="1" applyFont="1"/>
    <xf numFmtId="0" fontId="4" fillId="0" borderId="4" xfId="1" applyFont="1" applyFill="1" applyBorder="1" applyAlignment="1">
      <alignment horizontal="right" vertical="center"/>
    </xf>
    <xf numFmtId="3" fontId="4" fillId="0" borderId="5" xfId="1" applyNumberFormat="1" applyFont="1" applyFill="1" applyBorder="1" applyAlignment="1">
      <alignment horizontal="right" vertical="center"/>
    </xf>
    <xf numFmtId="164" fontId="4" fillId="0" borderId="5" xfId="1" applyNumberFormat="1" applyFont="1" applyFill="1" applyBorder="1" applyAlignment="1">
      <alignment vertical="center"/>
    </xf>
    <xf numFmtId="164" fontId="4" fillId="0" borderId="6" xfId="1" applyNumberFormat="1" applyFont="1" applyFill="1" applyBorder="1" applyAlignment="1">
      <alignment vertical="center"/>
    </xf>
    <xf numFmtId="164" fontId="9" fillId="0" borderId="5" xfId="1" applyNumberFormat="1" applyFont="1" applyFill="1" applyBorder="1" applyAlignment="1">
      <alignment horizontal="right" vertical="center"/>
    </xf>
    <xf numFmtId="164" fontId="9" fillId="0" borderId="6" xfId="1" applyNumberFormat="1" applyFont="1" applyFill="1" applyBorder="1" applyAlignment="1">
      <alignment horizontal="right" vertical="center"/>
    </xf>
    <xf numFmtId="0" fontId="4" fillId="0" borderId="5" xfId="2" applyFont="1" applyFill="1" applyBorder="1" applyAlignment="1">
      <alignment vertical="center" wrapText="1"/>
    </xf>
    <xf numFmtId="2" fontId="4" fillId="0" borderId="5" xfId="1" applyNumberFormat="1" applyFont="1" applyFill="1" applyBorder="1" applyAlignment="1">
      <alignment vertical="center" wrapText="1"/>
    </xf>
    <xf numFmtId="0" fontId="4" fillId="0" borderId="5" xfId="1" applyFont="1" applyFill="1" applyBorder="1" applyAlignment="1" applyProtection="1">
      <alignment horizontal="left" vertical="center" wrapText="1"/>
    </xf>
    <xf numFmtId="0" fontId="4" fillId="0" borderId="7" xfId="1" applyFont="1" applyFill="1" applyBorder="1"/>
    <xf numFmtId="0" fontId="4" fillId="0" borderId="8" xfId="1" applyFont="1" applyFill="1" applyBorder="1"/>
    <xf numFmtId="0" fontId="4" fillId="0" borderId="0" xfId="1" applyFont="1" applyAlignment="1">
      <alignment horizontal="left"/>
    </xf>
    <xf numFmtId="0" fontId="14" fillId="0" borderId="0" xfId="1" applyFont="1" applyAlignment="1">
      <alignment horizontal="left"/>
    </xf>
    <xf numFmtId="0" fontId="14" fillId="0" borderId="0" xfId="1" applyFont="1"/>
    <xf numFmtId="0" fontId="6" fillId="0" borderId="0" xfId="3" applyFont="1"/>
    <xf numFmtId="49" fontId="6" fillId="0" borderId="0" xfId="3" applyNumberFormat="1" applyFont="1"/>
    <xf numFmtId="0" fontId="4" fillId="0" borderId="0" xfId="3" applyFont="1"/>
    <xf numFmtId="3" fontId="8" fillId="0" borderId="0" xfId="3" applyNumberFormat="1" applyFont="1" applyAlignment="1">
      <alignment horizontal="left" wrapText="1"/>
    </xf>
    <xf numFmtId="0" fontId="5" fillId="0" borderId="0" xfId="3" applyFont="1" applyAlignment="1">
      <alignment horizontal="left"/>
    </xf>
    <xf numFmtId="0" fontId="5" fillId="0" borderId="0" xfId="3" applyFont="1" applyBorder="1" applyAlignment="1">
      <alignment horizontal="left"/>
    </xf>
    <xf numFmtId="49" fontId="5" fillId="0" borderId="0" xfId="3" applyNumberFormat="1" applyFont="1" applyBorder="1" applyAlignment="1">
      <alignment horizontal="left"/>
    </xf>
    <xf numFmtId="49" fontId="5" fillId="0" borderId="0" xfId="3" applyNumberFormat="1" applyFont="1" applyAlignment="1">
      <alignment horizontal="left"/>
    </xf>
    <xf numFmtId="0" fontId="11" fillId="0" borderId="0" xfId="3" applyFont="1" applyBorder="1"/>
    <xf numFmtId="0" fontId="11" fillId="2" borderId="0" xfId="3" applyFont="1" applyFill="1" applyBorder="1" applyAlignment="1"/>
    <xf numFmtId="0" fontId="14" fillId="0" borderId="16" xfId="3" applyFont="1" applyBorder="1" applyAlignment="1">
      <alignment horizontal="center" vertical="center" wrapText="1"/>
    </xf>
    <xf numFmtId="49" fontId="15" fillId="0" borderId="16" xfId="3" applyNumberFormat="1" applyFont="1" applyBorder="1" applyAlignment="1">
      <alignment horizontal="right" vertical="center" wrapText="1"/>
    </xf>
    <xf numFmtId="3" fontId="15" fillId="0" borderId="13" xfId="3" applyNumberFormat="1" applyFont="1" applyBorder="1" applyAlignment="1">
      <alignment horizontal="center" vertical="center" wrapText="1"/>
    </xf>
    <xf numFmtId="3" fontId="15" fillId="0" borderId="22" xfId="3" applyNumberFormat="1" applyFont="1" applyBorder="1" applyAlignment="1">
      <alignment horizontal="center" vertical="center" wrapText="1"/>
    </xf>
    <xf numFmtId="3" fontId="15" fillId="0" borderId="12" xfId="3" applyNumberFormat="1" applyFont="1" applyBorder="1" applyAlignment="1">
      <alignment horizontal="center" vertical="center" wrapText="1"/>
    </xf>
    <xf numFmtId="3" fontId="15" fillId="0" borderId="18" xfId="3" applyNumberFormat="1" applyFont="1" applyBorder="1" applyAlignment="1">
      <alignment horizontal="center" vertical="center" wrapText="1"/>
    </xf>
    <xf numFmtId="3" fontId="15" fillId="0" borderId="26" xfId="3" applyNumberFormat="1" applyFont="1" applyBorder="1" applyAlignment="1">
      <alignment horizontal="center" vertical="center" wrapText="1"/>
    </xf>
    <xf numFmtId="0" fontId="15" fillId="0" borderId="1" xfId="3" applyFont="1" applyBorder="1" applyAlignment="1">
      <alignment horizontal="center" vertical="center"/>
    </xf>
    <xf numFmtId="0" fontId="15" fillId="0" borderId="27" xfId="3" applyFont="1" applyFill="1" applyBorder="1"/>
    <xf numFmtId="0" fontId="15" fillId="0" borderId="28" xfId="3" applyFont="1" applyFill="1" applyBorder="1"/>
    <xf numFmtId="49" fontId="15" fillId="0" borderId="0" xfId="3" applyNumberFormat="1" applyFont="1" applyFill="1" applyBorder="1"/>
    <xf numFmtId="3" fontId="15" fillId="0" borderId="1" xfId="3" applyNumberFormat="1" applyFont="1" applyFill="1" applyBorder="1" applyAlignment="1">
      <alignment horizontal="right"/>
    </xf>
    <xf numFmtId="3" fontId="15" fillId="0" borderId="29" xfId="3" applyNumberFormat="1" applyFont="1" applyFill="1" applyBorder="1" applyAlignment="1">
      <alignment horizontal="right"/>
    </xf>
    <xf numFmtId="3" fontId="15" fillId="0" borderId="30" xfId="3" applyNumberFormat="1" applyFont="1" applyFill="1" applyBorder="1" applyAlignment="1">
      <alignment horizontal="right"/>
    </xf>
    <xf numFmtId="3" fontId="15" fillId="0" borderId="2" xfId="3" applyNumberFormat="1" applyFont="1" applyFill="1" applyBorder="1" applyAlignment="1">
      <alignment horizontal="right"/>
    </xf>
    <xf numFmtId="3" fontId="15" fillId="0" borderId="31" xfId="3" applyNumberFormat="1" applyFont="1" applyFill="1" applyBorder="1"/>
    <xf numFmtId="3" fontId="15" fillId="0" borderId="3" xfId="3" applyNumberFormat="1" applyFont="1" applyFill="1" applyBorder="1"/>
    <xf numFmtId="0" fontId="14" fillId="0" borderId="33" xfId="3" applyFont="1" applyFill="1" applyBorder="1" applyAlignment="1">
      <alignment wrapText="1"/>
    </xf>
    <xf numFmtId="3" fontId="14" fillId="0" borderId="4" xfId="3" applyNumberFormat="1" applyFont="1" applyFill="1" applyBorder="1" applyAlignment="1">
      <alignment horizontal="center"/>
    </xf>
    <xf numFmtId="49" fontId="14" fillId="0" borderId="33" xfId="3" applyNumberFormat="1" applyFont="1" applyFill="1" applyBorder="1" applyAlignment="1">
      <alignment horizontal="center"/>
    </xf>
    <xf numFmtId="3" fontId="14" fillId="0" borderId="32" xfId="3" applyNumberFormat="1" applyFont="1" applyFill="1" applyBorder="1" applyAlignment="1">
      <alignment horizontal="right"/>
    </xf>
    <xf numFmtId="3" fontId="14" fillId="0" borderId="34" xfId="3" applyNumberFormat="1" applyFont="1" applyFill="1" applyBorder="1" applyAlignment="1">
      <alignment horizontal="right"/>
    </xf>
    <xf numFmtId="3" fontId="14" fillId="0" borderId="36" xfId="3" applyNumberFormat="1" applyFont="1" applyFill="1" applyBorder="1" applyAlignment="1">
      <alignment horizontal="right"/>
    </xf>
    <xf numFmtId="3" fontId="14" fillId="0" borderId="37" xfId="3" applyNumberFormat="1" applyFont="1" applyFill="1" applyBorder="1" applyAlignment="1">
      <alignment horizontal="right"/>
    </xf>
    <xf numFmtId="3" fontId="14" fillId="0" borderId="38" xfId="3" applyNumberFormat="1" applyFont="1" applyFill="1" applyBorder="1" applyAlignment="1">
      <alignment horizontal="right"/>
    </xf>
    <xf numFmtId="3" fontId="14" fillId="0" borderId="32" xfId="3" applyNumberFormat="1" applyFont="1" applyFill="1" applyBorder="1" applyAlignment="1">
      <alignment horizontal="center"/>
    </xf>
    <xf numFmtId="0" fontId="15" fillId="0" borderId="32" xfId="3" applyFont="1" applyBorder="1" applyAlignment="1">
      <alignment horizontal="center" vertical="center"/>
    </xf>
    <xf numFmtId="0" fontId="15" fillId="0" borderId="33" xfId="3" applyFont="1" applyFill="1" applyBorder="1" applyAlignment="1">
      <alignment wrapText="1"/>
    </xf>
    <xf numFmtId="3" fontId="15" fillId="0" borderId="4" xfId="3" applyNumberFormat="1" applyFont="1" applyFill="1" applyBorder="1" applyAlignment="1">
      <alignment horizontal="center"/>
    </xf>
    <xf numFmtId="49" fontId="15" fillId="0" borderId="33" xfId="3" applyNumberFormat="1" applyFont="1" applyFill="1" applyBorder="1" applyAlignment="1">
      <alignment horizontal="center"/>
    </xf>
    <xf numFmtId="3" fontId="15" fillId="0" borderId="32" xfId="3" applyNumberFormat="1" applyFont="1" applyFill="1" applyBorder="1" applyAlignment="1">
      <alignment horizontal="right"/>
    </xf>
    <xf numFmtId="3" fontId="15" fillId="0" borderId="34" xfId="3" applyNumberFormat="1" applyFont="1" applyFill="1" applyBorder="1" applyAlignment="1">
      <alignment horizontal="right"/>
    </xf>
    <xf numFmtId="3" fontId="15" fillId="0" borderId="36" xfId="3" applyNumberFormat="1" applyFont="1" applyFill="1" applyBorder="1" applyAlignment="1">
      <alignment horizontal="right"/>
    </xf>
    <xf numFmtId="3" fontId="15" fillId="0" borderId="37" xfId="3" applyNumberFormat="1" applyFont="1" applyFill="1" applyBorder="1" applyAlignment="1">
      <alignment horizontal="right"/>
    </xf>
    <xf numFmtId="3" fontId="15" fillId="0" borderId="38" xfId="3" applyNumberFormat="1" applyFont="1" applyFill="1" applyBorder="1" applyAlignment="1">
      <alignment horizontal="right"/>
    </xf>
    <xf numFmtId="0" fontId="14" fillId="0" borderId="4" xfId="3" applyFont="1" applyBorder="1" applyAlignment="1">
      <alignment horizontal="center" vertical="center"/>
    </xf>
    <xf numFmtId="0" fontId="14" fillId="0" borderId="39" xfId="3" applyFont="1" applyFill="1" applyBorder="1" applyAlignment="1">
      <alignment horizontal="left" wrapText="1"/>
    </xf>
    <xf numFmtId="49" fontId="14" fillId="0" borderId="39" xfId="3" applyNumberFormat="1" applyFont="1" applyFill="1" applyBorder="1" applyAlignment="1">
      <alignment horizontal="center"/>
    </xf>
    <xf numFmtId="3" fontId="14" fillId="0" borderId="4" xfId="3" applyNumberFormat="1" applyFont="1" applyFill="1" applyBorder="1" applyAlignment="1">
      <alignment horizontal="right"/>
    </xf>
    <xf numFmtId="3" fontId="14" fillId="0" borderId="40" xfId="3" applyNumberFormat="1" applyFont="1" applyFill="1" applyBorder="1" applyAlignment="1">
      <alignment horizontal="right"/>
    </xf>
    <xf numFmtId="3" fontId="14" fillId="0" borderId="42" xfId="3" applyNumberFormat="1" applyFont="1" applyFill="1" applyBorder="1" applyAlignment="1">
      <alignment horizontal="right"/>
    </xf>
    <xf numFmtId="3" fontId="14" fillId="0" borderId="5" xfId="3" applyNumberFormat="1" applyFont="1" applyFill="1" applyBorder="1" applyAlignment="1">
      <alignment horizontal="right"/>
    </xf>
    <xf numFmtId="0" fontId="14" fillId="0" borderId="43" xfId="3" applyFont="1" applyFill="1" applyBorder="1" applyAlignment="1">
      <alignment horizontal="left" wrapText="1"/>
    </xf>
    <xf numFmtId="49" fontId="14" fillId="0" borderId="43" xfId="3" applyNumberFormat="1" applyFont="1" applyFill="1" applyBorder="1" applyAlignment="1">
      <alignment horizontal="center"/>
    </xf>
    <xf numFmtId="3" fontId="14" fillId="0" borderId="28" xfId="3" applyNumberFormat="1" applyFont="1" applyFill="1" applyBorder="1" applyAlignment="1">
      <alignment horizontal="right"/>
    </xf>
    <xf numFmtId="3" fontId="14" fillId="0" borderId="31" xfId="3" applyNumberFormat="1" applyFont="1" applyFill="1" applyBorder="1" applyAlignment="1">
      <alignment horizontal="right"/>
    </xf>
    <xf numFmtId="3" fontId="14" fillId="0" borderId="44" xfId="3" applyNumberFormat="1" applyFont="1" applyFill="1" applyBorder="1" applyAlignment="1">
      <alignment horizontal="right"/>
    </xf>
    <xf numFmtId="3" fontId="14" fillId="0" borderId="45" xfId="3" applyNumberFormat="1" applyFont="1" applyFill="1" applyBorder="1" applyAlignment="1">
      <alignment horizontal="right"/>
    </xf>
    <xf numFmtId="3" fontId="14" fillId="0" borderId="25" xfId="3" applyNumberFormat="1" applyFont="1" applyFill="1" applyBorder="1" applyAlignment="1">
      <alignment horizontal="center"/>
    </xf>
    <xf numFmtId="49" fontId="15" fillId="0" borderId="6" xfId="3" applyNumberFormat="1" applyFont="1" applyFill="1" applyBorder="1" applyAlignment="1">
      <alignment horizontal="center"/>
    </xf>
    <xf numFmtId="3" fontId="15" fillId="0" borderId="4" xfId="3" applyNumberFormat="1" applyFont="1" applyFill="1" applyBorder="1" applyAlignment="1">
      <alignment horizontal="right"/>
    </xf>
    <xf numFmtId="3" fontId="15" fillId="0" borderId="6" xfId="3" applyNumberFormat="1" applyFont="1" applyFill="1" applyBorder="1" applyAlignment="1">
      <alignment horizontal="right"/>
    </xf>
    <xf numFmtId="0" fontId="14" fillId="0" borderId="4" xfId="3" applyFont="1" applyFill="1" applyBorder="1" applyAlignment="1">
      <alignment horizontal="center" vertical="center" wrapText="1" shrinkToFit="1"/>
    </xf>
    <xf numFmtId="0" fontId="14" fillId="0" borderId="39" xfId="3" applyFont="1" applyFill="1" applyBorder="1" applyAlignment="1">
      <alignment wrapText="1"/>
    </xf>
    <xf numFmtId="0" fontId="14" fillId="0" borderId="32" xfId="3" applyFont="1" applyBorder="1" applyAlignment="1">
      <alignment horizontal="center" vertical="center"/>
    </xf>
    <xf numFmtId="0" fontId="14" fillId="0" borderId="28" xfId="3" applyFont="1" applyBorder="1" applyAlignment="1">
      <alignment horizontal="center" vertical="center"/>
    </xf>
    <xf numFmtId="0" fontId="14" fillId="0" borderId="43" xfId="3" applyFont="1" applyFill="1" applyBorder="1" applyAlignment="1">
      <alignment horizontal="left" vertical="center" wrapText="1"/>
    </xf>
    <xf numFmtId="3" fontId="14" fillId="0" borderId="28" xfId="3" applyNumberFormat="1" applyFont="1" applyFill="1" applyBorder="1" applyAlignment="1">
      <alignment horizontal="center" vertical="center"/>
    </xf>
    <xf numFmtId="3" fontId="14" fillId="0" borderId="6" xfId="3" applyNumberFormat="1" applyFont="1" applyFill="1" applyBorder="1" applyAlignment="1">
      <alignment horizontal="right"/>
    </xf>
    <xf numFmtId="0" fontId="15" fillId="0" borderId="25" xfId="3" applyFont="1" applyBorder="1" applyAlignment="1">
      <alignment horizontal="center" vertical="center"/>
    </xf>
    <xf numFmtId="0" fontId="15" fillId="0" borderId="47" xfId="3" applyFont="1" applyFill="1" applyBorder="1" applyAlignment="1">
      <alignment wrapText="1"/>
    </xf>
    <xf numFmtId="0" fontId="15" fillId="0" borderId="25" xfId="3" applyFont="1" applyFill="1" applyBorder="1" applyAlignment="1">
      <alignment horizontal="center" vertical="center"/>
    </xf>
    <xf numFmtId="49" fontId="15" fillId="0" borderId="47" xfId="3" applyNumberFormat="1" applyFont="1" applyFill="1" applyBorder="1" applyAlignment="1">
      <alignment horizontal="center" vertical="center"/>
    </xf>
    <xf numFmtId="3" fontId="15" fillId="0" borderId="25" xfId="3" applyNumberFormat="1" applyFont="1" applyFill="1" applyBorder="1" applyAlignment="1">
      <alignment horizontal="right"/>
    </xf>
    <xf numFmtId="3" fontId="15" fillId="0" borderId="48" xfId="3" applyNumberFormat="1" applyFont="1" applyFill="1" applyBorder="1" applyAlignment="1">
      <alignment horizontal="right"/>
    </xf>
    <xf numFmtId="3" fontId="15" fillId="0" borderId="44" xfId="3" applyNumberFormat="1" applyFont="1" applyFill="1" applyBorder="1" applyAlignment="1">
      <alignment horizontal="right"/>
    </xf>
    <xf numFmtId="3" fontId="15" fillId="0" borderId="45" xfId="3" applyNumberFormat="1" applyFont="1" applyFill="1" applyBorder="1" applyAlignment="1">
      <alignment horizontal="right"/>
    </xf>
    <xf numFmtId="3" fontId="15" fillId="0" borderId="49" xfId="3" applyNumberFormat="1" applyFont="1" applyFill="1" applyBorder="1" applyAlignment="1">
      <alignment horizontal="right"/>
    </xf>
    <xf numFmtId="0" fontId="14" fillId="0" borderId="7" xfId="3" applyFont="1" applyBorder="1" applyAlignment="1">
      <alignment horizontal="center" vertical="center"/>
    </xf>
    <xf numFmtId="0" fontId="14" fillId="0" borderId="9" xfId="3" applyFont="1" applyFill="1" applyBorder="1" applyAlignment="1">
      <alignment vertical="center" wrapText="1"/>
    </xf>
    <xf numFmtId="0" fontId="14" fillId="0" borderId="7" xfId="3" applyFont="1" applyFill="1" applyBorder="1" applyAlignment="1">
      <alignment horizontal="center" vertical="center"/>
    </xf>
    <xf numFmtId="49" fontId="14" fillId="0" borderId="50" xfId="3" applyNumberFormat="1" applyFont="1" applyFill="1" applyBorder="1" applyAlignment="1">
      <alignment horizontal="center" vertical="center"/>
    </xf>
    <xf numFmtId="3" fontId="14" fillId="0" borderId="7" xfId="3" applyNumberFormat="1" applyFont="1" applyFill="1" applyBorder="1" applyAlignment="1">
      <alignment horizontal="right" vertical="center"/>
    </xf>
    <xf numFmtId="3" fontId="14" fillId="0" borderId="51" xfId="3" applyNumberFormat="1" applyFont="1" applyFill="1" applyBorder="1" applyAlignment="1">
      <alignment horizontal="right" vertical="center"/>
    </xf>
    <xf numFmtId="3" fontId="14" fillId="0" borderId="52" xfId="3" applyNumberFormat="1" applyFont="1" applyFill="1" applyBorder="1" applyAlignment="1">
      <alignment horizontal="right"/>
    </xf>
    <xf numFmtId="3" fontId="14" fillId="0" borderId="53" xfId="3" applyNumberFormat="1" applyFont="1" applyFill="1" applyBorder="1" applyAlignment="1">
      <alignment horizontal="right"/>
    </xf>
    <xf numFmtId="3" fontId="14" fillId="0" borderId="8" xfId="3" applyNumberFormat="1" applyFont="1" applyFill="1" applyBorder="1" applyAlignment="1">
      <alignment horizontal="right"/>
    </xf>
    <xf numFmtId="3" fontId="14" fillId="0" borderId="54" xfId="3" applyNumberFormat="1" applyFont="1" applyFill="1" applyBorder="1" applyAlignment="1">
      <alignment horizontal="right"/>
    </xf>
    <xf numFmtId="3" fontId="14" fillId="0" borderId="7" xfId="3" applyNumberFormat="1" applyFont="1" applyFill="1" applyBorder="1" applyAlignment="1">
      <alignment horizontal="center"/>
    </xf>
    <xf numFmtId="3" fontId="14" fillId="0" borderId="9" xfId="3" applyNumberFormat="1" applyFont="1" applyFill="1" applyBorder="1" applyAlignment="1">
      <alignment horizontal="right"/>
    </xf>
    <xf numFmtId="0" fontId="15" fillId="0" borderId="16" xfId="4" applyFont="1" applyFill="1" applyBorder="1" applyAlignment="1">
      <alignment horizontal="right"/>
    </xf>
    <xf numFmtId="3" fontId="15" fillId="0" borderId="23" xfId="3" applyNumberFormat="1" applyFont="1" applyFill="1" applyBorder="1" applyAlignment="1">
      <alignment horizontal="right"/>
    </xf>
    <xf numFmtId="3" fontId="15" fillId="0" borderId="3" xfId="3" applyNumberFormat="1" applyFont="1" applyFill="1" applyBorder="1" applyAlignment="1">
      <alignment horizontal="right"/>
    </xf>
    <xf numFmtId="3" fontId="15" fillId="0" borderId="28" xfId="3" applyNumberFormat="1" applyFont="1" applyFill="1" applyBorder="1" applyAlignment="1">
      <alignment horizontal="right"/>
    </xf>
    <xf numFmtId="3" fontId="14" fillId="0" borderId="7" xfId="3" applyNumberFormat="1" applyFont="1" applyFill="1" applyBorder="1" applyAlignment="1">
      <alignment horizontal="right"/>
    </xf>
    <xf numFmtId="3" fontId="15" fillId="0" borderId="19" xfId="3" applyNumberFormat="1" applyFont="1" applyBorder="1" applyAlignment="1">
      <alignment horizontal="center" vertical="center" wrapText="1"/>
    </xf>
    <xf numFmtId="3" fontId="15" fillId="0" borderId="40" xfId="3" applyNumberFormat="1" applyFont="1" applyFill="1" applyBorder="1" applyAlignment="1">
      <alignment horizontal="right"/>
    </xf>
    <xf numFmtId="3" fontId="14" fillId="0" borderId="40" xfId="3" applyNumberFormat="1" applyFont="1" applyFill="1" applyBorder="1" applyAlignment="1">
      <alignment horizontal="center"/>
    </xf>
    <xf numFmtId="3" fontId="14" fillId="0" borderId="34" xfId="3" applyNumberFormat="1" applyFont="1" applyFill="1" applyBorder="1" applyAlignment="1">
      <alignment horizontal="center"/>
    </xf>
    <xf numFmtId="0" fontId="14" fillId="0" borderId="40" xfId="3" applyFont="1" applyFill="1" applyBorder="1" applyAlignment="1">
      <alignment horizontal="center" vertical="center" wrapText="1" shrinkToFit="1"/>
    </xf>
    <xf numFmtId="3" fontId="15" fillId="0" borderId="46" xfId="3" applyNumberFormat="1" applyFont="1" applyFill="1" applyBorder="1" applyAlignment="1">
      <alignment horizontal="right"/>
    </xf>
    <xf numFmtId="49" fontId="15" fillId="0" borderId="12" xfId="3" applyNumberFormat="1" applyFont="1" applyBorder="1" applyAlignment="1">
      <alignment horizontal="left"/>
    </xf>
    <xf numFmtId="0" fontId="14" fillId="0" borderId="0" xfId="3" applyFont="1"/>
    <xf numFmtId="49" fontId="14" fillId="0" borderId="17" xfId="3" applyNumberFormat="1" applyFont="1" applyBorder="1" applyAlignment="1">
      <alignment horizontal="center" vertical="center" wrapText="1"/>
    </xf>
    <xf numFmtId="3" fontId="14" fillId="2" borderId="18" xfId="3" applyNumberFormat="1" applyFont="1" applyFill="1" applyBorder="1" applyAlignment="1">
      <alignment horizontal="center" vertical="center" wrapText="1"/>
    </xf>
    <xf numFmtId="3" fontId="14" fillId="2" borderId="19" xfId="3" applyNumberFormat="1" applyFont="1" applyFill="1" applyBorder="1" applyAlignment="1">
      <alignment horizontal="center" vertical="center" wrapText="1"/>
    </xf>
    <xf numFmtId="3" fontId="14" fillId="0" borderId="24" xfId="3" applyNumberFormat="1" applyFont="1" applyBorder="1" applyAlignment="1">
      <alignment horizontal="center" vertical="center" wrapText="1"/>
    </xf>
    <xf numFmtId="3" fontId="14" fillId="0" borderId="23" xfId="3" applyNumberFormat="1" applyFont="1" applyBorder="1" applyAlignment="1">
      <alignment horizontal="center" vertical="center" wrapText="1"/>
    </xf>
    <xf numFmtId="3" fontId="14" fillId="0" borderId="20" xfId="3" applyNumberFormat="1" applyFont="1" applyBorder="1" applyAlignment="1">
      <alignment horizontal="center" vertical="center" wrapText="1"/>
    </xf>
    <xf numFmtId="3" fontId="14" fillId="0" borderId="21" xfId="3" applyNumberFormat="1" applyFont="1" applyBorder="1" applyAlignment="1">
      <alignment horizontal="center" vertical="center" wrapText="1"/>
    </xf>
    <xf numFmtId="0" fontId="15" fillId="0" borderId="10" xfId="3" applyFont="1" applyBorder="1" applyAlignment="1">
      <alignment horizontal="center" vertical="center"/>
    </xf>
    <xf numFmtId="0" fontId="15" fillId="0" borderId="0" xfId="3" applyFont="1" applyBorder="1" applyAlignment="1">
      <alignment horizontal="center" vertical="center" wrapText="1"/>
    </xf>
    <xf numFmtId="3" fontId="15" fillId="2" borderId="18" xfId="3" applyNumberFormat="1" applyFont="1" applyFill="1" applyBorder="1" applyAlignment="1">
      <alignment horizontal="center" vertical="center" wrapText="1"/>
    </xf>
    <xf numFmtId="3" fontId="15" fillId="2" borderId="22" xfId="3" applyNumberFormat="1" applyFont="1" applyFill="1" applyBorder="1" applyAlignment="1">
      <alignment horizontal="center" vertical="center" wrapText="1"/>
    </xf>
    <xf numFmtId="3" fontId="15" fillId="2" borderId="10" xfId="3" applyNumberFormat="1" applyFont="1" applyFill="1" applyBorder="1" applyAlignment="1">
      <alignment horizontal="center" vertical="center" wrapText="1"/>
    </xf>
    <xf numFmtId="3" fontId="15" fillId="2" borderId="19" xfId="3" applyNumberFormat="1" applyFont="1" applyFill="1" applyBorder="1" applyAlignment="1">
      <alignment horizontal="center" vertical="center" wrapText="1"/>
    </xf>
    <xf numFmtId="3" fontId="15" fillId="2" borderId="11" xfId="3" applyNumberFormat="1" applyFont="1" applyFill="1" applyBorder="1" applyAlignment="1">
      <alignment horizontal="center" vertical="center" wrapText="1"/>
    </xf>
    <xf numFmtId="3" fontId="15" fillId="2" borderId="14" xfId="3" applyNumberFormat="1" applyFont="1" applyFill="1" applyBorder="1" applyAlignment="1">
      <alignment horizontal="center" vertical="center" wrapText="1"/>
    </xf>
    <xf numFmtId="0" fontId="14" fillId="0" borderId="11" xfId="3" applyFont="1" applyBorder="1" applyAlignment="1">
      <alignment horizontal="center" vertical="center" wrapText="1"/>
    </xf>
    <xf numFmtId="49" fontId="14" fillId="0" borderId="11" xfId="3" applyNumberFormat="1" applyFont="1" applyBorder="1" applyAlignment="1">
      <alignment horizontal="center" vertical="center" wrapText="1"/>
    </xf>
    <xf numFmtId="3" fontId="14" fillId="0" borderId="10" xfId="3" applyNumberFormat="1" applyFont="1" applyBorder="1" applyAlignment="1">
      <alignment horizontal="center" vertical="center" wrapText="1"/>
    </xf>
    <xf numFmtId="3" fontId="14" fillId="0" borderId="11" xfId="3" applyNumberFormat="1" applyFont="1" applyBorder="1" applyAlignment="1">
      <alignment horizontal="center" vertical="center" wrapText="1"/>
    </xf>
    <xf numFmtId="3" fontId="14" fillId="0" borderId="11" xfId="3" applyNumberFormat="1" applyFont="1" applyFill="1" applyBorder="1" applyAlignment="1">
      <alignment horizontal="center" vertical="center" wrapText="1"/>
    </xf>
    <xf numFmtId="3" fontId="14" fillId="0" borderId="10" xfId="3" applyNumberFormat="1" applyFont="1" applyFill="1" applyBorder="1" applyAlignment="1">
      <alignment horizontal="center" vertical="center" wrapText="1"/>
    </xf>
    <xf numFmtId="3" fontId="14" fillId="0" borderId="13" xfId="3" applyNumberFormat="1" applyFont="1" applyBorder="1" applyAlignment="1">
      <alignment horizontal="center" vertical="center" wrapText="1"/>
    </xf>
    <xf numFmtId="3" fontId="14" fillId="0" borderId="14" xfId="3" applyNumberFormat="1" applyFont="1" applyBorder="1" applyAlignment="1">
      <alignment horizontal="center" vertical="center" wrapText="1"/>
    </xf>
    <xf numFmtId="3" fontId="15" fillId="0" borderId="13" xfId="4" applyNumberFormat="1" applyFont="1" applyFill="1" applyBorder="1" applyAlignment="1">
      <alignment horizontal="center" vertical="center"/>
    </xf>
    <xf numFmtId="3" fontId="15" fillId="0" borderId="22" xfId="4" applyNumberFormat="1" applyFont="1" applyFill="1" applyBorder="1" applyAlignment="1">
      <alignment horizontal="center" vertical="center"/>
    </xf>
    <xf numFmtId="3" fontId="15" fillId="0" borderId="18" xfId="4" applyNumberFormat="1" applyFont="1" applyFill="1" applyBorder="1" applyAlignment="1">
      <alignment horizontal="center" vertical="center"/>
    </xf>
    <xf numFmtId="3" fontId="15" fillId="0" borderId="19" xfId="4" applyNumberFormat="1" applyFont="1" applyFill="1" applyBorder="1" applyAlignment="1">
      <alignment horizontal="center" vertical="center"/>
    </xf>
    <xf numFmtId="3" fontId="15" fillId="0" borderId="26" xfId="4" applyNumberFormat="1" applyFont="1" applyFill="1" applyBorder="1" applyAlignment="1">
      <alignment horizontal="center" vertical="center"/>
    </xf>
    <xf numFmtId="3" fontId="15" fillId="0" borderId="28" xfId="3" applyNumberFormat="1" applyFont="1" applyFill="1" applyBorder="1" applyAlignment="1">
      <alignment horizontal="center"/>
    </xf>
    <xf numFmtId="49" fontId="15" fillId="0" borderId="47" xfId="3" applyNumberFormat="1" applyFont="1" applyFill="1" applyBorder="1" applyAlignment="1">
      <alignment horizontal="center"/>
    </xf>
    <xf numFmtId="0" fontId="14" fillId="0" borderId="50" xfId="3" applyFont="1" applyFill="1" applyBorder="1" applyAlignment="1">
      <alignment wrapText="1"/>
    </xf>
    <xf numFmtId="0" fontId="14" fillId="0" borderId="20" xfId="3" applyFont="1" applyFill="1" applyBorder="1" applyAlignment="1">
      <alignment horizontal="center" vertical="center"/>
    </xf>
    <xf numFmtId="3" fontId="14" fillId="0" borderId="9" xfId="3" applyNumberFormat="1" applyFont="1" applyFill="1" applyBorder="1" applyAlignment="1">
      <alignment horizontal="right" vertical="center"/>
    </xf>
    <xf numFmtId="3" fontId="14" fillId="0" borderId="16" xfId="3" applyNumberFormat="1" applyFont="1" applyFill="1" applyBorder="1" applyAlignment="1">
      <alignment horizontal="right"/>
    </xf>
    <xf numFmtId="3" fontId="14" fillId="0" borderId="21" xfId="3" applyNumberFormat="1" applyFont="1" applyFill="1" applyBorder="1" applyAlignment="1">
      <alignment horizontal="right" vertical="center"/>
    </xf>
    <xf numFmtId="0" fontId="20" fillId="0" borderId="0" xfId="3" applyFont="1"/>
    <xf numFmtId="0" fontId="14" fillId="0" borderId="11" xfId="3" applyFont="1" applyFill="1" applyBorder="1" applyAlignment="1">
      <alignment wrapText="1"/>
    </xf>
    <xf numFmtId="0" fontId="14" fillId="0" borderId="24" xfId="3" applyFont="1" applyFill="1" applyBorder="1" applyAlignment="1">
      <alignment wrapText="1"/>
    </xf>
    <xf numFmtId="0" fontId="15" fillId="0" borderId="18" xfId="3" applyFont="1" applyBorder="1" applyAlignment="1">
      <alignment horizontal="left"/>
    </xf>
    <xf numFmtId="0" fontId="14" fillId="0" borderId="20" xfId="3" applyFont="1" applyBorder="1" applyAlignment="1">
      <alignment horizontal="center" vertical="center" wrapText="1"/>
    </xf>
    <xf numFmtId="0" fontId="14" fillId="0" borderId="0" xfId="21" applyFont="1"/>
    <xf numFmtId="0" fontId="14" fillId="0" borderId="0" xfId="21" applyFont="1" applyAlignment="1"/>
    <xf numFmtId="0" fontId="14" fillId="0" borderId="0" xfId="21" applyFont="1" applyAlignment="1">
      <alignment horizontal="left"/>
    </xf>
    <xf numFmtId="0" fontId="8" fillId="0" borderId="0" xfId="21" applyFont="1" applyAlignment="1">
      <alignment horizontal="center"/>
    </xf>
    <xf numFmtId="0" fontId="23" fillId="0" borderId="0" xfId="21" applyFont="1" applyAlignment="1"/>
    <xf numFmtId="0" fontId="14" fillId="0" borderId="0" xfId="21" applyFont="1" applyBorder="1" applyAlignment="1"/>
    <xf numFmtId="49" fontId="15" fillId="0" borderId="0" xfId="21" applyNumberFormat="1" applyFont="1" applyBorder="1" applyAlignment="1"/>
    <xf numFmtId="0" fontId="14" fillId="0" borderId="5" xfId="21" applyFont="1" applyBorder="1" applyAlignment="1">
      <alignment horizontal="center" vertical="center" wrapText="1"/>
    </xf>
    <xf numFmtId="3" fontId="15" fillId="0" borderId="5" xfId="21" applyNumberFormat="1" applyFont="1" applyBorder="1" applyAlignment="1">
      <alignment wrapText="1"/>
    </xf>
    <xf numFmtId="0" fontId="14" fillId="0" borderId="5" xfId="21" applyFont="1" applyBorder="1" applyAlignment="1">
      <alignment wrapText="1"/>
    </xf>
    <xf numFmtId="0" fontId="9" fillId="0" borderId="5" xfId="21" applyFont="1" applyBorder="1" applyAlignment="1">
      <alignment horizontal="center" wrapText="1"/>
    </xf>
    <xf numFmtId="0" fontId="15" fillId="0" borderId="5" xfId="21" applyFont="1" applyBorder="1" applyAlignment="1">
      <alignment wrapText="1"/>
    </xf>
    <xf numFmtId="3" fontId="14" fillId="0" borderId="5" xfId="21" applyNumberFormat="1" applyFont="1" applyBorder="1" applyAlignment="1">
      <alignment wrapText="1"/>
    </xf>
    <xf numFmtId="49" fontId="14" fillId="0" borderId="5" xfId="21" applyNumberFormat="1" applyFont="1" applyBorder="1" applyAlignment="1">
      <alignment horizontal="center" wrapText="1"/>
    </xf>
    <xf numFmtId="0" fontId="14" fillId="0" borderId="5" xfId="21" applyFont="1" applyBorder="1" applyAlignment="1">
      <alignment horizontal="center" wrapText="1"/>
    </xf>
    <xf numFmtId="3" fontId="14" fillId="0" borderId="5" xfId="21" applyNumberFormat="1" applyFont="1" applyBorder="1" applyAlignment="1">
      <alignment horizontal="right" wrapText="1"/>
    </xf>
    <xf numFmtId="3" fontId="14" fillId="0" borderId="5" xfId="21" applyNumberFormat="1" applyFont="1" applyBorder="1" applyAlignment="1">
      <alignment horizontal="right"/>
    </xf>
    <xf numFmtId="3" fontId="14" fillId="0" borderId="5" xfId="21" applyNumberFormat="1" applyFont="1" applyBorder="1" applyAlignment="1">
      <alignment horizontal="left"/>
    </xf>
    <xf numFmtId="0" fontId="14" fillId="0" borderId="5" xfId="21" applyFont="1" applyBorder="1" applyAlignment="1">
      <alignment horizontal="center"/>
    </xf>
    <xf numFmtId="3" fontId="14" fillId="0" borderId="5" xfId="21" applyNumberFormat="1" applyFont="1" applyBorder="1" applyAlignment="1">
      <alignment horizontal="right" vertical="center" wrapText="1"/>
    </xf>
    <xf numFmtId="0" fontId="14" fillId="0" borderId="5" xfId="21" applyFont="1" applyBorder="1" applyAlignment="1">
      <alignment horizontal="left"/>
    </xf>
    <xf numFmtId="0" fontId="14" fillId="0" borderId="5" xfId="21" applyFont="1" applyBorder="1"/>
    <xf numFmtId="0" fontId="14" fillId="0" borderId="5" xfId="21" applyFont="1" applyBorder="1" applyAlignment="1">
      <alignment horizontal="left" vertical="center" wrapText="1"/>
    </xf>
    <xf numFmtId="3" fontId="14" fillId="0" borderId="5" xfId="21" applyNumberFormat="1" applyFont="1" applyFill="1" applyBorder="1" applyAlignment="1">
      <alignment wrapText="1"/>
    </xf>
    <xf numFmtId="0" fontId="14" fillId="0" borderId="5" xfId="21" applyFont="1" applyFill="1" applyBorder="1" applyAlignment="1">
      <alignment wrapText="1"/>
    </xf>
    <xf numFmtId="0" fontId="15" fillId="0" borderId="5" xfId="21" applyFont="1" applyFill="1" applyBorder="1" applyAlignment="1">
      <alignment wrapText="1"/>
    </xf>
    <xf numFmtId="16" fontId="14" fillId="0" borderId="5" xfId="21" applyNumberFormat="1" applyFont="1" applyBorder="1" applyAlignment="1">
      <alignment horizontal="center" wrapText="1"/>
    </xf>
    <xf numFmtId="3" fontId="14" fillId="0" borderId="5" xfId="21" applyNumberFormat="1" applyFont="1" applyBorder="1"/>
    <xf numFmtId="3" fontId="14" fillId="0" borderId="0" xfId="21" applyNumberFormat="1" applyFont="1"/>
    <xf numFmtId="3" fontId="14" fillId="0" borderId="0" xfId="21" applyNumberFormat="1" applyFont="1" applyBorder="1" applyAlignment="1">
      <alignment wrapText="1"/>
    </xf>
    <xf numFmtId="0" fontId="14" fillId="0" borderId="0" xfId="21" applyFont="1" applyBorder="1" applyAlignment="1">
      <alignment wrapText="1"/>
    </xf>
    <xf numFmtId="0" fontId="14" fillId="0" borderId="0" xfId="4" applyFont="1"/>
    <xf numFmtId="0" fontId="14" fillId="0" borderId="0" xfId="4" applyFont="1" applyAlignment="1"/>
    <xf numFmtId="0" fontId="14" fillId="0" borderId="0" xfId="4" applyFont="1" applyAlignment="1">
      <alignment horizontal="left"/>
    </xf>
    <xf numFmtId="0" fontId="8" fillId="0" borderId="0" xfId="4" applyFont="1" applyAlignment="1">
      <alignment horizontal="center"/>
    </xf>
    <xf numFmtId="0" fontId="14" fillId="0" borderId="0" xfId="4" applyFont="1" applyBorder="1" applyAlignment="1"/>
    <xf numFmtId="0" fontId="14" fillId="0" borderId="5" xfId="4" applyFont="1" applyBorder="1" applyAlignment="1">
      <alignment horizontal="center" wrapText="1"/>
    </xf>
    <xf numFmtId="0" fontId="14" fillId="0" borderId="5" xfId="4" applyFont="1" applyBorder="1" applyAlignment="1">
      <alignment horizontal="center" vertical="center" wrapText="1"/>
    </xf>
    <xf numFmtId="3" fontId="15" fillId="0" borderId="5" xfId="4" applyNumberFormat="1" applyFont="1" applyBorder="1" applyAlignment="1">
      <alignment wrapText="1"/>
    </xf>
    <xf numFmtId="0" fontId="14" fillId="0" borderId="5" xfId="4" applyFont="1" applyBorder="1" applyAlignment="1">
      <alignment wrapText="1"/>
    </xf>
    <xf numFmtId="3" fontId="14" fillId="0" borderId="5" xfId="4" applyNumberFormat="1" applyFont="1" applyBorder="1" applyAlignment="1">
      <alignment wrapText="1"/>
    </xf>
    <xf numFmtId="0" fontId="14" fillId="0" borderId="0" xfId="4" applyFont="1" applyFill="1"/>
    <xf numFmtId="0" fontId="14" fillId="0" borderId="0" xfId="4" applyFont="1" applyFill="1" applyAlignment="1"/>
    <xf numFmtId="0" fontId="15" fillId="0" borderId="0" xfId="4" applyFont="1" applyFill="1" applyAlignment="1"/>
    <xf numFmtId="0" fontId="14" fillId="0" borderId="0" xfId="4" applyFont="1" applyFill="1" applyAlignment="1">
      <alignment horizontal="left"/>
    </xf>
    <xf numFmtId="0" fontId="14" fillId="0" borderId="0" xfId="4" applyFont="1" applyFill="1" applyAlignment="1">
      <alignment horizontal="left" wrapText="1"/>
    </xf>
    <xf numFmtId="0" fontId="8" fillId="0" borderId="0" xfId="4" applyFont="1" applyFill="1" applyAlignment="1">
      <alignment horizontal="center"/>
    </xf>
    <xf numFmtId="0" fontId="8" fillId="0" borderId="0" xfId="4" applyFont="1" applyFill="1" applyAlignment="1"/>
    <xf numFmtId="0" fontId="8" fillId="0" borderId="0" xfId="4" applyFont="1" applyFill="1" applyAlignment="1">
      <alignment horizontal="left" wrapText="1"/>
    </xf>
    <xf numFmtId="0" fontId="23" fillId="0" borderId="0" xfId="4" applyFont="1" applyFill="1" applyAlignment="1"/>
    <xf numFmtId="0" fontId="24" fillId="0" borderId="0" xfId="4" applyFont="1" applyFill="1" applyAlignment="1"/>
    <xf numFmtId="0" fontId="23" fillId="0" borderId="0" xfId="4" applyFont="1" applyFill="1" applyAlignment="1">
      <alignment horizontal="left"/>
    </xf>
    <xf numFmtId="0" fontId="14" fillId="0" borderId="0" xfId="4" applyFont="1" applyFill="1" applyBorder="1" applyAlignment="1"/>
    <xf numFmtId="0" fontId="15" fillId="0" borderId="0" xfId="4" applyFont="1" applyFill="1" applyBorder="1" applyAlignment="1"/>
    <xf numFmtId="0" fontId="14" fillId="0" borderId="0" xfId="4" applyFont="1" applyFill="1" applyBorder="1" applyAlignment="1">
      <alignment horizontal="left"/>
    </xf>
    <xf numFmtId="0" fontId="12" fillId="0" borderId="0" xfId="4" applyFont="1" applyFill="1" applyAlignment="1">
      <alignment horizontal="right" vertical="center"/>
    </xf>
    <xf numFmtId="0" fontId="25" fillId="0" borderId="0" xfId="4" applyFont="1" applyFill="1" applyAlignment="1">
      <alignment horizontal="right" vertical="center"/>
    </xf>
    <xf numFmtId="0" fontId="12" fillId="0" borderId="0" xfId="4" applyFont="1" applyFill="1" applyAlignment="1">
      <alignment horizontal="left" vertical="center" wrapText="1"/>
    </xf>
    <xf numFmtId="0" fontId="4" fillId="0" borderId="0" xfId="4" applyFont="1" applyFill="1"/>
    <xf numFmtId="0" fontId="12" fillId="0" borderId="2" xfId="4" applyFont="1" applyFill="1" applyBorder="1" applyAlignment="1">
      <alignment horizontal="center" vertical="center" wrapText="1"/>
    </xf>
    <xf numFmtId="0" fontId="12" fillId="0" borderId="8" xfId="4" applyFont="1" applyFill="1" applyBorder="1" applyAlignment="1">
      <alignment horizontal="center" vertical="center" wrapText="1"/>
    </xf>
    <xf numFmtId="0" fontId="12" fillId="0" borderId="0" xfId="4" applyFont="1" applyFill="1" applyBorder="1" applyAlignment="1">
      <alignment horizontal="center" vertical="center" wrapText="1"/>
    </xf>
    <xf numFmtId="3" fontId="25" fillId="0" borderId="56" xfId="4" applyNumberFormat="1" applyFont="1" applyFill="1" applyBorder="1" applyAlignment="1">
      <alignment horizontal="right" vertical="center" wrapText="1"/>
    </xf>
    <xf numFmtId="3" fontId="25" fillId="0" borderId="56" xfId="4" applyNumberFormat="1" applyFont="1" applyFill="1" applyBorder="1" applyAlignment="1">
      <alignment horizontal="center" vertical="center" wrapText="1"/>
    </xf>
    <xf numFmtId="10" fontId="9" fillId="0" borderId="46" xfId="25" applyNumberFormat="1" applyFont="1" applyFill="1" applyBorder="1" applyAlignment="1">
      <alignment horizontal="left" vertical="center" wrapText="1"/>
    </xf>
    <xf numFmtId="0" fontId="25" fillId="0" borderId="4" xfId="4" applyFont="1" applyFill="1" applyBorder="1" applyAlignment="1">
      <alignment horizontal="center" vertical="center" wrapText="1"/>
    </xf>
    <xf numFmtId="0" fontId="25" fillId="0" borderId="5" xfId="4" applyFont="1" applyFill="1" applyBorder="1" applyAlignment="1">
      <alignment horizontal="left" vertical="center" wrapText="1"/>
    </xf>
    <xf numFmtId="3" fontId="25" fillId="0" borderId="5" xfId="4" applyNumberFormat="1" applyFont="1" applyFill="1" applyBorder="1" applyAlignment="1">
      <alignment horizontal="right" vertical="center" wrapText="1"/>
    </xf>
    <xf numFmtId="0" fontId="4" fillId="0" borderId="6" xfId="4" applyFont="1" applyFill="1" applyBorder="1" applyAlignment="1">
      <alignment horizontal="left" wrapText="1"/>
    </xf>
    <xf numFmtId="0" fontId="4" fillId="0" borderId="0" xfId="4" applyFont="1" applyFill="1" applyAlignment="1">
      <alignment horizontal="center"/>
    </xf>
    <xf numFmtId="0" fontId="12" fillId="0" borderId="5" xfId="4" applyFont="1" applyFill="1" applyBorder="1" applyAlignment="1">
      <alignment vertical="center" wrapText="1"/>
    </xf>
    <xf numFmtId="3" fontId="12" fillId="0" borderId="5" xfId="4" applyNumberFormat="1" applyFont="1" applyFill="1" applyBorder="1" applyAlignment="1">
      <alignment horizontal="right" vertical="center" wrapText="1"/>
    </xf>
    <xf numFmtId="0" fontId="25" fillId="0" borderId="5" xfId="4" applyFont="1" applyFill="1" applyBorder="1" applyAlignment="1">
      <alignment horizontal="right" vertical="center" wrapText="1"/>
    </xf>
    <xf numFmtId="3" fontId="12" fillId="0" borderId="5" xfId="4" applyNumberFormat="1" applyFont="1" applyFill="1" applyBorder="1" applyAlignment="1">
      <alignment vertical="center" wrapText="1"/>
    </xf>
    <xf numFmtId="0" fontId="12" fillId="0" borderId="6" xfId="4" applyFont="1" applyFill="1" applyBorder="1" applyAlignment="1">
      <alignment horizontal="left" vertical="center" wrapText="1"/>
    </xf>
    <xf numFmtId="3" fontId="12" fillId="0" borderId="0" xfId="4" applyNumberFormat="1" applyFont="1" applyFill="1" applyBorder="1" applyAlignment="1">
      <alignment horizontal="right" vertical="center" wrapText="1"/>
    </xf>
    <xf numFmtId="166" fontId="25" fillId="0" borderId="5" xfId="26" applyNumberFormat="1" applyFont="1" applyFill="1" applyBorder="1" applyAlignment="1">
      <alignment horizontal="right" vertical="center" wrapText="1"/>
    </xf>
    <xf numFmtId="0" fontId="25" fillId="0" borderId="6" xfId="4" applyFont="1" applyFill="1" applyBorder="1" applyAlignment="1">
      <alignment horizontal="left" vertical="center" wrapText="1"/>
    </xf>
    <xf numFmtId="0" fontId="12" fillId="0" borderId="4" xfId="4" applyFont="1" applyFill="1" applyBorder="1" applyAlignment="1">
      <alignment horizontal="center" vertical="center" wrapText="1"/>
    </xf>
    <xf numFmtId="0" fontId="12" fillId="0" borderId="5" xfId="4" applyFont="1" applyFill="1" applyBorder="1" applyAlignment="1">
      <alignment horizontal="left" vertical="center" wrapText="1"/>
    </xf>
    <xf numFmtId="0" fontId="12" fillId="0" borderId="5" xfId="4" applyFont="1" applyFill="1" applyBorder="1" applyAlignment="1">
      <alignment horizontal="right" vertical="center" wrapText="1"/>
    </xf>
    <xf numFmtId="3" fontId="25" fillId="0" borderId="5" xfId="4" applyNumberFormat="1" applyFont="1" applyFill="1" applyBorder="1" applyAlignment="1">
      <alignment vertical="center" wrapText="1"/>
    </xf>
    <xf numFmtId="3" fontId="12" fillId="0" borderId="5" xfId="4" applyNumberFormat="1" applyFont="1" applyFill="1" applyBorder="1" applyAlignment="1">
      <alignment vertical="center"/>
    </xf>
    <xf numFmtId="0" fontId="25" fillId="0" borderId="5" xfId="4" applyFont="1" applyFill="1" applyBorder="1" applyAlignment="1">
      <alignment horizontal="right" vertical="center"/>
    </xf>
    <xf numFmtId="16" fontId="12" fillId="0" borderId="4" xfId="4" applyNumberFormat="1" applyFont="1" applyFill="1" applyBorder="1" applyAlignment="1">
      <alignment horizontal="center" vertical="center" wrapText="1"/>
    </xf>
    <xf numFmtId="0" fontId="25" fillId="0" borderId="5" xfId="4" applyFont="1" applyFill="1" applyBorder="1" applyAlignment="1">
      <alignment vertical="center"/>
    </xf>
    <xf numFmtId="3" fontId="12" fillId="0" borderId="5" xfId="4" applyNumberFormat="1" applyFont="1" applyFill="1" applyBorder="1" applyAlignment="1">
      <alignment horizontal="right" vertical="center"/>
    </xf>
    <xf numFmtId="0" fontId="25" fillId="0" borderId="5" xfId="4" applyFont="1" applyFill="1" applyBorder="1" applyAlignment="1">
      <alignment vertical="center" wrapText="1"/>
    </xf>
    <xf numFmtId="14" fontId="12" fillId="0" borderId="4" xfId="4" applyNumberFormat="1" applyFont="1" applyFill="1" applyBorder="1" applyAlignment="1">
      <alignment horizontal="center" vertical="center" wrapText="1"/>
    </xf>
    <xf numFmtId="0" fontId="12" fillId="0" borderId="4" xfId="4" applyFont="1" applyFill="1" applyBorder="1" applyAlignment="1">
      <alignment horizontal="center"/>
    </xf>
    <xf numFmtId="0" fontId="12" fillId="0" borderId="5" xfId="4" applyFont="1" applyFill="1" applyBorder="1" applyAlignment="1">
      <alignment horizontal="right"/>
    </xf>
    <xf numFmtId="3" fontId="12" fillId="0" borderId="5" xfId="25" applyNumberFormat="1" applyFont="1" applyFill="1" applyBorder="1" applyAlignment="1">
      <alignment vertical="center" wrapText="1"/>
    </xf>
    <xf numFmtId="3" fontId="12" fillId="0" borderId="5" xfId="25" applyNumberFormat="1" applyFont="1" applyFill="1" applyBorder="1" applyAlignment="1">
      <alignment horizontal="right" vertical="center" wrapText="1"/>
    </xf>
    <xf numFmtId="44" fontId="12" fillId="0" borderId="5" xfId="27" applyFont="1" applyFill="1" applyBorder="1" applyAlignment="1">
      <alignment horizontal="left" vertical="center" wrapText="1"/>
    </xf>
    <xf numFmtId="3" fontId="25" fillId="0" borderId="6" xfId="4" applyNumberFormat="1" applyFont="1" applyFill="1" applyBorder="1" applyAlignment="1">
      <alignment horizontal="left" vertical="center" wrapText="1"/>
    </xf>
    <xf numFmtId="0" fontId="12" fillId="0" borderId="5" xfId="4" applyFont="1" applyFill="1" applyBorder="1" applyAlignment="1">
      <alignment horizontal="right" vertical="center"/>
    </xf>
    <xf numFmtId="3" fontId="12" fillId="0" borderId="5" xfId="4" applyNumberFormat="1" applyFont="1" applyFill="1" applyBorder="1" applyAlignment="1">
      <alignment horizontal="center" vertical="center"/>
    </xf>
    <xf numFmtId="0" fontId="12" fillId="0" borderId="5" xfId="4" applyFont="1" applyFill="1" applyBorder="1" applyAlignment="1">
      <alignment vertical="center"/>
    </xf>
    <xf numFmtId="0" fontId="12" fillId="0" borderId="5" xfId="4" applyFont="1" applyFill="1" applyBorder="1" applyAlignment="1">
      <alignment wrapText="1"/>
    </xf>
    <xf numFmtId="0" fontId="12" fillId="0" borderId="5" xfId="4" applyFont="1" applyFill="1" applyBorder="1" applyAlignment="1"/>
    <xf numFmtId="0" fontId="12" fillId="0" borderId="4" xfId="4" applyFont="1" applyFill="1" applyBorder="1" applyAlignment="1">
      <alignment horizontal="center" vertical="center"/>
    </xf>
    <xf numFmtId="3" fontId="12" fillId="0" borderId="6" xfId="25" applyNumberFormat="1" applyFont="1" applyFill="1" applyBorder="1" applyAlignment="1">
      <alignment horizontal="left" vertical="center" wrapText="1"/>
    </xf>
    <xf numFmtId="0" fontId="12" fillId="0" borderId="7" xfId="4" applyFont="1" applyFill="1" applyBorder="1" applyAlignment="1">
      <alignment horizontal="center" vertical="center" wrapText="1"/>
    </xf>
    <xf numFmtId="0" fontId="12" fillId="0" borderId="8" xfId="4" applyFont="1" applyFill="1" applyBorder="1" applyAlignment="1">
      <alignment horizontal="left" vertical="center" wrapText="1"/>
    </xf>
    <xf numFmtId="0" fontId="12" fillId="0" borderId="8" xfId="4" applyFont="1" applyFill="1" applyBorder="1" applyAlignment="1">
      <alignment horizontal="right" vertical="center" wrapText="1"/>
    </xf>
    <xf numFmtId="3" fontId="12" fillId="0" borderId="8" xfId="4" applyNumberFormat="1" applyFont="1" applyFill="1" applyBorder="1" applyAlignment="1">
      <alignment horizontal="right" vertical="center" wrapText="1"/>
    </xf>
    <xf numFmtId="3" fontId="12" fillId="0" borderId="8" xfId="4" applyNumberFormat="1" applyFont="1" applyFill="1" applyBorder="1" applyAlignment="1">
      <alignment horizontal="right" vertical="center"/>
    </xf>
    <xf numFmtId="0" fontId="25" fillId="0" borderId="8" xfId="4" applyFont="1" applyFill="1" applyBorder="1" applyAlignment="1">
      <alignment horizontal="right" vertical="center"/>
    </xf>
    <xf numFmtId="0" fontId="12" fillId="0" borderId="9" xfId="4" applyFont="1" applyFill="1" applyBorder="1" applyAlignment="1">
      <alignment horizontal="left" vertical="center" wrapText="1"/>
    </xf>
    <xf numFmtId="0" fontId="12" fillId="0" borderId="0" xfId="4" applyFont="1" applyFill="1" applyBorder="1" applyAlignment="1">
      <alignment horizontal="left" vertical="center" wrapText="1"/>
    </xf>
    <xf numFmtId="3" fontId="12" fillId="0" borderId="0" xfId="4" applyNumberFormat="1" applyFont="1" applyFill="1" applyBorder="1" applyAlignment="1">
      <alignment horizontal="right" vertical="center"/>
    </xf>
    <xf numFmtId="3" fontId="12" fillId="0" borderId="0" xfId="25" applyNumberFormat="1" applyFont="1" applyFill="1" applyBorder="1" applyAlignment="1">
      <alignment horizontal="right" vertical="center" wrapText="1"/>
    </xf>
    <xf numFmtId="0" fontId="25" fillId="0" borderId="0" xfId="4" applyFont="1" applyFill="1" applyBorder="1" applyAlignment="1">
      <alignment horizontal="right" vertical="center"/>
    </xf>
    <xf numFmtId="0" fontId="9" fillId="0" borderId="0" xfId="4" applyFont="1" applyFill="1"/>
    <xf numFmtId="0" fontId="4" fillId="0" borderId="0" xfId="4" applyFont="1" applyFill="1" applyAlignment="1">
      <alignment horizontal="left" wrapText="1"/>
    </xf>
    <xf numFmtId="0" fontId="14" fillId="0" borderId="5" xfId="28" applyFont="1" applyBorder="1" applyAlignment="1">
      <alignment horizontal="center"/>
    </xf>
    <xf numFmtId="0" fontId="14" fillId="0" borderId="5" xfId="28" applyFont="1" applyFill="1" applyBorder="1" applyAlignment="1">
      <alignment wrapText="1"/>
    </xf>
    <xf numFmtId="167" fontId="14" fillId="0" borderId="5" xfId="28" applyNumberFormat="1" applyFont="1" applyFill="1" applyBorder="1" applyAlignment="1">
      <alignment horizontal="right" vertical="center"/>
    </xf>
    <xf numFmtId="0" fontId="17" fillId="0" borderId="5" xfId="23" applyBorder="1" applyAlignment="1">
      <alignment horizontal="right" vertical="center"/>
    </xf>
    <xf numFmtId="0" fontId="17" fillId="0" borderId="5" xfId="23" applyBorder="1"/>
    <xf numFmtId="0" fontId="17" fillId="0" borderId="0" xfId="23"/>
    <xf numFmtId="167" fontId="14" fillId="0" borderId="5" xfId="28" applyNumberFormat="1" applyFont="1" applyBorder="1" applyAlignment="1">
      <alignment horizontal="right" vertical="center"/>
    </xf>
    <xf numFmtId="0" fontId="14" fillId="0" borderId="5" xfId="4" applyFont="1" applyBorder="1" applyAlignment="1">
      <alignment horizontal="left" wrapText="1"/>
    </xf>
    <xf numFmtId="3" fontId="15" fillId="0" borderId="5" xfId="28" applyNumberFormat="1" applyFont="1" applyFill="1" applyBorder="1" applyAlignment="1">
      <alignment horizontal="right" vertical="center"/>
    </xf>
    <xf numFmtId="0" fontId="17" fillId="0" borderId="5" xfId="23" applyBorder="1" applyAlignment="1">
      <alignment wrapText="1"/>
    </xf>
    <xf numFmtId="3" fontId="14" fillId="0" borderId="5" xfId="4" applyNumberFormat="1" applyFont="1" applyBorder="1" applyAlignment="1">
      <alignment horizontal="right" vertical="center" wrapText="1"/>
    </xf>
    <xf numFmtId="0" fontId="14" fillId="0" borderId="0" xfId="4" applyFont="1" applyAlignment="1">
      <alignment horizontal="right" vertical="center"/>
    </xf>
    <xf numFmtId="3" fontId="14" fillId="0" borderId="5" xfId="4" applyNumberFormat="1" applyFont="1" applyBorder="1" applyAlignment="1">
      <alignment horizontal="right" vertical="center"/>
    </xf>
    <xf numFmtId="0" fontId="14" fillId="0" borderId="5" xfId="28" applyFont="1" applyBorder="1" applyAlignment="1">
      <alignment horizontal="center" vertical="center" wrapText="1"/>
    </xf>
    <xf numFmtId="0" fontId="14" fillId="0" borderId="5" xfId="4" applyFont="1" applyBorder="1" applyAlignment="1">
      <alignment horizontal="left" vertical="center" wrapText="1"/>
    </xf>
    <xf numFmtId="0" fontId="17" fillId="0" borderId="5" xfId="23" applyBorder="1" applyAlignment="1">
      <alignment vertical="center"/>
    </xf>
    <xf numFmtId="0" fontId="14" fillId="0" borderId="5" xfId="28" applyFont="1" applyBorder="1" applyAlignment="1">
      <alignment horizontal="center" wrapText="1"/>
    </xf>
    <xf numFmtId="0" fontId="14" fillId="0" borderId="5" xfId="28" applyFont="1" applyFill="1" applyBorder="1" applyAlignment="1" applyProtection="1">
      <alignment horizontal="left" wrapText="1"/>
      <protection locked="0"/>
    </xf>
    <xf numFmtId="167" fontId="14" fillId="0" borderId="5" xfId="28" applyNumberFormat="1" applyFont="1" applyBorder="1" applyAlignment="1">
      <alignment horizontal="right"/>
    </xf>
    <xf numFmtId="0" fontId="17" fillId="0" borderId="5" xfId="23" applyBorder="1" applyAlignment="1">
      <alignment horizontal="right"/>
    </xf>
    <xf numFmtId="0" fontId="14" fillId="0" borderId="5" xfId="28" applyFont="1" applyFill="1" applyBorder="1" applyAlignment="1" applyProtection="1">
      <alignment wrapText="1"/>
      <protection locked="0"/>
    </xf>
    <xf numFmtId="167" fontId="14" fillId="0" borderId="5" xfId="28" applyNumberFormat="1" applyFont="1" applyBorder="1" applyAlignment="1"/>
    <xf numFmtId="3" fontId="14" fillId="0" borderId="5" xfId="4" applyNumberFormat="1" applyFont="1" applyBorder="1" applyAlignment="1">
      <alignment horizontal="right" wrapText="1"/>
    </xf>
    <xf numFmtId="3" fontId="14" fillId="0" borderId="5" xfId="4" applyNumberFormat="1" applyFont="1" applyBorder="1" applyAlignment="1">
      <alignment horizontal="right"/>
    </xf>
    <xf numFmtId="167" fontId="26" fillId="0" borderId="5" xfId="28" applyNumberFormat="1" applyFont="1" applyBorder="1" applyAlignment="1">
      <alignment wrapText="1"/>
    </xf>
    <xf numFmtId="3" fontId="15" fillId="0" borderId="5" xfId="28" applyNumberFormat="1" applyFont="1" applyBorder="1" applyAlignment="1">
      <alignment wrapText="1"/>
    </xf>
    <xf numFmtId="0" fontId="19" fillId="0" borderId="0" xfId="28"/>
    <xf numFmtId="3" fontId="15" fillId="0" borderId="57" xfId="4" applyNumberFormat="1" applyFont="1" applyBorder="1"/>
    <xf numFmtId="0" fontId="14" fillId="0" borderId="57" xfId="4" applyFont="1" applyBorder="1" applyAlignment="1">
      <alignment wrapText="1"/>
    </xf>
    <xf numFmtId="0" fontId="14" fillId="0" borderId="0" xfId="12" applyFont="1" applyFill="1"/>
    <xf numFmtId="0" fontId="14" fillId="0" borderId="0" xfId="12" applyFont="1" applyFill="1" applyAlignment="1"/>
    <xf numFmtId="0" fontId="1" fillId="0" borderId="0" xfId="12" applyFill="1"/>
    <xf numFmtId="0" fontId="8" fillId="0" borderId="0" xfId="12" applyFont="1" applyFill="1" applyAlignment="1">
      <alignment horizontal="center"/>
    </xf>
    <xf numFmtId="0" fontId="14" fillId="0" borderId="2" xfId="12" applyFont="1" applyFill="1" applyBorder="1" applyAlignment="1">
      <alignment horizontal="center" vertical="center" wrapText="1"/>
    </xf>
    <xf numFmtId="0" fontId="14" fillId="0" borderId="8" xfId="12" applyFont="1" applyFill="1" applyBorder="1" applyAlignment="1">
      <alignment horizontal="center" vertical="center" wrapText="1"/>
    </xf>
    <xf numFmtId="3" fontId="15" fillId="0" borderId="56" xfId="12" applyNumberFormat="1" applyFont="1" applyFill="1" applyBorder="1" applyAlignment="1">
      <alignment vertical="center" wrapText="1"/>
    </xf>
    <xf numFmtId="0" fontId="14" fillId="0" borderId="46" xfId="12" applyFont="1" applyFill="1" applyBorder="1" applyAlignment="1">
      <alignment vertical="center" wrapText="1"/>
    </xf>
    <xf numFmtId="0" fontId="15" fillId="0" borderId="4" xfId="28" applyFont="1" applyFill="1" applyBorder="1" applyAlignment="1">
      <alignment horizontal="center" vertical="center" wrapText="1"/>
    </xf>
    <xf numFmtId="0" fontId="15" fillId="0" borderId="5" xfId="10" applyFont="1" applyFill="1" applyBorder="1" applyAlignment="1">
      <alignment vertical="center" wrapText="1"/>
    </xf>
    <xf numFmtId="167" fontId="27" fillId="0" borderId="5" xfId="23" applyNumberFormat="1" applyFont="1" applyFill="1" applyBorder="1" applyAlignment="1">
      <alignment vertical="center"/>
    </xf>
    <xf numFmtId="167" fontId="27" fillId="0" borderId="6" xfId="23" applyNumberFormat="1" applyFont="1" applyFill="1" applyBorder="1" applyAlignment="1">
      <alignment vertical="center"/>
    </xf>
    <xf numFmtId="0" fontId="27" fillId="0" borderId="0" xfId="23" applyFont="1" applyFill="1"/>
    <xf numFmtId="0" fontId="14" fillId="0" borderId="4" xfId="28" applyFont="1" applyFill="1" applyBorder="1" applyAlignment="1">
      <alignment horizontal="center" vertical="center" wrapText="1"/>
    </xf>
    <xf numFmtId="0" fontId="14" fillId="0" borderId="5" xfId="10" applyFont="1" applyFill="1" applyBorder="1" applyAlignment="1" applyProtection="1">
      <alignment horizontal="left" vertical="center" wrapText="1"/>
      <protection locked="0"/>
    </xf>
    <xf numFmtId="167" fontId="14" fillId="0" borderId="5" xfId="28" applyNumberFormat="1" applyFont="1" applyFill="1" applyBorder="1" applyAlignment="1">
      <alignment vertical="center"/>
    </xf>
    <xf numFmtId="0" fontId="26" fillId="0" borderId="5" xfId="23" applyFont="1" applyFill="1" applyBorder="1" applyAlignment="1">
      <alignment vertical="center"/>
    </xf>
    <xf numFmtId="0" fontId="26" fillId="0" borderId="6" xfId="23" applyFont="1" applyFill="1" applyBorder="1" applyAlignment="1">
      <alignment vertical="center" wrapText="1"/>
    </xf>
    <xf numFmtId="0" fontId="17" fillId="0" borderId="0" xfId="23" applyFill="1"/>
    <xf numFmtId="0" fontId="14" fillId="0" borderId="5" xfId="10" applyFont="1" applyFill="1" applyBorder="1" applyAlignment="1">
      <alignment vertical="center" wrapText="1"/>
    </xf>
    <xf numFmtId="0" fontId="26" fillId="0" borderId="6" xfId="23" applyFont="1" applyFill="1" applyBorder="1" applyAlignment="1">
      <alignment vertical="center"/>
    </xf>
    <xf numFmtId="0" fontId="14" fillId="0" borderId="5" xfId="10" applyFont="1" applyFill="1" applyBorder="1" applyAlignment="1">
      <alignment horizontal="left" vertical="center" wrapText="1"/>
    </xf>
    <xf numFmtId="167" fontId="15" fillId="0" borderId="5" xfId="10" applyNumberFormat="1" applyFont="1" applyFill="1" applyBorder="1" applyAlignment="1">
      <alignment vertical="center"/>
    </xf>
    <xf numFmtId="167" fontId="15" fillId="0" borderId="6" xfId="10" applyNumberFormat="1" applyFont="1" applyFill="1" applyBorder="1" applyAlignment="1">
      <alignment vertical="center"/>
    </xf>
    <xf numFmtId="0" fontId="14" fillId="0" borderId="4" xfId="28" applyFont="1" applyFill="1" applyBorder="1" applyAlignment="1">
      <alignment horizontal="center" vertical="center"/>
    </xf>
    <xf numFmtId="0" fontId="15" fillId="0" borderId="4" xfId="28" applyFont="1" applyFill="1" applyBorder="1" applyAlignment="1">
      <alignment horizontal="center" vertical="center"/>
    </xf>
    <xf numFmtId="167" fontId="15" fillId="0" borderId="5" xfId="10" applyNumberFormat="1" applyFont="1" applyFill="1" applyBorder="1" applyAlignment="1">
      <alignment horizontal="right" vertical="center"/>
    </xf>
    <xf numFmtId="167" fontId="15" fillId="0" borderId="6" xfId="10" applyNumberFormat="1" applyFont="1" applyFill="1" applyBorder="1" applyAlignment="1">
      <alignment horizontal="right" vertical="center"/>
    </xf>
    <xf numFmtId="3" fontId="15" fillId="0" borderId="5" xfId="28" applyNumberFormat="1" applyFont="1" applyFill="1" applyBorder="1" applyAlignment="1">
      <alignment vertical="center"/>
    </xf>
    <xf numFmtId="167" fontId="28" fillId="0" borderId="5" xfId="28" applyNumberFormat="1" applyFont="1" applyFill="1" applyBorder="1" applyAlignment="1">
      <alignment vertical="center"/>
    </xf>
    <xf numFmtId="167" fontId="28" fillId="0" borderId="6" xfId="28" applyNumberFormat="1" applyFont="1" applyFill="1" applyBorder="1" applyAlignment="1">
      <alignment vertical="center"/>
    </xf>
    <xf numFmtId="0" fontId="29" fillId="0" borderId="0" xfId="28" applyFont="1" applyFill="1" applyAlignment="1"/>
    <xf numFmtId="0" fontId="29" fillId="0" borderId="5" xfId="28" applyFont="1" applyFill="1" applyBorder="1" applyAlignment="1">
      <alignment vertical="center"/>
    </xf>
    <xf numFmtId="3" fontId="28" fillId="0" borderId="5" xfId="28" applyNumberFormat="1" applyFont="1" applyFill="1" applyBorder="1" applyAlignment="1">
      <alignment horizontal="right" vertical="center" wrapText="1"/>
    </xf>
    <xf numFmtId="0" fontId="29" fillId="0" borderId="6" xfId="28" applyFont="1" applyFill="1" applyBorder="1" applyAlignment="1">
      <alignment vertical="center"/>
    </xf>
    <xf numFmtId="0" fontId="30" fillId="0" borderId="0" xfId="28" applyFont="1" applyFill="1" applyAlignment="1"/>
    <xf numFmtId="0" fontId="29" fillId="0" borderId="6" xfId="28" applyFont="1" applyFill="1" applyBorder="1" applyAlignment="1">
      <alignment vertical="center" wrapText="1"/>
    </xf>
    <xf numFmtId="0" fontId="15" fillId="0" borderId="5" xfId="10" applyFont="1" applyFill="1" applyBorder="1" applyAlignment="1">
      <alignment vertical="center"/>
    </xf>
    <xf numFmtId="0" fontId="14" fillId="0" borderId="32" xfId="28" applyFont="1" applyFill="1" applyBorder="1" applyAlignment="1">
      <alignment horizontal="center" vertical="center"/>
    </xf>
    <xf numFmtId="0" fontId="14" fillId="0" borderId="37" xfId="10" applyFont="1" applyFill="1" applyBorder="1" applyAlignment="1">
      <alignment vertical="center" wrapText="1"/>
    </xf>
    <xf numFmtId="167" fontId="14" fillId="0" borderId="37" xfId="28" applyNumberFormat="1" applyFont="1" applyFill="1" applyBorder="1" applyAlignment="1">
      <alignment vertical="center"/>
    </xf>
    <xf numFmtId="0" fontId="26" fillId="0" borderId="37" xfId="23" applyFont="1" applyFill="1" applyBorder="1" applyAlignment="1">
      <alignment vertical="center"/>
    </xf>
    <xf numFmtId="3" fontId="15" fillId="0" borderId="37" xfId="28" applyNumberFormat="1" applyFont="1" applyFill="1" applyBorder="1" applyAlignment="1">
      <alignment vertical="center"/>
    </xf>
    <xf numFmtId="0" fontId="26" fillId="0" borderId="38" xfId="23" applyFont="1" applyFill="1" applyBorder="1" applyAlignment="1">
      <alignment vertical="center"/>
    </xf>
    <xf numFmtId="0" fontId="14" fillId="0" borderId="7" xfId="28" applyFont="1" applyFill="1" applyBorder="1" applyAlignment="1">
      <alignment horizontal="center" vertical="center"/>
    </xf>
    <xf numFmtId="0" fontId="14" fillId="0" borderId="8" xfId="10" applyFont="1" applyFill="1" applyBorder="1" applyAlignment="1">
      <alignment vertical="center" wrapText="1"/>
    </xf>
    <xf numFmtId="167" fontId="14" fillId="0" borderId="8" xfId="28" applyNumberFormat="1" applyFont="1" applyFill="1" applyBorder="1" applyAlignment="1">
      <alignment vertical="center"/>
    </xf>
    <xf numFmtId="0" fontId="26" fillId="0" borderId="8" xfId="23" applyFont="1" applyFill="1" applyBorder="1" applyAlignment="1">
      <alignment vertical="center"/>
    </xf>
    <xf numFmtId="0" fontId="26" fillId="0" borderId="9" xfId="23" applyFont="1" applyFill="1" applyBorder="1" applyAlignment="1">
      <alignment vertical="center" wrapText="1"/>
    </xf>
    <xf numFmtId="167" fontId="17" fillId="0" borderId="0" xfId="23" applyNumberFormat="1" applyFill="1"/>
    <xf numFmtId="1" fontId="14" fillId="0" borderId="7" xfId="24" applyNumberFormat="1" applyFont="1" applyFill="1" applyBorder="1" applyAlignment="1">
      <alignment horizontal="center" vertical="center" wrapText="1"/>
    </xf>
    <xf numFmtId="0" fontId="14" fillId="0" borderId="8" xfId="24" applyFont="1" applyFill="1" applyBorder="1" applyAlignment="1">
      <alignment horizontal="left" vertical="center" wrapText="1"/>
    </xf>
    <xf numFmtId="167" fontId="14" fillId="0" borderId="8" xfId="28" applyNumberFormat="1" applyFont="1" applyFill="1" applyBorder="1" applyAlignment="1">
      <alignment horizontal="right" vertical="center"/>
    </xf>
    <xf numFmtId="0" fontId="17" fillId="0" borderId="8" xfId="23" applyFill="1" applyBorder="1" applyAlignment="1">
      <alignment vertical="center"/>
    </xf>
    <xf numFmtId="3" fontId="15" fillId="0" borderId="8" xfId="24" applyNumberFormat="1" applyFont="1" applyFill="1" applyBorder="1" applyAlignment="1">
      <alignment horizontal="right" vertical="center" wrapText="1"/>
    </xf>
    <xf numFmtId="0" fontId="17" fillId="0" borderId="9" xfId="23" applyFill="1" applyBorder="1" applyAlignment="1">
      <alignment vertical="center"/>
    </xf>
    <xf numFmtId="3" fontId="15" fillId="0" borderId="57" xfId="12" applyNumberFormat="1" applyFont="1" applyBorder="1"/>
    <xf numFmtId="0" fontId="14" fillId="0" borderId="57" xfId="12" applyFont="1" applyBorder="1"/>
    <xf numFmtId="0" fontId="14" fillId="0" borderId="0" xfId="12" applyFont="1"/>
    <xf numFmtId="0" fontId="14" fillId="0" borderId="32" xfId="28" applyFont="1" applyFill="1" applyBorder="1" applyAlignment="1">
      <alignment horizontal="center" vertical="center" wrapText="1"/>
    </xf>
    <xf numFmtId="0" fontId="14" fillId="0" borderId="37" xfId="10" applyFont="1" applyFill="1" applyBorder="1" applyAlignment="1" applyProtection="1">
      <alignment horizontal="left" vertical="center" wrapText="1"/>
      <protection locked="0"/>
    </xf>
    <xf numFmtId="0" fontId="26" fillId="0" borderId="38" xfId="23" applyFont="1" applyFill="1" applyBorder="1" applyAlignment="1">
      <alignment horizontal="left" vertical="center" wrapText="1"/>
    </xf>
    <xf numFmtId="0" fontId="23" fillId="0" borderId="0" xfId="12" applyFont="1" applyFill="1" applyAlignment="1"/>
    <xf numFmtId="0" fontId="14" fillId="0" borderId="5" xfId="12" applyFont="1" applyFill="1" applyBorder="1" applyAlignment="1">
      <alignment horizontal="center" vertical="center" wrapText="1"/>
    </xf>
    <xf numFmtId="3" fontId="15" fillId="0" borderId="5" xfId="12" applyNumberFormat="1" applyFont="1" applyFill="1" applyBorder="1" applyAlignment="1">
      <alignment vertical="center" wrapText="1"/>
    </xf>
    <xf numFmtId="0" fontId="14" fillId="0" borderId="5" xfId="12" applyFont="1" applyFill="1" applyBorder="1" applyAlignment="1">
      <alignment vertical="center" wrapText="1"/>
    </xf>
    <xf numFmtId="0" fontId="14" fillId="0" borderId="5" xfId="28" applyFont="1" applyFill="1" applyBorder="1" applyAlignment="1">
      <alignment horizontal="center" vertical="center" wrapText="1"/>
    </xf>
    <xf numFmtId="0" fontId="26" fillId="0" borderId="5" xfId="12" applyFont="1" applyBorder="1" applyAlignment="1">
      <alignment horizontal="right" vertical="center"/>
    </xf>
    <xf numFmtId="167" fontId="26" fillId="0" borderId="5" xfId="12" applyNumberFormat="1" applyFont="1" applyBorder="1" applyAlignment="1">
      <alignment horizontal="right" vertical="center"/>
    </xf>
    <xf numFmtId="0" fontId="26" fillId="0" borderId="5" xfId="12" applyFont="1" applyBorder="1" applyAlignment="1">
      <alignment vertical="center"/>
    </xf>
    <xf numFmtId="0" fontId="1" fillId="0" borderId="0" xfId="12"/>
    <xf numFmtId="0" fontId="14" fillId="0" borderId="5" xfId="28" applyFont="1" applyFill="1" applyBorder="1" applyAlignment="1">
      <alignment horizontal="center" vertical="center"/>
    </xf>
    <xf numFmtId="167" fontId="26" fillId="0" borderId="5" xfId="12" applyNumberFormat="1" applyFont="1" applyBorder="1" applyAlignment="1">
      <alignment horizontal="right" vertical="center" wrapText="1"/>
    </xf>
    <xf numFmtId="167" fontId="14" fillId="0" borderId="5" xfId="10" applyNumberFormat="1" applyFont="1" applyFill="1" applyBorder="1" applyAlignment="1">
      <alignment horizontal="right" vertical="center"/>
    </xf>
    <xf numFmtId="0" fontId="14" fillId="0" borderId="0" xfId="4" applyFont="1" applyFill="1" applyAlignment="1">
      <alignment horizontal="right"/>
    </xf>
    <xf numFmtId="0" fontId="14" fillId="0" borderId="0" xfId="4" applyFont="1" applyAlignment="1">
      <alignment horizontal="right"/>
    </xf>
    <xf numFmtId="0" fontId="14" fillId="0" borderId="2" xfId="4" applyFont="1" applyBorder="1" applyAlignment="1">
      <alignment horizontal="center" wrapText="1"/>
    </xf>
    <xf numFmtId="0" fontId="14" fillId="0" borderId="8" xfId="4" applyFont="1" applyBorder="1" applyAlignment="1">
      <alignment horizontal="center" vertical="center" wrapText="1"/>
    </xf>
    <xf numFmtId="3" fontId="15" fillId="0" borderId="56" xfId="4" applyNumberFormat="1" applyFont="1" applyFill="1" applyBorder="1" applyAlignment="1">
      <alignment wrapText="1"/>
    </xf>
    <xf numFmtId="0" fontId="14" fillId="0" borderId="46" xfId="4" applyFont="1" applyFill="1" applyBorder="1" applyAlignment="1">
      <alignment wrapText="1"/>
    </xf>
    <xf numFmtId="0" fontId="14" fillId="0" borderId="4" xfId="4" applyFont="1" applyFill="1" applyBorder="1" applyAlignment="1">
      <alignment horizontal="center" wrapText="1"/>
    </xf>
    <xf numFmtId="0" fontId="14" fillId="0" borderId="5" xfId="4" applyFont="1" applyFill="1" applyBorder="1" applyAlignment="1">
      <alignment horizontal="left" wrapText="1"/>
    </xf>
    <xf numFmtId="3" fontId="14" fillId="0" borderId="5" xfId="4" applyNumberFormat="1" applyFont="1" applyFill="1" applyBorder="1" applyAlignment="1">
      <alignment horizontal="right" wrapText="1"/>
    </xf>
    <xf numFmtId="3" fontId="14" fillId="0" borderId="5" xfId="4" applyNumberFormat="1" applyFont="1" applyFill="1" applyBorder="1" applyAlignment="1">
      <alignment wrapText="1"/>
    </xf>
    <xf numFmtId="3" fontId="15" fillId="0" borderId="5" xfId="4" applyNumberFormat="1" applyFont="1" applyFill="1" applyBorder="1" applyAlignment="1">
      <alignment wrapText="1"/>
    </xf>
    <xf numFmtId="0" fontId="14" fillId="0" borderId="6" xfId="4" applyFont="1" applyBorder="1" applyAlignment="1">
      <alignment horizontal="left" wrapText="1"/>
    </xf>
    <xf numFmtId="0" fontId="14" fillId="0" borderId="6" xfId="4" applyFont="1" applyFill="1" applyBorder="1" applyAlignment="1">
      <alignment wrapText="1"/>
    </xf>
    <xf numFmtId="0" fontId="14" fillId="0" borderId="6" xfId="4" applyFont="1" applyBorder="1" applyAlignment="1">
      <alignment vertical="top" wrapText="1"/>
    </xf>
    <xf numFmtId="0" fontId="14" fillId="0" borderId="6" xfId="4" applyFont="1" applyBorder="1" applyAlignment="1">
      <alignment wrapText="1"/>
    </xf>
    <xf numFmtId="0" fontId="14" fillId="0" borderId="4" xfId="4" applyFont="1" applyFill="1" applyBorder="1" applyAlignment="1">
      <alignment horizontal="center"/>
    </xf>
    <xf numFmtId="3" fontId="14" fillId="0" borderId="5" xfId="4" applyNumberFormat="1" applyFont="1" applyFill="1" applyBorder="1" applyAlignment="1">
      <alignment horizontal="right"/>
    </xf>
    <xf numFmtId="0" fontId="14" fillId="0" borderId="7" xfId="4" applyFont="1" applyFill="1" applyBorder="1" applyAlignment="1">
      <alignment horizontal="center" wrapText="1"/>
    </xf>
    <xf numFmtId="0" fontId="14" fillId="0" borderId="8" xfId="4" applyFont="1" applyFill="1" applyBorder="1" applyAlignment="1">
      <alignment horizontal="left" wrapText="1"/>
    </xf>
    <xf numFmtId="3" fontId="14" fillId="0" borderId="8" xfId="4" applyNumberFormat="1" applyFont="1" applyFill="1" applyBorder="1" applyAlignment="1">
      <alignment horizontal="right" wrapText="1"/>
    </xf>
    <xf numFmtId="3" fontId="14" fillId="0" borderId="8" xfId="4" applyNumberFormat="1" applyFont="1" applyFill="1" applyBorder="1" applyAlignment="1">
      <alignment wrapText="1"/>
    </xf>
    <xf numFmtId="3" fontId="15" fillId="0" borderId="8" xfId="4" applyNumberFormat="1" applyFont="1" applyFill="1" applyBorder="1" applyAlignment="1">
      <alignment wrapText="1"/>
    </xf>
    <xf numFmtId="0" fontId="14" fillId="0" borderId="9" xfId="4" applyFont="1" applyFill="1" applyBorder="1" applyAlignment="1">
      <alignment wrapText="1"/>
    </xf>
    <xf numFmtId="0" fontId="14" fillId="0" borderId="47" xfId="4" applyFont="1" applyBorder="1"/>
    <xf numFmtId="0" fontId="14" fillId="0" borderId="0" xfId="4" applyFont="1" applyBorder="1"/>
    <xf numFmtId="3" fontId="14" fillId="0" borderId="0" xfId="4" applyNumberFormat="1" applyFont="1" applyFill="1" applyBorder="1" applyAlignment="1">
      <alignment horizontal="left"/>
    </xf>
    <xf numFmtId="3" fontId="14" fillId="0" borderId="0" xfId="4" applyNumberFormat="1" applyFont="1" applyBorder="1" applyAlignment="1">
      <alignment horizontal="left"/>
    </xf>
    <xf numFmtId="0" fontId="14" fillId="0" borderId="0" xfId="4" applyFont="1" applyBorder="1" applyAlignment="1">
      <alignment horizontal="left"/>
    </xf>
    <xf numFmtId="0" fontId="15" fillId="0" borderId="4" xfId="4" applyFont="1" applyFill="1" applyBorder="1" applyAlignment="1">
      <alignment horizontal="center" wrapText="1"/>
    </xf>
    <xf numFmtId="2" fontId="15" fillId="0" borderId="5" xfId="4" applyNumberFormat="1" applyFont="1" applyFill="1" applyBorder="1" applyAlignment="1" applyProtection="1">
      <alignment horizontal="left" wrapText="1"/>
    </xf>
    <xf numFmtId="0" fontId="15" fillId="0" borderId="5" xfId="4" applyFont="1" applyFill="1" applyBorder="1" applyAlignment="1">
      <alignment horizontal="left" wrapText="1"/>
    </xf>
    <xf numFmtId="3" fontId="15" fillId="0" borderId="5" xfId="4" applyNumberFormat="1" applyFont="1" applyFill="1" applyBorder="1" applyAlignment="1">
      <alignment horizontal="right" wrapText="1"/>
    </xf>
    <xf numFmtId="0" fontId="14" fillId="0" borderId="6" xfId="4" applyFont="1" applyFill="1" applyBorder="1" applyAlignment="1">
      <alignment horizontal="left" wrapText="1"/>
    </xf>
    <xf numFmtId="0" fontId="15" fillId="0" borderId="4" xfId="4" applyFont="1" applyBorder="1" applyAlignment="1">
      <alignment horizontal="center" vertical="center" wrapText="1"/>
    </xf>
    <xf numFmtId="0" fontId="15" fillId="0" borderId="5" xfId="4" applyFont="1" applyBorder="1" applyAlignment="1">
      <alignment horizontal="left" vertical="center" wrapText="1"/>
    </xf>
    <xf numFmtId="3" fontId="15" fillId="0" borderId="5" xfId="4" applyNumberFormat="1" applyFont="1" applyFill="1" applyBorder="1" applyAlignment="1">
      <alignment horizontal="right" vertical="center" wrapText="1"/>
    </xf>
    <xf numFmtId="3" fontId="15" fillId="0" borderId="5" xfId="4" applyNumberFormat="1" applyFont="1" applyBorder="1" applyAlignment="1">
      <alignment horizontal="right" vertical="center" wrapText="1"/>
    </xf>
    <xf numFmtId="3" fontId="15" fillId="0" borderId="5" xfId="4" applyNumberFormat="1" applyFont="1" applyBorder="1" applyAlignment="1">
      <alignment horizontal="center" vertical="center" wrapText="1"/>
    </xf>
    <xf numFmtId="0" fontId="14" fillId="0" borderId="6" xfId="4" applyFont="1" applyBorder="1" applyAlignment="1">
      <alignment horizontal="center" vertical="center" wrapText="1"/>
    </xf>
    <xf numFmtId="0" fontId="14" fillId="0" borderId="58" xfId="4" applyFont="1" applyBorder="1" applyAlignment="1">
      <alignment wrapText="1"/>
    </xf>
    <xf numFmtId="0" fontId="14" fillId="0" borderId="33" xfId="4" applyFont="1" applyFill="1" applyBorder="1" applyAlignment="1">
      <alignment wrapText="1"/>
    </xf>
    <xf numFmtId="0" fontId="14" fillId="0" borderId="0" xfId="4" applyFont="1" applyBorder="1" applyAlignment="1">
      <alignment wrapText="1"/>
    </xf>
    <xf numFmtId="0" fontId="15" fillId="0" borderId="0" xfId="4" applyFont="1" applyBorder="1" applyAlignment="1">
      <alignment wrapText="1"/>
    </xf>
    <xf numFmtId="0" fontId="14" fillId="0" borderId="60" xfId="4" applyFont="1" applyBorder="1" applyAlignment="1">
      <alignment wrapText="1"/>
    </xf>
    <xf numFmtId="0" fontId="14" fillId="0" borderId="4" xfId="4" applyFont="1" applyBorder="1" applyAlignment="1">
      <alignment horizontal="center"/>
    </xf>
    <xf numFmtId="0" fontId="14" fillId="0" borderId="39" xfId="4" applyFont="1" applyBorder="1"/>
    <xf numFmtId="3" fontId="15" fillId="0" borderId="5" xfId="4" applyNumberFormat="1" applyFont="1" applyBorder="1" applyAlignment="1">
      <alignment horizontal="right"/>
    </xf>
    <xf numFmtId="0" fontId="14" fillId="0" borderId="4" xfId="4" applyFont="1" applyBorder="1" applyAlignment="1">
      <alignment horizontal="center" vertical="center" wrapText="1"/>
    </xf>
    <xf numFmtId="3" fontId="14" fillId="0" borderId="5" xfId="4" applyNumberFormat="1" applyFont="1" applyFill="1" applyBorder="1" applyAlignment="1">
      <alignment horizontal="right" vertical="center" wrapText="1"/>
    </xf>
    <xf numFmtId="3" fontId="14" fillId="0" borderId="40" xfId="4" applyNumberFormat="1" applyFont="1" applyFill="1" applyBorder="1" applyAlignment="1">
      <alignment horizontal="right" vertical="center" wrapText="1"/>
    </xf>
    <xf numFmtId="0" fontId="14" fillId="0" borderId="32" xfId="4" applyFont="1" applyBorder="1" applyAlignment="1">
      <alignment horizontal="center" wrapText="1"/>
    </xf>
    <xf numFmtId="0" fontId="14" fillId="0" borderId="37" xfId="4" applyFont="1" applyBorder="1" applyAlignment="1">
      <alignment wrapText="1"/>
    </xf>
    <xf numFmtId="3" fontId="14" fillId="0" borderId="34" xfId="4" applyNumberFormat="1" applyFont="1" applyFill="1" applyBorder="1" applyAlignment="1">
      <alignment wrapText="1"/>
    </xf>
    <xf numFmtId="3" fontId="14" fillId="0" borderId="37" xfId="4" applyNumberFormat="1" applyFont="1" applyBorder="1" applyAlignment="1">
      <alignment wrapText="1"/>
    </xf>
    <xf numFmtId="3" fontId="15" fillId="0" borderId="37" xfId="4" applyNumberFormat="1" applyFont="1" applyBorder="1" applyAlignment="1">
      <alignment wrapText="1"/>
    </xf>
    <xf numFmtId="0" fontId="14" fillId="0" borderId="38" xfId="4" applyFont="1" applyBorder="1" applyAlignment="1">
      <alignment wrapText="1"/>
    </xf>
    <xf numFmtId="0" fontId="15" fillId="0" borderId="32" xfId="4" applyFont="1" applyBorder="1" applyAlignment="1">
      <alignment horizontal="center" wrapText="1"/>
    </xf>
    <xf numFmtId="0" fontId="15" fillId="0" borderId="37" xfId="4" applyFont="1" applyBorder="1" applyAlignment="1">
      <alignment wrapText="1"/>
    </xf>
    <xf numFmtId="3" fontId="15" fillId="0" borderId="34" xfId="4" applyNumberFormat="1" applyFont="1" applyFill="1" applyBorder="1" applyAlignment="1">
      <alignment wrapText="1"/>
    </xf>
    <xf numFmtId="0" fontId="15" fillId="0" borderId="7" xfId="4" applyFont="1" applyBorder="1" applyAlignment="1">
      <alignment horizontal="center" wrapText="1"/>
    </xf>
    <xf numFmtId="0" fontId="15" fillId="0" borderId="8" xfId="4" applyFont="1" applyBorder="1" applyAlignment="1">
      <alignment wrapText="1"/>
    </xf>
    <xf numFmtId="3" fontId="15" fillId="0" borderId="8" xfId="4" applyNumberFormat="1" applyFont="1" applyBorder="1" applyAlignment="1">
      <alignment wrapText="1"/>
    </xf>
    <xf numFmtId="0" fontId="14" fillId="0" borderId="9" xfId="4" applyFont="1" applyBorder="1" applyAlignment="1">
      <alignment wrapText="1"/>
    </xf>
    <xf numFmtId="0" fontId="14" fillId="0" borderId="0" xfId="4" applyFont="1" applyBorder="1" applyAlignment="1">
      <alignment horizontal="center" wrapText="1"/>
    </xf>
    <xf numFmtId="3" fontId="14" fillId="0" borderId="0" xfId="4" applyNumberFormat="1" applyFont="1" applyFill="1" applyBorder="1" applyAlignment="1">
      <alignment wrapText="1"/>
    </xf>
    <xf numFmtId="3" fontId="14" fillId="0" borderId="0" xfId="4" applyNumberFormat="1" applyFont="1" applyBorder="1" applyAlignment="1">
      <alignment wrapText="1"/>
    </xf>
    <xf numFmtId="0" fontId="15" fillId="0" borderId="4" xfId="4" applyFont="1" applyFill="1" applyBorder="1" applyAlignment="1">
      <alignment horizontal="center" vertical="center"/>
    </xf>
    <xf numFmtId="0" fontId="15" fillId="0" borderId="5" xfId="4" applyFont="1" applyFill="1" applyBorder="1" applyAlignment="1">
      <alignment vertical="center"/>
    </xf>
    <xf numFmtId="0" fontId="14" fillId="2" borderId="6" xfId="4" applyFont="1" applyFill="1" applyBorder="1" applyAlignment="1">
      <alignment wrapText="1"/>
    </xf>
    <xf numFmtId="0" fontId="15" fillId="0" borderId="4" xfId="4" applyFont="1" applyFill="1" applyBorder="1" applyAlignment="1">
      <alignment horizontal="center"/>
    </xf>
    <xf numFmtId="3" fontId="15" fillId="0" borderId="5" xfId="4" applyNumberFormat="1" applyFont="1" applyFill="1" applyBorder="1" applyAlignment="1">
      <alignment horizontal="right"/>
    </xf>
    <xf numFmtId="0" fontId="14" fillId="0" borderId="5" xfId="4" applyFont="1" applyBorder="1" applyAlignment="1">
      <alignment vertical="center" wrapText="1"/>
    </xf>
    <xf numFmtId="0" fontId="14" fillId="0" borderId="5" xfId="4" applyFont="1" applyFill="1" applyBorder="1" applyAlignment="1">
      <alignment wrapText="1"/>
    </xf>
    <xf numFmtId="0" fontId="15" fillId="0" borderId="5" xfId="4" applyFont="1" applyBorder="1" applyAlignment="1">
      <alignment wrapText="1"/>
    </xf>
    <xf numFmtId="0" fontId="15" fillId="0" borderId="4" xfId="4" applyFont="1" applyBorder="1" applyAlignment="1">
      <alignment horizontal="center"/>
    </xf>
    <xf numFmtId="0" fontId="15" fillId="0" borderId="5" xfId="4" applyFont="1" applyBorder="1"/>
    <xf numFmtId="0" fontId="14" fillId="0" borderId="6" xfId="4" applyFont="1" applyBorder="1" applyAlignment="1">
      <alignment horizontal="left" vertical="center" wrapText="1"/>
    </xf>
    <xf numFmtId="0" fontId="15" fillId="0" borderId="4" xfId="4" applyFont="1" applyBorder="1" applyAlignment="1">
      <alignment horizontal="center" wrapText="1"/>
    </xf>
    <xf numFmtId="0" fontId="4" fillId="0" borderId="6" xfId="4" applyFont="1" applyBorder="1" applyAlignment="1">
      <alignment wrapText="1"/>
    </xf>
    <xf numFmtId="3" fontId="14" fillId="0" borderId="8" xfId="4" applyNumberFormat="1" applyFont="1" applyBorder="1" applyAlignment="1">
      <alignment wrapText="1"/>
    </xf>
    <xf numFmtId="0" fontId="15" fillId="0" borderId="47" xfId="4" applyFont="1" applyBorder="1" applyAlignment="1">
      <alignment horizontal="center" wrapText="1"/>
    </xf>
    <xf numFmtId="3" fontId="15" fillId="0" borderId="0" xfId="4" applyNumberFormat="1" applyFont="1" applyFill="1" applyBorder="1" applyAlignment="1">
      <alignment wrapText="1"/>
    </xf>
    <xf numFmtId="3" fontId="15" fillId="0" borderId="48" xfId="4" applyNumberFormat="1" applyFont="1" applyBorder="1" applyAlignment="1">
      <alignment wrapText="1"/>
    </xf>
    <xf numFmtId="3" fontId="15" fillId="0" borderId="0" xfId="4" applyNumberFormat="1" applyFont="1" applyBorder="1" applyAlignment="1">
      <alignment wrapText="1"/>
    </xf>
    <xf numFmtId="0" fontId="15" fillId="0" borderId="0" xfId="4" applyFont="1" applyBorder="1" applyAlignment="1">
      <alignment horizontal="center" wrapText="1"/>
    </xf>
    <xf numFmtId="0" fontId="14" fillId="0" borderId="47" xfId="4" applyFont="1" applyBorder="1" applyAlignment="1">
      <alignment horizontal="center" wrapText="1"/>
    </xf>
    <xf numFmtId="3" fontId="14" fillId="0" borderId="48" xfId="4" applyNumberFormat="1" applyFont="1" applyBorder="1" applyAlignment="1">
      <alignment wrapText="1"/>
    </xf>
    <xf numFmtId="3" fontId="14" fillId="0" borderId="47" xfId="4" applyNumberFormat="1" applyFont="1" applyBorder="1" applyAlignment="1">
      <alignment wrapText="1"/>
    </xf>
    <xf numFmtId="0" fontId="14" fillId="0" borderId="32" xfId="4" applyFont="1" applyFill="1" applyBorder="1" applyAlignment="1">
      <alignment horizontal="center" vertical="center"/>
    </xf>
    <xf numFmtId="0" fontId="14" fillId="0" borderId="37" xfId="4" applyFont="1" applyFill="1" applyBorder="1" applyAlignment="1">
      <alignment vertical="center"/>
    </xf>
    <xf numFmtId="0" fontId="14" fillId="0" borderId="38" xfId="4" applyFont="1" applyFill="1" applyBorder="1" applyAlignment="1">
      <alignment wrapText="1"/>
    </xf>
    <xf numFmtId="0" fontId="15" fillId="0" borderId="28" xfId="4" applyFont="1" applyFill="1" applyBorder="1" applyAlignment="1">
      <alignment horizontal="center" vertical="center"/>
    </xf>
    <xf numFmtId="0" fontId="15" fillId="0" borderId="56" xfId="4" applyFont="1" applyFill="1" applyBorder="1" applyAlignment="1">
      <alignment vertical="center" wrapText="1"/>
    </xf>
    <xf numFmtId="0" fontId="15" fillId="0" borderId="59" xfId="4" applyFont="1" applyBorder="1" applyAlignment="1">
      <alignment vertical="center" wrapText="1"/>
    </xf>
    <xf numFmtId="0" fontId="15" fillId="0" borderId="33" xfId="4" applyFont="1" applyFill="1" applyBorder="1" applyAlignment="1">
      <alignment wrapText="1"/>
    </xf>
    <xf numFmtId="0" fontId="15" fillId="0" borderId="37" xfId="4" applyFont="1" applyFill="1" applyBorder="1" applyAlignment="1">
      <alignment wrapText="1"/>
    </xf>
    <xf numFmtId="0" fontId="15" fillId="0" borderId="40" xfId="4" applyFont="1" applyBorder="1" applyAlignment="1">
      <alignment wrapText="1"/>
    </xf>
    <xf numFmtId="3" fontId="15" fillId="0" borderId="31" xfId="4" applyNumberFormat="1" applyFont="1" applyBorder="1" applyAlignment="1">
      <alignment wrapText="1"/>
    </xf>
    <xf numFmtId="0" fontId="15" fillId="0" borderId="48" xfId="4" applyFont="1" applyBorder="1" applyAlignment="1">
      <alignment wrapText="1"/>
    </xf>
    <xf numFmtId="3" fontId="15" fillId="0" borderId="40" xfId="4" applyNumberFormat="1" applyFont="1" applyBorder="1" applyAlignment="1">
      <alignment wrapText="1"/>
    </xf>
    <xf numFmtId="0" fontId="15" fillId="0" borderId="5" xfId="4" applyFont="1" applyFill="1" applyBorder="1" applyAlignment="1">
      <alignment wrapText="1"/>
    </xf>
    <xf numFmtId="0" fontId="15" fillId="0" borderId="34" xfId="4" applyFont="1" applyBorder="1" applyAlignment="1">
      <alignment wrapText="1"/>
    </xf>
    <xf numFmtId="0" fontId="15" fillId="0" borderId="16" xfId="4" applyFont="1" applyBorder="1" applyAlignment="1">
      <alignment vertical="center" wrapText="1"/>
    </xf>
    <xf numFmtId="0" fontId="15" fillId="0" borderId="8" xfId="4" applyFont="1" applyFill="1" applyBorder="1" applyAlignment="1">
      <alignment wrapText="1"/>
    </xf>
    <xf numFmtId="0" fontId="15" fillId="0" borderId="51" xfId="4" applyFont="1" applyBorder="1" applyAlignment="1">
      <alignment wrapText="1"/>
    </xf>
    <xf numFmtId="3" fontId="15" fillId="0" borderId="51" xfId="4" applyNumberFormat="1" applyFont="1" applyBorder="1" applyAlignment="1">
      <alignment wrapText="1"/>
    </xf>
    <xf numFmtId="0" fontId="15" fillId="0" borderId="0" xfId="4" applyFont="1" applyBorder="1" applyAlignment="1">
      <alignment horizontal="center" vertical="center" wrapText="1"/>
    </xf>
    <xf numFmtId="0" fontId="15" fillId="0" borderId="0" xfId="4" applyFont="1" applyBorder="1" applyAlignment="1">
      <alignment vertical="center" wrapText="1"/>
    </xf>
    <xf numFmtId="0" fontId="15" fillId="0" borderId="0" xfId="4" applyFont="1" applyFill="1" applyBorder="1" applyAlignment="1">
      <alignment wrapText="1"/>
    </xf>
    <xf numFmtId="0" fontId="14" fillId="0" borderId="0" xfId="4" applyFont="1" applyFill="1" applyBorder="1" applyAlignment="1">
      <alignment wrapText="1"/>
    </xf>
    <xf numFmtId="0" fontId="15" fillId="0" borderId="0" xfId="4" applyFont="1" applyBorder="1" applyAlignment="1">
      <alignment horizontal="left" vertical="center" wrapText="1"/>
    </xf>
    <xf numFmtId="3" fontId="15" fillId="0" borderId="0" xfId="4" applyNumberFormat="1" applyFont="1" applyFill="1" applyBorder="1" applyAlignment="1">
      <alignment horizontal="right" vertical="center" wrapText="1"/>
    </xf>
    <xf numFmtId="3" fontId="15" fillId="0" borderId="0" xfId="4" applyNumberFormat="1" applyFont="1" applyBorder="1" applyAlignment="1">
      <alignment horizontal="right" vertical="center" wrapText="1"/>
    </xf>
    <xf numFmtId="3" fontId="14" fillId="0" borderId="0" xfId="4" applyNumberFormat="1" applyFont="1" applyBorder="1" applyAlignment="1">
      <alignment horizontal="center" vertical="center" wrapText="1"/>
    </xf>
    <xf numFmtId="0" fontId="14" fillId="0" borderId="0" xfId="4" applyFont="1" applyBorder="1" applyAlignment="1">
      <alignment horizontal="center" vertical="center" wrapText="1"/>
    </xf>
    <xf numFmtId="3" fontId="14" fillId="0" borderId="37" xfId="4" applyNumberFormat="1" applyFont="1" applyFill="1" applyBorder="1" applyAlignment="1">
      <alignment horizontal="right" wrapText="1"/>
    </xf>
    <xf numFmtId="3" fontId="14" fillId="0" borderId="37" xfId="4" applyNumberFormat="1" applyFont="1" applyFill="1" applyBorder="1" applyAlignment="1">
      <alignment wrapText="1"/>
    </xf>
    <xf numFmtId="3" fontId="15" fillId="0" borderId="57" xfId="4" applyNumberFormat="1" applyFont="1" applyFill="1" applyBorder="1" applyAlignment="1">
      <alignment horizontal="right" vertical="center" wrapText="1"/>
    </xf>
    <xf numFmtId="3" fontId="15" fillId="0" borderId="57" xfId="4" applyNumberFormat="1" applyFont="1" applyBorder="1" applyAlignment="1">
      <alignment horizontal="right" vertical="center" wrapText="1"/>
    </xf>
    <xf numFmtId="0" fontId="14" fillId="0" borderId="57" xfId="4" applyFont="1" applyBorder="1" applyAlignment="1">
      <alignment horizontal="center" vertical="center" wrapText="1"/>
    </xf>
    <xf numFmtId="0" fontId="6" fillId="0" borderId="0" xfId="4" applyFont="1"/>
    <xf numFmtId="0" fontId="10" fillId="0" borderId="0" xfId="4" applyFont="1" applyAlignment="1">
      <alignment horizontal="center"/>
    </xf>
    <xf numFmtId="0" fontId="6" fillId="0" borderId="0" xfId="4" applyFont="1" applyBorder="1" applyAlignment="1"/>
    <xf numFmtId="0" fontId="4" fillId="0" borderId="5" xfId="4" applyFont="1" applyBorder="1" applyAlignment="1">
      <alignment horizontal="center" wrapText="1"/>
    </xf>
    <xf numFmtId="0" fontId="4" fillId="0" borderId="5" xfId="4" applyFont="1" applyBorder="1" applyAlignment="1">
      <alignment horizontal="center" vertical="center" wrapText="1"/>
    </xf>
    <xf numFmtId="3" fontId="9" fillId="0" borderId="5" xfId="4" applyNumberFormat="1" applyFont="1" applyBorder="1" applyAlignment="1">
      <alignment horizontal="center" wrapText="1"/>
    </xf>
    <xf numFmtId="0" fontId="4" fillId="0" borderId="5" xfId="4" applyFont="1" applyBorder="1" applyAlignment="1">
      <alignment wrapText="1"/>
    </xf>
    <xf numFmtId="0" fontId="4" fillId="0" borderId="5" xfId="4" applyFont="1" applyBorder="1" applyAlignment="1">
      <alignment vertical="center" wrapText="1"/>
    </xf>
    <xf numFmtId="3" fontId="4" fillId="0" borderId="5" xfId="4" applyNumberFormat="1" applyFont="1" applyBorder="1" applyAlignment="1">
      <alignment horizontal="center" vertical="center" wrapText="1"/>
    </xf>
    <xf numFmtId="0" fontId="4" fillId="0" borderId="5" xfId="4" applyFont="1" applyBorder="1" applyAlignment="1">
      <alignment horizontal="left" vertical="center" wrapText="1"/>
    </xf>
    <xf numFmtId="0" fontId="14" fillId="0" borderId="0" xfId="4" applyFont="1" applyBorder="1" applyAlignment="1">
      <alignment horizontal="left" wrapText="1"/>
    </xf>
    <xf numFmtId="0" fontId="14" fillId="0" borderId="0" xfId="12" applyFont="1" applyFill="1" applyAlignment="1">
      <alignment horizontal="left"/>
    </xf>
    <xf numFmtId="0" fontId="14" fillId="0" borderId="0" xfId="12" applyFont="1" applyFill="1" applyAlignment="1">
      <alignment horizontal="left" wrapText="1"/>
    </xf>
    <xf numFmtId="0" fontId="14" fillId="0" borderId="2" xfId="12" applyFont="1" applyFill="1" applyBorder="1" applyAlignment="1">
      <alignment horizontal="center" wrapText="1"/>
    </xf>
    <xf numFmtId="0" fontId="14" fillId="0" borderId="18" xfId="28" applyFont="1" applyFill="1" applyBorder="1" applyAlignment="1">
      <alignment horizontal="center" wrapText="1"/>
    </xf>
    <xf numFmtId="0" fontId="15" fillId="0" borderId="22" xfId="28" applyFont="1" applyFill="1" applyBorder="1" applyAlignment="1">
      <alignment horizontal="center" wrapText="1"/>
    </xf>
    <xf numFmtId="3" fontId="15" fillId="0" borderId="22" xfId="28" applyNumberFormat="1" applyFont="1" applyFill="1" applyBorder="1" applyAlignment="1">
      <alignment horizontal="right" wrapText="1"/>
    </xf>
    <xf numFmtId="0" fontId="15" fillId="0" borderId="22" xfId="28" applyFont="1" applyFill="1" applyBorder="1" applyAlignment="1">
      <alignment horizontal="right"/>
    </xf>
    <xf numFmtId="4" fontId="31" fillId="0" borderId="26" xfId="28" applyNumberFormat="1" applyFont="1" applyFill="1" applyBorder="1" applyAlignment="1">
      <alignment horizontal="right" wrapText="1"/>
    </xf>
    <xf numFmtId="0" fontId="4" fillId="0" borderId="0" xfId="28" applyFont="1" applyFill="1" applyAlignment="1"/>
    <xf numFmtId="49" fontId="15" fillId="0" borderId="18" xfId="24" applyNumberFormat="1" applyFont="1" applyFill="1" applyBorder="1" applyAlignment="1">
      <alignment horizontal="center" wrapText="1"/>
    </xf>
    <xf numFmtId="0" fontId="15" fillId="0" borderId="22" xfId="24" applyFont="1" applyFill="1" applyBorder="1" applyAlignment="1">
      <alignment wrapText="1"/>
    </xf>
    <xf numFmtId="1" fontId="27" fillId="0" borderId="22" xfId="12" applyNumberFormat="1" applyFont="1" applyFill="1" applyBorder="1"/>
    <xf numFmtId="0" fontId="27" fillId="0" borderId="22" xfId="12" applyFont="1" applyFill="1" applyBorder="1"/>
    <xf numFmtId="0" fontId="31" fillId="0" borderId="26" xfId="12" applyFont="1" applyFill="1" applyBorder="1" applyAlignment="1">
      <alignment horizontal="left" wrapText="1"/>
    </xf>
    <xf numFmtId="1" fontId="14" fillId="0" borderId="56" xfId="22" applyNumberFormat="1" applyFont="1" applyFill="1" applyBorder="1" applyAlignment="1">
      <alignment horizontal="right" vertical="center"/>
    </xf>
    <xf numFmtId="1" fontId="14" fillId="0" borderId="56" xfId="22" applyNumberFormat="1" applyFont="1" applyFill="1" applyBorder="1" applyAlignment="1">
      <alignment horizontal="right" vertical="center" wrapText="1"/>
    </xf>
    <xf numFmtId="166" fontId="14" fillId="0" borderId="56" xfId="22" applyNumberFormat="1" applyFont="1" applyFill="1" applyBorder="1" applyAlignment="1">
      <alignment horizontal="right" vertical="center" wrapText="1"/>
    </xf>
    <xf numFmtId="43" fontId="14" fillId="0" borderId="46" xfId="22" applyFont="1" applyFill="1" applyBorder="1" applyAlignment="1">
      <alignment horizontal="left" vertical="top" wrapText="1"/>
    </xf>
    <xf numFmtId="43" fontId="0" fillId="0" borderId="0" xfId="22" applyFont="1" applyFill="1"/>
    <xf numFmtId="1" fontId="14" fillId="0" borderId="5" xfId="22" applyNumberFormat="1" applyFont="1" applyFill="1" applyBorder="1" applyAlignment="1">
      <alignment horizontal="right" vertical="center"/>
    </xf>
    <xf numFmtId="1" fontId="14" fillId="0" borderId="5" xfId="22" applyNumberFormat="1" applyFont="1" applyFill="1" applyBorder="1" applyAlignment="1">
      <alignment horizontal="right" vertical="center" wrapText="1"/>
    </xf>
    <xf numFmtId="166" fontId="14" fillId="0" borderId="5" xfId="22" applyNumberFormat="1" applyFont="1" applyFill="1" applyBorder="1" applyAlignment="1">
      <alignment horizontal="right" vertical="center" wrapText="1"/>
    </xf>
    <xf numFmtId="43" fontId="14" fillId="0" borderId="6" xfId="22" applyFont="1" applyFill="1" applyBorder="1" applyAlignment="1">
      <alignment horizontal="left" vertical="top" wrapText="1"/>
    </xf>
    <xf numFmtId="1" fontId="14" fillId="0" borderId="5" xfId="28" applyNumberFormat="1" applyFont="1" applyFill="1" applyBorder="1" applyAlignment="1">
      <alignment horizontal="right" vertical="center"/>
    </xf>
    <xf numFmtId="1" fontId="14" fillId="0" borderId="5" xfId="12" applyNumberFormat="1" applyFont="1" applyFill="1" applyBorder="1" applyAlignment="1">
      <alignment horizontal="right" vertical="center"/>
    </xf>
    <xf numFmtId="3" fontId="15" fillId="0" borderId="5" xfId="24" applyNumberFormat="1" applyFont="1" applyFill="1" applyBorder="1" applyAlignment="1">
      <alignment horizontal="right" vertical="center" wrapText="1"/>
    </xf>
    <xf numFmtId="3" fontId="14" fillId="0" borderId="5" xfId="24" applyNumberFormat="1" applyFont="1" applyFill="1" applyBorder="1" applyAlignment="1">
      <alignment horizontal="right" vertical="center" wrapText="1"/>
    </xf>
    <xf numFmtId="168" fontId="14" fillId="0" borderId="6" xfId="12" applyNumberFormat="1" applyFont="1" applyFill="1" applyBorder="1" applyAlignment="1">
      <alignment horizontal="left" wrapText="1"/>
    </xf>
    <xf numFmtId="49" fontId="14" fillId="0" borderId="4" xfId="10" applyNumberFormat="1" applyFont="1" applyFill="1" applyBorder="1" applyAlignment="1">
      <alignment horizontal="center" wrapText="1"/>
    </xf>
    <xf numFmtId="0" fontId="14" fillId="0" borderId="5" xfId="10" applyFont="1" applyFill="1" applyBorder="1" applyAlignment="1">
      <alignment wrapText="1"/>
    </xf>
    <xf numFmtId="168" fontId="32" fillId="0" borderId="6" xfId="12" applyNumberFormat="1" applyFont="1" applyFill="1" applyBorder="1" applyAlignment="1">
      <alignment horizontal="left" wrapText="1"/>
    </xf>
    <xf numFmtId="49" fontId="14" fillId="0" borderId="32" xfId="10" applyNumberFormat="1" applyFont="1" applyFill="1" applyBorder="1" applyAlignment="1">
      <alignment horizontal="center" wrapText="1"/>
    </xf>
    <xf numFmtId="0" fontId="14" fillId="0" borderId="37" xfId="10" applyFont="1" applyFill="1" applyBorder="1" applyAlignment="1">
      <alignment wrapText="1"/>
    </xf>
    <xf numFmtId="1" fontId="14" fillId="0" borderId="37" xfId="28" applyNumberFormat="1" applyFont="1" applyFill="1" applyBorder="1" applyAlignment="1">
      <alignment horizontal="right" vertical="center"/>
    </xf>
    <xf numFmtId="1" fontId="14" fillId="0" borderId="37" xfId="12" applyNumberFormat="1" applyFont="1" applyFill="1" applyBorder="1" applyAlignment="1">
      <alignment horizontal="right" vertical="center"/>
    </xf>
    <xf numFmtId="3" fontId="14" fillId="0" borderId="37" xfId="10" applyNumberFormat="1" applyFont="1" applyFill="1" applyBorder="1" applyAlignment="1">
      <alignment horizontal="right" vertical="center" wrapText="1"/>
    </xf>
    <xf numFmtId="168" fontId="32" fillId="0" borderId="38" xfId="12" applyNumberFormat="1" applyFont="1" applyFill="1" applyBorder="1" applyAlignment="1">
      <alignment horizontal="left" wrapText="1"/>
    </xf>
    <xf numFmtId="49" fontId="15" fillId="0" borderId="18" xfId="24" applyNumberFormat="1" applyFont="1" applyFill="1" applyBorder="1" applyAlignment="1">
      <alignment horizontal="center" vertical="center" wrapText="1"/>
    </xf>
    <xf numFmtId="0" fontId="15" fillId="0" borderId="22" xfId="24" applyFont="1" applyFill="1" applyBorder="1" applyAlignment="1">
      <alignment vertical="center" wrapText="1"/>
    </xf>
    <xf numFmtId="1" fontId="15" fillId="0" borderId="22" xfId="28" applyNumberFormat="1" applyFont="1" applyFill="1" applyBorder="1" applyAlignment="1">
      <alignment horizontal="right" vertical="center"/>
    </xf>
    <xf numFmtId="3" fontId="15" fillId="0" borderId="22" xfId="10" applyNumberFormat="1" applyFont="1" applyFill="1" applyBorder="1" applyAlignment="1">
      <alignment horizontal="right" vertical="center"/>
    </xf>
    <xf numFmtId="168" fontId="31" fillId="0" borderId="26" xfId="12" applyNumberFormat="1" applyFont="1" applyFill="1" applyBorder="1" applyAlignment="1">
      <alignment horizontal="left" wrapText="1"/>
    </xf>
    <xf numFmtId="3" fontId="14" fillId="0" borderId="22" xfId="10" applyNumberFormat="1" applyFont="1" applyFill="1" applyBorder="1" applyAlignment="1">
      <alignment horizontal="right" vertical="center"/>
    </xf>
    <xf numFmtId="168" fontId="32" fillId="0" borderId="26" xfId="12" applyNumberFormat="1" applyFont="1" applyFill="1" applyBorder="1" applyAlignment="1">
      <alignment horizontal="left" wrapText="1"/>
    </xf>
    <xf numFmtId="1" fontId="14" fillId="0" borderId="56" xfId="28" applyNumberFormat="1" applyFont="1" applyFill="1" applyBorder="1" applyAlignment="1">
      <alignment horizontal="right" vertical="center"/>
    </xf>
    <xf numFmtId="1" fontId="14" fillId="0" borderId="56" xfId="12" applyNumberFormat="1" applyFont="1" applyFill="1" applyBorder="1" applyAlignment="1">
      <alignment horizontal="right" vertical="center"/>
    </xf>
    <xf numFmtId="3" fontId="15" fillId="0" borderId="56" xfId="10" applyNumberFormat="1" applyFont="1" applyFill="1" applyBorder="1" applyAlignment="1">
      <alignment horizontal="right" vertical="center"/>
    </xf>
    <xf numFmtId="3" fontId="14" fillId="0" borderId="56" xfId="10" applyNumberFormat="1" applyFont="1" applyFill="1" applyBorder="1" applyAlignment="1">
      <alignment horizontal="right" vertical="center"/>
    </xf>
    <xf numFmtId="168" fontId="14" fillId="0" borderId="46" xfId="12" applyNumberFormat="1" applyFont="1" applyFill="1" applyBorder="1" applyAlignment="1">
      <alignment horizontal="left" wrapText="1"/>
    </xf>
    <xf numFmtId="3" fontId="15" fillId="0" borderId="5" xfId="10" applyNumberFormat="1" applyFont="1" applyFill="1" applyBorder="1" applyAlignment="1">
      <alignment horizontal="right" vertical="center"/>
    </xf>
    <xf numFmtId="3" fontId="14" fillId="0" borderId="5" xfId="10" applyNumberFormat="1" applyFont="1" applyFill="1" applyBorder="1" applyAlignment="1">
      <alignment horizontal="right" vertical="center"/>
    </xf>
    <xf numFmtId="49" fontId="14" fillId="0" borderId="4" xfId="24" applyNumberFormat="1" applyFont="1" applyFill="1" applyBorder="1" applyAlignment="1">
      <alignment horizontal="center" vertical="center" wrapText="1"/>
    </xf>
    <xf numFmtId="0" fontId="14" fillId="0" borderId="5" xfId="24" applyFont="1" applyFill="1" applyBorder="1" applyAlignment="1">
      <alignment horizontal="left" wrapText="1"/>
    </xf>
    <xf numFmtId="49" fontId="14" fillId="0" borderId="4" xfId="24" applyNumberFormat="1" applyFont="1" applyFill="1" applyBorder="1" applyAlignment="1">
      <alignment horizontal="center" wrapText="1"/>
    </xf>
    <xf numFmtId="167" fontId="14" fillId="0" borderId="5" xfId="10" applyNumberFormat="1" applyFont="1" applyFill="1" applyBorder="1" applyAlignment="1">
      <alignment wrapText="1"/>
    </xf>
    <xf numFmtId="0" fontId="14" fillId="0" borderId="5" xfId="24" applyFont="1" applyFill="1" applyBorder="1" applyAlignment="1">
      <alignment horizontal="left" vertical="center" wrapText="1"/>
    </xf>
    <xf numFmtId="0" fontId="1" fillId="0" borderId="0" xfId="12" applyFill="1" applyAlignment="1"/>
    <xf numFmtId="49" fontId="14" fillId="0" borderId="32" xfId="24" applyNumberFormat="1" applyFont="1" applyFill="1" applyBorder="1" applyAlignment="1">
      <alignment horizontal="center" wrapText="1"/>
    </xf>
    <xf numFmtId="0" fontId="14" fillId="0" borderId="37" xfId="24" applyFont="1" applyFill="1" applyBorder="1" applyAlignment="1">
      <alignment horizontal="left" wrapText="1"/>
    </xf>
    <xf numFmtId="3" fontId="14" fillId="0" borderId="37" xfId="24" applyNumberFormat="1" applyFont="1" applyFill="1" applyBorder="1" applyAlignment="1">
      <alignment horizontal="right" vertical="center" wrapText="1"/>
    </xf>
    <xf numFmtId="167" fontId="15" fillId="0" borderId="18" xfId="10" applyNumberFormat="1" applyFont="1" applyFill="1" applyBorder="1" applyAlignment="1">
      <alignment horizontal="center" wrapText="1"/>
    </xf>
    <xf numFmtId="167" fontId="15" fillId="0" borderId="22" xfId="10" applyNumberFormat="1" applyFont="1" applyFill="1" applyBorder="1" applyAlignment="1">
      <alignment wrapText="1"/>
    </xf>
    <xf numFmtId="168" fontId="32" fillId="0" borderId="46" xfId="12" applyNumberFormat="1" applyFont="1" applyFill="1" applyBorder="1" applyAlignment="1">
      <alignment horizontal="left" wrapText="1"/>
    </xf>
    <xf numFmtId="49" fontId="14" fillId="0" borderId="32" xfId="24" applyNumberFormat="1" applyFont="1" applyFill="1" applyBorder="1" applyAlignment="1">
      <alignment horizontal="center" vertical="center" wrapText="1"/>
    </xf>
    <xf numFmtId="168" fontId="14" fillId="0" borderId="38" xfId="12" applyNumberFormat="1" applyFont="1" applyFill="1" applyBorder="1" applyAlignment="1">
      <alignment horizontal="left" wrapText="1"/>
    </xf>
    <xf numFmtId="49" fontId="14" fillId="0" borderId="18" xfId="24" applyNumberFormat="1" applyFont="1" applyFill="1" applyBorder="1" applyAlignment="1">
      <alignment horizontal="center" vertical="center" wrapText="1"/>
    </xf>
    <xf numFmtId="1" fontId="14" fillId="0" borderId="22" xfId="28" applyNumberFormat="1" applyFont="1" applyFill="1" applyBorder="1" applyAlignment="1">
      <alignment horizontal="right" vertical="center"/>
    </xf>
    <xf numFmtId="1" fontId="32" fillId="0" borderId="22" xfId="12" applyNumberFormat="1" applyFont="1" applyFill="1" applyBorder="1" applyAlignment="1">
      <alignment horizontal="right" vertical="center"/>
    </xf>
    <xf numFmtId="3" fontId="15" fillId="0" borderId="37" xfId="10" applyNumberFormat="1" applyFont="1" applyFill="1" applyBorder="1" applyAlignment="1">
      <alignment horizontal="right" vertical="center"/>
    </xf>
    <xf numFmtId="3" fontId="14" fillId="0" borderId="37" xfId="10" applyNumberFormat="1" applyFont="1" applyFill="1" applyBorder="1" applyAlignment="1">
      <alignment horizontal="right" vertical="center"/>
    </xf>
    <xf numFmtId="49" fontId="14" fillId="0" borderId="18" xfId="24" applyNumberFormat="1" applyFont="1" applyFill="1" applyBorder="1" applyAlignment="1">
      <alignment horizontal="center" wrapText="1"/>
    </xf>
    <xf numFmtId="3" fontId="15" fillId="0" borderId="22" xfId="28" applyNumberFormat="1" applyFont="1" applyFill="1" applyBorder="1" applyAlignment="1">
      <alignment horizontal="right" vertical="center"/>
    </xf>
    <xf numFmtId="3" fontId="14" fillId="0" borderId="22" xfId="28" applyNumberFormat="1" applyFont="1" applyFill="1" applyBorder="1" applyAlignment="1">
      <alignment horizontal="right" vertical="center"/>
    </xf>
    <xf numFmtId="0" fontId="15" fillId="0" borderId="22" xfId="10" applyFont="1" applyFill="1" applyBorder="1" applyAlignment="1">
      <alignment wrapText="1"/>
    </xf>
    <xf numFmtId="49" fontId="14" fillId="0" borderId="28" xfId="24" applyNumberFormat="1" applyFont="1" applyFill="1" applyBorder="1" applyAlignment="1">
      <alignment horizontal="center" wrapText="1"/>
    </xf>
    <xf numFmtId="0" fontId="14" fillId="0" borderId="56" xfId="10" applyFont="1" applyFill="1" applyBorder="1" applyAlignment="1">
      <alignment wrapText="1"/>
    </xf>
    <xf numFmtId="0" fontId="14" fillId="0" borderId="5" xfId="29" applyFont="1" applyFill="1" applyBorder="1" applyAlignment="1">
      <alignment vertical="center" wrapText="1"/>
    </xf>
    <xf numFmtId="0" fontId="14" fillId="0" borderId="37" xfId="29" applyFont="1" applyFill="1" applyBorder="1" applyAlignment="1">
      <alignment wrapText="1"/>
    </xf>
    <xf numFmtId="168" fontId="34" fillId="0" borderId="6" xfId="12" applyNumberFormat="1" applyFont="1" applyFill="1" applyBorder="1" applyAlignment="1">
      <alignment horizontal="left" wrapText="1"/>
    </xf>
    <xf numFmtId="49" fontId="14" fillId="0" borderId="18" xfId="10" applyNumberFormat="1" applyFont="1" applyFill="1" applyBorder="1" applyAlignment="1">
      <alignment horizontal="center" wrapText="1"/>
    </xf>
    <xf numFmtId="0" fontId="14" fillId="0" borderId="56" xfId="24" applyFont="1" applyFill="1" applyBorder="1" applyAlignment="1">
      <alignment wrapText="1"/>
    </xf>
    <xf numFmtId="3" fontId="14" fillId="0" borderId="56" xfId="24" applyNumberFormat="1" applyFont="1" applyFill="1" applyBorder="1" applyAlignment="1">
      <alignment horizontal="right" vertical="center" wrapText="1"/>
    </xf>
    <xf numFmtId="0" fontId="14" fillId="0" borderId="5" xfId="24" applyFont="1" applyFill="1" applyBorder="1" applyAlignment="1">
      <alignment wrapText="1"/>
    </xf>
    <xf numFmtId="0" fontId="14" fillId="0" borderId="37" xfId="24" applyFont="1" applyFill="1" applyBorder="1" applyAlignment="1">
      <alignment wrapText="1"/>
    </xf>
    <xf numFmtId="0" fontId="14" fillId="0" borderId="5" xfId="24" applyFont="1" applyFill="1" applyBorder="1" applyAlignment="1">
      <alignment vertical="center" wrapText="1"/>
    </xf>
    <xf numFmtId="169" fontId="14" fillId="0" borderId="25" xfId="10" applyNumberFormat="1" applyFont="1" applyFill="1" applyBorder="1" applyAlignment="1">
      <alignment horizontal="center" vertical="center" wrapText="1"/>
    </xf>
    <xf numFmtId="167" fontId="14" fillId="0" borderId="45" xfId="10" applyNumberFormat="1" applyFont="1" applyFill="1" applyBorder="1" applyAlignment="1">
      <alignment horizontal="left" vertical="center" wrapText="1"/>
    </xf>
    <xf numFmtId="169" fontId="14" fillId="0" borderId="4" xfId="10" applyNumberFormat="1" applyFont="1" applyFill="1" applyBorder="1" applyAlignment="1">
      <alignment horizontal="center" wrapText="1"/>
    </xf>
    <xf numFmtId="168" fontId="14" fillId="0" borderId="32" xfId="10" applyNumberFormat="1" applyFont="1" applyFill="1" applyBorder="1" applyAlignment="1">
      <alignment horizontal="center" wrapText="1"/>
    </xf>
    <xf numFmtId="167" fontId="14" fillId="0" borderId="37" xfId="10" applyNumberFormat="1" applyFont="1" applyFill="1" applyBorder="1" applyAlignment="1">
      <alignment wrapText="1"/>
    </xf>
    <xf numFmtId="49" fontId="14" fillId="0" borderId="28" xfId="10" applyNumberFormat="1" applyFont="1" applyFill="1" applyBorder="1" applyAlignment="1">
      <alignment horizontal="center" wrapText="1"/>
    </xf>
    <xf numFmtId="3" fontId="14" fillId="0" borderId="56" xfId="28" applyNumberFormat="1" applyFont="1" applyFill="1" applyBorder="1" applyAlignment="1">
      <alignment horizontal="right" vertical="center"/>
    </xf>
    <xf numFmtId="49" fontId="14" fillId="0" borderId="18" xfId="10" applyNumberFormat="1" applyFont="1" applyFill="1" applyBorder="1" applyAlignment="1">
      <alignment horizontal="center" vertical="center" wrapText="1"/>
    </xf>
    <xf numFmtId="0" fontId="15" fillId="0" borderId="22" xfId="10" applyFont="1" applyFill="1" applyBorder="1" applyAlignment="1">
      <alignment vertical="center" wrapText="1"/>
    </xf>
    <xf numFmtId="0" fontId="26" fillId="0" borderId="46" xfId="12" applyFont="1" applyFill="1" applyBorder="1" applyAlignment="1">
      <alignment horizontal="left" wrapText="1"/>
    </xf>
    <xf numFmtId="0" fontId="26" fillId="0" borderId="6" xfId="12" applyFont="1" applyFill="1" applyBorder="1" applyAlignment="1">
      <alignment horizontal="left" wrapText="1"/>
    </xf>
    <xf numFmtId="49" fontId="14" fillId="0" borderId="32" xfId="10" applyNumberFormat="1" applyFont="1" applyFill="1" applyBorder="1" applyAlignment="1">
      <alignment horizontal="center" vertical="center" wrapText="1"/>
    </xf>
    <xf numFmtId="0" fontId="14" fillId="0" borderId="37" xfId="10" applyFont="1" applyFill="1" applyBorder="1" applyAlignment="1">
      <alignment horizontal="left" vertical="center" wrapText="1"/>
    </xf>
    <xf numFmtId="3" fontId="15" fillId="0" borderId="26" xfId="10" applyNumberFormat="1" applyFont="1" applyFill="1" applyBorder="1" applyAlignment="1">
      <alignment horizontal="right" vertical="center" wrapText="1"/>
    </xf>
    <xf numFmtId="0" fontId="21" fillId="0" borderId="61" xfId="12" applyFont="1" applyFill="1" applyBorder="1" applyAlignment="1">
      <alignment horizontal="left" wrapText="1"/>
    </xf>
    <xf numFmtId="168" fontId="14" fillId="0" borderId="4" xfId="10" applyNumberFormat="1" applyFont="1" applyFill="1" applyBorder="1" applyAlignment="1">
      <alignment horizontal="center" wrapText="1"/>
    </xf>
    <xf numFmtId="168" fontId="14" fillId="0" borderId="4" xfId="10" applyNumberFormat="1" applyFont="1" applyFill="1" applyBorder="1" applyAlignment="1">
      <alignment horizontal="center" vertical="center" wrapText="1"/>
    </xf>
    <xf numFmtId="167" fontId="14" fillId="0" borderId="5" xfId="10" applyNumberFormat="1" applyFont="1" applyFill="1" applyBorder="1" applyAlignment="1">
      <alignment horizontal="left" vertical="center" wrapText="1"/>
    </xf>
    <xf numFmtId="167" fontId="14" fillId="0" borderId="5" xfId="10" applyNumberFormat="1" applyFont="1" applyFill="1" applyBorder="1" applyAlignment="1">
      <alignment horizontal="left" wrapText="1"/>
    </xf>
    <xf numFmtId="0" fontId="6" fillId="0" borderId="0" xfId="28" applyFont="1" applyFill="1"/>
    <xf numFmtId="0" fontId="4" fillId="0" borderId="0" xfId="28" applyFont="1" applyFill="1"/>
    <xf numFmtId="0" fontId="19" fillId="0" borderId="0" xfId="28" applyFill="1"/>
    <xf numFmtId="0" fontId="32" fillId="0" borderId="6" xfId="12" applyFont="1" applyFill="1" applyBorder="1" applyAlignment="1">
      <alignment horizontal="left" wrapText="1"/>
    </xf>
    <xf numFmtId="0" fontId="32" fillId="0" borderId="6" xfId="24" applyFont="1" applyFill="1" applyBorder="1" applyAlignment="1">
      <alignment horizontal="left" wrapText="1"/>
    </xf>
    <xf numFmtId="0" fontId="32" fillId="0" borderId="6" xfId="28" applyFont="1" applyFill="1" applyBorder="1" applyAlignment="1">
      <alignment horizontal="left" wrapText="1"/>
    </xf>
    <xf numFmtId="168" fontId="14" fillId="0" borderId="7" xfId="10" applyNumberFormat="1" applyFont="1" applyFill="1" applyBorder="1" applyAlignment="1">
      <alignment horizontal="center" wrapText="1"/>
    </xf>
    <xf numFmtId="167" fontId="14" fillId="0" borderId="8" xfId="10" applyNumberFormat="1" applyFont="1" applyFill="1" applyBorder="1" applyAlignment="1">
      <alignment wrapText="1"/>
    </xf>
    <xf numFmtId="1" fontId="14" fillId="0" borderId="8" xfId="28" applyNumberFormat="1" applyFont="1" applyFill="1" applyBorder="1" applyAlignment="1">
      <alignment horizontal="right" vertical="center"/>
    </xf>
    <xf numFmtId="1" fontId="14" fillId="0" borderId="8" xfId="12" applyNumberFormat="1" applyFont="1" applyFill="1" applyBorder="1" applyAlignment="1">
      <alignment horizontal="right" vertical="center"/>
    </xf>
    <xf numFmtId="3" fontId="15" fillId="0" borderId="8" xfId="10" applyNumberFormat="1" applyFont="1" applyFill="1" applyBorder="1" applyAlignment="1">
      <alignment horizontal="right" vertical="center"/>
    </xf>
    <xf numFmtId="3" fontId="14" fillId="0" borderId="8" xfId="10" applyNumberFormat="1" applyFont="1" applyFill="1" applyBorder="1" applyAlignment="1">
      <alignment horizontal="right" vertical="center"/>
    </xf>
    <xf numFmtId="4" fontId="32" fillId="0" borderId="9" xfId="28" applyNumberFormat="1" applyFont="1" applyFill="1" applyBorder="1" applyAlignment="1" applyProtection="1">
      <alignment horizontal="left" vertical="center" wrapText="1"/>
    </xf>
    <xf numFmtId="0" fontId="26" fillId="0" borderId="0" xfId="12" applyFont="1" applyFill="1"/>
    <xf numFmtId="0" fontId="32" fillId="0" borderId="0" xfId="12" applyFont="1" applyFill="1"/>
    <xf numFmtId="4" fontId="32" fillId="0" borderId="0" xfId="28" applyNumberFormat="1" applyFont="1" applyFill="1" applyBorder="1" applyAlignment="1" applyProtection="1">
      <alignment horizontal="left" vertical="center" wrapText="1"/>
    </xf>
    <xf numFmtId="0" fontId="14" fillId="0" borderId="0" xfId="12" applyFont="1" applyFill="1" applyBorder="1" applyAlignment="1"/>
    <xf numFmtId="0" fontId="14" fillId="0" borderId="0" xfId="12" applyFont="1" applyFill="1" applyAlignment="1">
      <alignment wrapText="1"/>
    </xf>
    <xf numFmtId="0" fontId="15" fillId="0" borderId="26" xfId="28" applyFont="1" applyFill="1" applyBorder="1" applyAlignment="1">
      <alignment horizontal="right" wrapText="1"/>
    </xf>
    <xf numFmtId="1" fontId="14" fillId="0" borderId="20" xfId="24" applyNumberFormat="1" applyFont="1" applyFill="1" applyBorder="1" applyAlignment="1">
      <alignment horizontal="center" wrapText="1"/>
    </xf>
    <xf numFmtId="0" fontId="14" fillId="0" borderId="62" xfId="24" applyFont="1" applyFill="1" applyBorder="1" applyAlignment="1">
      <alignment horizontal="left" wrapText="1"/>
    </xf>
    <xf numFmtId="167" fontId="14" fillId="0" borderId="62" xfId="28" applyNumberFormat="1" applyFont="1" applyFill="1" applyBorder="1" applyAlignment="1">
      <alignment horizontal="right"/>
    </xf>
    <xf numFmtId="167" fontId="14" fillId="0" borderId="62" xfId="12" applyNumberFormat="1" applyFont="1" applyFill="1" applyBorder="1" applyAlignment="1"/>
    <xf numFmtId="3" fontId="15" fillId="0" borderId="62" xfId="24" applyNumberFormat="1" applyFont="1" applyFill="1" applyBorder="1" applyAlignment="1">
      <alignment horizontal="right" wrapText="1"/>
    </xf>
    <xf numFmtId="3" fontId="14" fillId="0" borderId="62" xfId="24" applyNumberFormat="1" applyFont="1" applyFill="1" applyBorder="1" applyAlignment="1">
      <alignment horizontal="right" wrapText="1"/>
    </xf>
    <xf numFmtId="0" fontId="32" fillId="0" borderId="21" xfId="12" applyFont="1" applyFill="1" applyBorder="1" applyAlignment="1">
      <alignment horizontal="left" wrapText="1"/>
    </xf>
    <xf numFmtId="1" fontId="14" fillId="0" borderId="28" xfId="24" applyNumberFormat="1" applyFont="1" applyFill="1" applyBorder="1" applyAlignment="1">
      <alignment horizontal="center" wrapText="1"/>
    </xf>
    <xf numFmtId="0" fontId="14" fillId="0" borderId="56" xfId="24" applyFont="1" applyFill="1" applyBorder="1" applyAlignment="1">
      <alignment horizontal="left" wrapText="1"/>
    </xf>
    <xf numFmtId="167" fontId="14" fillId="0" borderId="56" xfId="28" applyNumberFormat="1" applyFont="1" applyFill="1" applyBorder="1" applyAlignment="1">
      <alignment horizontal="right"/>
    </xf>
    <xf numFmtId="167" fontId="14" fillId="0" borderId="56" xfId="12" applyNumberFormat="1" applyFont="1" applyFill="1" applyBorder="1" applyAlignment="1"/>
    <xf numFmtId="3" fontId="14" fillId="0" borderId="56" xfId="24" applyNumberFormat="1" applyFont="1" applyFill="1" applyBorder="1" applyAlignment="1">
      <alignment horizontal="right" wrapText="1"/>
    </xf>
    <xf numFmtId="0" fontId="32" fillId="0" borderId="46" xfId="12" applyFont="1" applyFill="1" applyBorder="1" applyAlignment="1">
      <alignment horizontal="left" wrapText="1"/>
    </xf>
    <xf numFmtId="1" fontId="14" fillId="0" borderId="4" xfId="24" applyNumberFormat="1" applyFont="1" applyFill="1" applyBorder="1" applyAlignment="1">
      <alignment horizontal="center" wrapText="1"/>
    </xf>
    <xf numFmtId="167" fontId="14" fillId="0" borderId="5" xfId="28" applyNumberFormat="1" applyFont="1" applyFill="1" applyBorder="1" applyAlignment="1">
      <alignment horizontal="right"/>
    </xf>
    <xf numFmtId="167" fontId="14" fillId="0" borderId="5" xfId="12" applyNumberFormat="1" applyFont="1" applyFill="1" applyBorder="1" applyAlignment="1"/>
    <xf numFmtId="3" fontId="14" fillId="0" borderId="5" xfId="24" applyNumberFormat="1" applyFont="1" applyFill="1" applyBorder="1" applyAlignment="1">
      <alignment horizontal="right" wrapText="1"/>
    </xf>
    <xf numFmtId="1" fontId="14" fillId="0" borderId="7" xfId="24" applyNumberFormat="1" applyFont="1" applyFill="1" applyBorder="1" applyAlignment="1">
      <alignment horizontal="center" wrapText="1"/>
    </xf>
    <xf numFmtId="0" fontId="14" fillId="0" borderId="8" xfId="10" applyFont="1" applyFill="1" applyBorder="1" applyAlignment="1">
      <alignment wrapText="1"/>
    </xf>
    <xf numFmtId="167" fontId="14" fillId="0" borderId="8" xfId="28" applyNumberFormat="1" applyFont="1" applyFill="1" applyBorder="1" applyAlignment="1">
      <alignment horizontal="right"/>
    </xf>
    <xf numFmtId="167" fontId="14" fillId="0" borderId="8" xfId="12" applyNumberFormat="1" applyFont="1" applyFill="1" applyBorder="1" applyAlignment="1"/>
    <xf numFmtId="3" fontId="14" fillId="0" borderId="8" xfId="10" applyNumberFormat="1" applyFont="1" applyFill="1" applyBorder="1" applyAlignment="1">
      <alignment horizontal="right"/>
    </xf>
    <xf numFmtId="0" fontId="32" fillId="0" borderId="9" xfId="12" applyFont="1" applyFill="1" applyBorder="1" applyAlignment="1">
      <alignment horizontal="left" wrapText="1"/>
    </xf>
    <xf numFmtId="3" fontId="15" fillId="0" borderId="57" xfId="12" applyNumberFormat="1" applyFont="1" applyFill="1" applyBorder="1"/>
    <xf numFmtId="0" fontId="14" fillId="0" borderId="57" xfId="12" applyFont="1" applyFill="1" applyBorder="1" applyAlignment="1">
      <alignment wrapText="1"/>
    </xf>
    <xf numFmtId="0" fontId="14" fillId="0" borderId="0" xfId="12" applyFont="1" applyFill="1" applyAlignment="1">
      <alignment horizontal="center"/>
    </xf>
    <xf numFmtId="0" fontId="32" fillId="0" borderId="0" xfId="12" applyFont="1" applyFill="1" applyAlignment="1">
      <alignment horizontal="left" wrapText="1"/>
    </xf>
    <xf numFmtId="0" fontId="21" fillId="0" borderId="0" xfId="12" applyFont="1" applyFill="1"/>
    <xf numFmtId="0" fontId="21" fillId="0" borderId="0" xfId="12" applyFont="1" applyFill="1" applyAlignment="1">
      <alignment horizontal="left" wrapText="1"/>
    </xf>
    <xf numFmtId="0" fontId="23" fillId="0" borderId="0" xfId="4" applyFont="1" applyAlignment="1"/>
    <xf numFmtId="0" fontId="15" fillId="0" borderId="0" xfId="4" applyFont="1" applyBorder="1" applyAlignment="1"/>
    <xf numFmtId="0" fontId="32" fillId="0" borderId="0" xfId="4" applyFont="1"/>
    <xf numFmtId="0" fontId="14" fillId="0" borderId="57" xfId="4" applyFont="1" applyBorder="1"/>
    <xf numFmtId="0" fontId="6" fillId="0" borderId="0" xfId="4" applyFont="1" applyAlignment="1"/>
    <xf numFmtId="0" fontId="6" fillId="0" borderId="0" xfId="4" applyFont="1" applyFill="1" applyAlignment="1">
      <alignment horizontal="left"/>
    </xf>
    <xf numFmtId="0" fontId="6" fillId="0" borderId="0" xfId="4" applyFont="1" applyAlignment="1">
      <alignment horizontal="left"/>
    </xf>
    <xf numFmtId="0" fontId="4" fillId="0" borderId="0" xfId="4" applyFont="1"/>
    <xf numFmtId="0" fontId="4" fillId="0" borderId="5" xfId="4" applyFont="1" applyFill="1" applyBorder="1" applyAlignment="1">
      <alignment horizontal="center" wrapText="1"/>
    </xf>
    <xf numFmtId="0" fontId="4" fillId="0" borderId="5" xfId="4" applyFont="1" applyFill="1" applyBorder="1" applyAlignment="1">
      <alignment horizontal="center" vertical="center" wrapText="1"/>
    </xf>
    <xf numFmtId="3" fontId="9" fillId="0" borderId="5" xfId="4" applyNumberFormat="1" applyFont="1" applyFill="1" applyBorder="1" applyAlignment="1">
      <alignment wrapText="1"/>
    </xf>
    <xf numFmtId="3" fontId="9" fillId="0" borderId="5" xfId="4" applyNumberFormat="1" applyFont="1" applyBorder="1" applyAlignment="1">
      <alignment wrapText="1"/>
    </xf>
    <xf numFmtId="49" fontId="4" fillId="0" borderId="5" xfId="4" applyNumberFormat="1" applyFont="1" applyFill="1" applyBorder="1" applyAlignment="1">
      <alignment horizontal="center" vertical="center" wrapText="1"/>
    </xf>
    <xf numFmtId="0" fontId="4" fillId="0" borderId="5" xfId="4" applyFont="1" applyFill="1" applyBorder="1" applyAlignment="1">
      <alignment horizontal="left" vertical="center" wrapText="1"/>
    </xf>
    <xf numFmtId="3" fontId="4" fillId="0" borderId="5" xfId="4" applyNumberFormat="1" applyFont="1" applyFill="1" applyBorder="1" applyAlignment="1">
      <alignment horizontal="right" vertical="center" wrapText="1"/>
    </xf>
    <xf numFmtId="3" fontId="4" fillId="3" borderId="5" xfId="4" applyNumberFormat="1" applyFont="1" applyFill="1" applyBorder="1" applyAlignment="1">
      <alignment horizontal="right" vertical="center" wrapText="1"/>
    </xf>
    <xf numFmtId="3" fontId="9" fillId="0" borderId="5" xfId="4" applyNumberFormat="1" applyFont="1" applyFill="1" applyBorder="1" applyAlignment="1">
      <alignment horizontal="center" vertical="center" wrapText="1"/>
    </xf>
    <xf numFmtId="0" fontId="4" fillId="0" borderId="5" xfId="4" applyFont="1" applyFill="1" applyBorder="1" applyAlignment="1">
      <alignment vertical="top" wrapText="1"/>
    </xf>
    <xf numFmtId="0" fontId="35" fillId="0" borderId="0" xfId="4" applyFont="1"/>
    <xf numFmtId="0" fontId="4" fillId="0" borderId="0" xfId="4" applyFont="1" applyBorder="1" applyAlignment="1">
      <alignment wrapText="1"/>
    </xf>
    <xf numFmtId="0" fontId="4" fillId="0" borderId="0" xfId="4" applyFont="1" applyFill="1" applyBorder="1" applyAlignment="1">
      <alignment wrapText="1"/>
    </xf>
    <xf numFmtId="49" fontId="4" fillId="0" borderId="5" xfId="4" applyNumberFormat="1" applyFont="1" applyFill="1" applyBorder="1" applyAlignment="1">
      <alignment horizontal="center" vertical="center"/>
    </xf>
    <xf numFmtId="0" fontId="36" fillId="0" borderId="0" xfId="4" applyFont="1" applyFill="1"/>
    <xf numFmtId="3" fontId="4" fillId="0" borderId="0" xfId="4" applyNumberFormat="1" applyFont="1" applyFill="1" applyBorder="1" applyAlignment="1">
      <alignment horizontal="right" wrapText="1"/>
    </xf>
    <xf numFmtId="3" fontId="4" fillId="0" borderId="0" xfId="4" applyNumberFormat="1" applyFont="1" applyFill="1" applyBorder="1" applyAlignment="1">
      <alignment horizontal="right" vertical="center" wrapText="1"/>
    </xf>
    <xf numFmtId="0" fontId="4" fillId="0" borderId="0" xfId="4" applyFont="1" applyFill="1" applyBorder="1" applyAlignment="1">
      <alignment vertical="top" wrapText="1"/>
    </xf>
    <xf numFmtId="0" fontId="4" fillId="0" borderId="5" xfId="4" applyFont="1" applyFill="1" applyBorder="1" applyAlignment="1">
      <alignment wrapText="1"/>
    </xf>
    <xf numFmtId="0" fontId="4" fillId="0" borderId="5" xfId="4" applyFont="1" applyFill="1" applyBorder="1" applyAlignment="1">
      <alignment vertical="center" wrapText="1"/>
    </xf>
    <xf numFmtId="0" fontId="35" fillId="0" borderId="0" xfId="4" applyFont="1" applyFill="1"/>
    <xf numFmtId="3" fontId="37" fillId="0" borderId="5" xfId="4" applyNumberFormat="1" applyFont="1" applyFill="1" applyBorder="1" applyAlignment="1">
      <alignment horizontal="right" vertical="center" wrapText="1"/>
    </xf>
    <xf numFmtId="3" fontId="4" fillId="0" borderId="0" xfId="4" applyNumberFormat="1" applyFont="1" applyFill="1" applyBorder="1" applyAlignment="1">
      <alignment wrapText="1"/>
    </xf>
    <xf numFmtId="3" fontId="4" fillId="0" borderId="0" xfId="4" applyNumberFormat="1" applyFont="1" applyBorder="1" applyAlignment="1">
      <alignment wrapText="1"/>
    </xf>
    <xf numFmtId="49" fontId="9" fillId="0" borderId="5" xfId="4" applyNumberFormat="1" applyFont="1" applyFill="1" applyBorder="1" applyAlignment="1">
      <alignment horizontal="center" vertical="center"/>
    </xf>
    <xf numFmtId="0" fontId="9" fillId="0" borderId="5" xfId="4" applyFont="1" applyFill="1" applyBorder="1" applyAlignment="1">
      <alignment vertical="center" wrapText="1"/>
    </xf>
    <xf numFmtId="0" fontId="36" fillId="0" borderId="0" xfId="4" applyFont="1"/>
    <xf numFmtId="0" fontId="4" fillId="0" borderId="5" xfId="4" applyFont="1" applyFill="1" applyBorder="1" applyAlignment="1">
      <alignment horizontal="left" wrapText="1"/>
    </xf>
    <xf numFmtId="0" fontId="35" fillId="0" borderId="0" xfId="4" applyFont="1" applyFill="1" applyAlignment="1"/>
    <xf numFmtId="0" fontId="4" fillId="0" borderId="37" xfId="4" applyFont="1" applyFill="1" applyBorder="1" applyAlignment="1">
      <alignment vertical="center" wrapText="1"/>
    </xf>
    <xf numFmtId="41" fontId="4" fillId="0" borderId="5" xfId="4" applyNumberFormat="1" applyFont="1" applyFill="1" applyBorder="1" applyAlignment="1">
      <alignment horizontal="right" vertical="center" wrapText="1"/>
    </xf>
    <xf numFmtId="3" fontId="4" fillId="0" borderId="37" xfId="4" applyNumberFormat="1" applyFont="1" applyFill="1" applyBorder="1" applyAlignment="1">
      <alignment horizontal="right" vertical="center" wrapText="1"/>
    </xf>
    <xf numFmtId="3" fontId="9" fillId="0" borderId="37" xfId="4" applyNumberFormat="1" applyFont="1" applyFill="1" applyBorder="1" applyAlignment="1">
      <alignment horizontal="center" vertical="center" wrapText="1"/>
    </xf>
    <xf numFmtId="0" fontId="4" fillId="0" borderId="5" xfId="4" applyFont="1" applyFill="1" applyBorder="1" applyAlignment="1">
      <alignment horizontal="left" vertical="center"/>
    </xf>
    <xf numFmtId="0" fontId="4" fillId="0" borderId="37" xfId="4" applyFont="1" applyFill="1" applyBorder="1" applyAlignment="1">
      <alignment horizontal="left" vertical="center" wrapText="1"/>
    </xf>
    <xf numFmtId="49" fontId="4" fillId="0" borderId="37" xfId="4" applyNumberFormat="1" applyFont="1" applyFill="1" applyBorder="1" applyAlignment="1">
      <alignment horizontal="center" vertical="center"/>
    </xf>
    <xf numFmtId="49" fontId="4" fillId="0" borderId="56" xfId="4" applyNumberFormat="1" applyFont="1" applyFill="1" applyBorder="1" applyAlignment="1">
      <alignment horizontal="center" vertical="center"/>
    </xf>
    <xf numFmtId="0" fontId="4" fillId="0" borderId="56" xfId="4" applyFont="1" applyFill="1" applyBorder="1" applyAlignment="1">
      <alignment horizontal="left" vertical="center" wrapText="1"/>
    </xf>
    <xf numFmtId="0" fontId="36" fillId="0" borderId="0" xfId="4" applyFont="1" applyFill="1" applyAlignment="1"/>
    <xf numFmtId="0" fontId="2" fillId="0" borderId="5" xfId="4" applyFont="1" applyFill="1" applyBorder="1" applyAlignment="1"/>
    <xf numFmtId="3" fontId="4" fillId="0" borderId="5" xfId="4" applyNumberFormat="1" applyFont="1" applyFill="1" applyBorder="1" applyAlignment="1">
      <alignment horizontal="right" vertical="center"/>
    </xf>
    <xf numFmtId="3" fontId="4" fillId="0" borderId="5" xfId="4" applyNumberFormat="1" applyFont="1" applyBorder="1" applyAlignment="1">
      <alignment horizontal="right" vertical="center"/>
    </xf>
    <xf numFmtId="0" fontId="4" fillId="0" borderId="5" xfId="4" applyFont="1" applyFill="1" applyBorder="1" applyAlignment="1">
      <alignment horizontal="left" vertical="center" wrapText="1"/>
    </xf>
    <xf numFmtId="49" fontId="4" fillId="0" borderId="45" xfId="4" applyNumberFormat="1" applyFont="1" applyFill="1" applyBorder="1" applyAlignment="1">
      <alignment horizontal="center" vertical="center"/>
    </xf>
    <xf numFmtId="0" fontId="4" fillId="0" borderId="45" xfId="4" applyFont="1" applyFill="1" applyBorder="1" applyAlignment="1">
      <alignment horizontal="left" vertical="center" wrapText="1"/>
    </xf>
    <xf numFmtId="0" fontId="4" fillId="0" borderId="0" xfId="4" applyFont="1" applyBorder="1"/>
    <xf numFmtId="3" fontId="4" fillId="0" borderId="0" xfId="4" applyNumberFormat="1" applyFont="1" applyFill="1" applyBorder="1" applyAlignment="1">
      <alignment horizontal="left"/>
    </xf>
    <xf numFmtId="3" fontId="4" fillId="0" borderId="0" xfId="4" applyNumberFormat="1" applyFont="1" applyBorder="1" applyAlignment="1">
      <alignment horizontal="left"/>
    </xf>
    <xf numFmtId="0" fontId="4" fillId="0" borderId="0" xfId="4" applyFont="1" applyBorder="1" applyAlignment="1">
      <alignment horizontal="left"/>
    </xf>
    <xf numFmtId="0" fontId="4" fillId="0" borderId="5" xfId="4" applyFont="1" applyBorder="1" applyAlignment="1">
      <alignment horizontal="left"/>
    </xf>
    <xf numFmtId="0" fontId="6" fillId="0" borderId="0" xfId="4" applyFont="1" applyFill="1" applyAlignment="1">
      <alignment horizontal="right"/>
    </xf>
    <xf numFmtId="49" fontId="4" fillId="0" borderId="39" xfId="4" applyNumberFormat="1" applyFont="1" applyFill="1" applyBorder="1" applyAlignment="1">
      <alignment horizontal="center" vertical="center"/>
    </xf>
    <xf numFmtId="0" fontId="6" fillId="0" borderId="0" xfId="4" applyFont="1" applyFill="1" applyAlignment="1"/>
    <xf numFmtId="0" fontId="37" fillId="0" borderId="5" xfId="4" applyFont="1" applyFill="1" applyBorder="1" applyAlignment="1">
      <alignment wrapText="1"/>
    </xf>
    <xf numFmtId="0" fontId="38" fillId="0" borderId="0" xfId="4" applyFont="1" applyFill="1" applyAlignment="1"/>
    <xf numFmtId="3" fontId="4" fillId="0" borderId="40" xfId="4" applyNumberFormat="1" applyFont="1" applyFill="1" applyBorder="1" applyAlignment="1">
      <alignment horizontal="right" vertical="center" wrapText="1"/>
    </xf>
    <xf numFmtId="49" fontId="4" fillId="0" borderId="47" xfId="4" applyNumberFormat="1" applyFont="1" applyFill="1" applyBorder="1" applyAlignment="1">
      <alignment horizontal="center" vertical="center"/>
    </xf>
    <xf numFmtId="3" fontId="4" fillId="0" borderId="45" xfId="4" applyNumberFormat="1" applyFont="1" applyFill="1" applyBorder="1" applyAlignment="1">
      <alignment horizontal="right" vertical="center" wrapText="1"/>
    </xf>
    <xf numFmtId="0" fontId="4" fillId="0" borderId="56" xfId="4" applyFont="1" applyFill="1" applyBorder="1" applyAlignment="1">
      <alignment horizontal="left" wrapText="1"/>
    </xf>
    <xf numFmtId="0" fontId="4" fillId="0" borderId="0" xfId="4" applyFont="1" applyFill="1" applyBorder="1"/>
    <xf numFmtId="0" fontId="4" fillId="0" borderId="0" xfId="4" applyFont="1" applyFill="1" applyBorder="1" applyAlignment="1">
      <alignment horizontal="left"/>
    </xf>
    <xf numFmtId="0" fontId="4" fillId="0" borderId="37" xfId="4" applyFont="1" applyFill="1" applyBorder="1" applyAlignment="1">
      <alignment horizontal="center" vertical="center"/>
    </xf>
    <xf numFmtId="0" fontId="4" fillId="0" borderId="5" xfId="4" applyFont="1" applyBorder="1"/>
    <xf numFmtId="3" fontId="4" fillId="0" borderId="5" xfId="4" applyNumberFormat="1" applyFont="1" applyFill="1" applyBorder="1" applyAlignment="1">
      <alignment vertical="center" wrapText="1"/>
    </xf>
    <xf numFmtId="3" fontId="4" fillId="0" borderId="5" xfId="4" applyNumberFormat="1" applyFont="1" applyFill="1" applyBorder="1" applyAlignment="1">
      <alignment vertical="center"/>
    </xf>
    <xf numFmtId="3" fontId="9" fillId="0" borderId="57" xfId="4" applyNumberFormat="1" applyFont="1" applyFill="1" applyBorder="1"/>
    <xf numFmtId="3" fontId="9" fillId="0" borderId="57" xfId="4" applyNumberFormat="1" applyFont="1" applyBorder="1"/>
    <xf numFmtId="0" fontId="4" fillId="0" borderId="57" xfId="4" applyFont="1" applyBorder="1"/>
    <xf numFmtId="0" fontId="4" fillId="0" borderId="37" xfId="4" applyFont="1" applyFill="1" applyBorder="1" applyAlignment="1">
      <alignment horizontal="center" vertical="center" wrapText="1"/>
    </xf>
    <xf numFmtId="0" fontId="6" fillId="0" borderId="0" xfId="4" applyFont="1" applyFill="1"/>
    <xf numFmtId="0" fontId="14" fillId="0" borderId="2" xfId="4" applyFont="1" applyBorder="1" applyAlignment="1">
      <alignment horizontal="center" vertical="center" wrapText="1"/>
    </xf>
    <xf numFmtId="3" fontId="15" fillId="0" borderId="56" xfId="4" applyNumberFormat="1" applyFont="1" applyBorder="1" applyAlignment="1">
      <alignment vertical="center" wrapText="1"/>
    </xf>
    <xf numFmtId="0" fontId="14" fillId="0" borderId="46" xfId="4" applyFont="1" applyBorder="1" applyAlignment="1">
      <alignment vertical="center" wrapText="1"/>
    </xf>
    <xf numFmtId="3" fontId="14" fillId="0" borderId="5" xfId="4" applyNumberFormat="1" applyFont="1" applyBorder="1" applyAlignment="1">
      <alignment vertical="center" wrapText="1"/>
    </xf>
    <xf numFmtId="3" fontId="15" fillId="0" borderId="5" xfId="4" applyNumberFormat="1" applyFont="1" applyBorder="1" applyAlignment="1">
      <alignment vertical="center" wrapText="1"/>
    </xf>
    <xf numFmtId="0" fontId="14" fillId="0" borderId="6" xfId="4" applyFont="1" applyBorder="1" applyAlignment="1">
      <alignment vertical="center" wrapText="1"/>
    </xf>
    <xf numFmtId="0" fontId="14" fillId="0" borderId="5" xfId="4" applyFont="1" applyBorder="1" applyAlignment="1">
      <alignment horizontal="left" vertical="center" wrapText="1"/>
    </xf>
    <xf numFmtId="3" fontId="15" fillId="0" borderId="5" xfId="4" applyNumberFormat="1" applyFont="1" applyFill="1" applyBorder="1" applyAlignment="1">
      <alignment vertical="center" wrapText="1"/>
    </xf>
    <xf numFmtId="3" fontId="14" fillId="0" borderId="5" xfId="4" applyNumberFormat="1" applyFont="1" applyFill="1" applyBorder="1" applyAlignment="1">
      <alignment vertical="center" wrapText="1"/>
    </xf>
    <xf numFmtId="167" fontId="14" fillId="0" borderId="5" xfId="10" applyNumberFormat="1" applyFont="1" applyFill="1" applyBorder="1" applyAlignment="1">
      <alignment vertical="center"/>
    </xf>
    <xf numFmtId="0" fontId="14" fillId="0" borderId="7" xfId="4" applyFont="1" applyBorder="1" applyAlignment="1">
      <alignment horizontal="center" vertical="center" wrapText="1"/>
    </xf>
    <xf numFmtId="3" fontId="14" fillId="0" borderId="8" xfId="4" applyNumberFormat="1" applyFont="1" applyBorder="1" applyAlignment="1">
      <alignment vertical="center" wrapText="1"/>
    </xf>
    <xf numFmtId="0" fontId="15" fillId="0" borderId="0" xfId="4" applyFont="1" applyBorder="1" applyAlignment="1">
      <alignment horizontal="right" wrapText="1"/>
    </xf>
    <xf numFmtId="3" fontId="14" fillId="0" borderId="8" xfId="4" applyNumberFormat="1" applyFont="1" applyFill="1" applyBorder="1" applyAlignment="1">
      <alignment vertical="center" wrapText="1"/>
    </xf>
    <xf numFmtId="3" fontId="15" fillId="0" borderId="56" xfId="4" applyNumberFormat="1" applyFont="1" applyBorder="1" applyAlignment="1">
      <alignment wrapText="1"/>
    </xf>
    <xf numFmtId="0" fontId="14" fillId="0" borderId="46" xfId="4" applyFont="1" applyBorder="1" applyAlignment="1">
      <alignment wrapText="1"/>
    </xf>
    <xf numFmtId="167" fontId="26" fillId="0" borderId="56" xfId="4" applyNumberFormat="1" applyFont="1" applyBorder="1" applyAlignment="1">
      <alignment vertical="center"/>
    </xf>
    <xf numFmtId="0" fontId="14" fillId="0" borderId="5" xfId="4" applyFont="1" applyFill="1" applyBorder="1" applyAlignment="1">
      <alignment horizontal="left" vertical="center" wrapText="1"/>
    </xf>
    <xf numFmtId="0" fontId="14" fillId="0" borderId="6" xfId="4" applyFont="1" applyFill="1" applyBorder="1" applyAlignment="1">
      <alignment vertical="center" wrapText="1"/>
    </xf>
    <xf numFmtId="0" fontId="14" fillId="0" borderId="7" xfId="4" applyFont="1" applyFill="1" applyBorder="1" applyAlignment="1">
      <alignment horizontal="center" vertical="center" wrapText="1"/>
    </xf>
    <xf numFmtId="0" fontId="14" fillId="0" borderId="8" xfId="4" applyFont="1" applyFill="1" applyBorder="1" applyAlignment="1">
      <alignment horizontal="left" vertical="center" wrapText="1"/>
    </xf>
    <xf numFmtId="0" fontId="14" fillId="0" borderId="8" xfId="4" applyFont="1" applyFill="1" applyBorder="1" applyAlignment="1">
      <alignment horizontal="right" vertical="center" wrapText="1"/>
    </xf>
    <xf numFmtId="0" fontId="14" fillId="0" borderId="0" xfId="4" applyFont="1" applyFill="1" applyBorder="1" applyAlignment="1">
      <alignment horizontal="right" wrapText="1"/>
    </xf>
    <xf numFmtId="0" fontId="14" fillId="0" borderId="28" xfId="4" applyFont="1" applyBorder="1" applyAlignment="1">
      <alignment horizontal="center" vertical="center" wrapText="1"/>
    </xf>
    <xf numFmtId="0" fontId="14" fillId="0" borderId="56" xfId="4" applyFont="1" applyFill="1" applyBorder="1" applyAlignment="1">
      <alignment horizontal="left" vertical="center" wrapText="1"/>
    </xf>
    <xf numFmtId="0" fontId="14" fillId="0" borderId="5" xfId="4" applyFont="1" applyFill="1" applyBorder="1" applyAlignment="1">
      <alignment horizontal="right" vertical="center" wrapText="1"/>
    </xf>
    <xf numFmtId="0" fontId="14" fillId="0" borderId="6" xfId="4" applyFont="1" applyFill="1" applyBorder="1" applyAlignment="1">
      <alignment horizontal="right" vertical="center" wrapText="1"/>
    </xf>
    <xf numFmtId="3" fontId="14" fillId="0" borderId="8" xfId="4" applyNumberFormat="1" applyFont="1" applyFill="1" applyBorder="1" applyAlignment="1">
      <alignment horizontal="right" vertical="center" wrapText="1"/>
    </xf>
    <xf numFmtId="0" fontId="14" fillId="0" borderId="9" xfId="4" applyFont="1" applyFill="1" applyBorder="1" applyAlignment="1">
      <alignment vertical="center" wrapText="1"/>
    </xf>
    <xf numFmtId="0" fontId="14" fillId="0" borderId="0" xfId="4" applyFont="1" applyFill="1" applyBorder="1" applyAlignment="1">
      <alignment horizontal="right" vertical="center" wrapText="1"/>
    </xf>
    <xf numFmtId="3" fontId="14" fillId="0" borderId="0" xfId="4" applyNumberFormat="1" applyFont="1" applyFill="1" applyBorder="1" applyAlignment="1">
      <alignment horizontal="right" vertical="center" wrapText="1"/>
    </xf>
    <xf numFmtId="3" fontId="15" fillId="0" borderId="5" xfId="4" applyNumberFormat="1" applyFont="1" applyFill="1" applyBorder="1" applyAlignment="1">
      <alignment horizontal="center" vertical="center" wrapText="1"/>
    </xf>
    <xf numFmtId="0" fontId="8" fillId="0" borderId="0" xfId="4" applyFont="1" applyAlignment="1">
      <alignment horizontal="left"/>
    </xf>
    <xf numFmtId="0" fontId="4" fillId="0" borderId="5" xfId="4" applyFont="1" applyBorder="1" applyAlignment="1">
      <alignment horizontal="left" vertical="center" wrapText="1"/>
    </xf>
    <xf numFmtId="1" fontId="14" fillId="0" borderId="5" xfId="4" applyNumberFormat="1" applyFont="1" applyBorder="1" applyAlignment="1">
      <alignment horizontal="right" vertical="center" wrapText="1"/>
    </xf>
    <xf numFmtId="0" fontId="14" fillId="0" borderId="5" xfId="4" applyFont="1" applyBorder="1" applyAlignment="1">
      <alignment horizontal="right" vertical="center" wrapText="1"/>
    </xf>
    <xf numFmtId="0" fontId="15" fillId="0" borderId="5" xfId="4" applyFont="1" applyBorder="1" applyAlignment="1">
      <alignment horizontal="center" vertical="center" wrapText="1"/>
    </xf>
    <xf numFmtId="0" fontId="4" fillId="0" borderId="7" xfId="4" applyFont="1" applyBorder="1" applyAlignment="1">
      <alignment horizontal="center" vertical="center" wrapText="1"/>
    </xf>
    <xf numFmtId="0" fontId="4" fillId="0" borderId="8" xfId="4" applyFont="1" applyBorder="1" applyAlignment="1">
      <alignment vertical="center" wrapText="1"/>
    </xf>
    <xf numFmtId="1" fontId="14" fillId="0" borderId="8" xfId="4" applyNumberFormat="1" applyFont="1" applyBorder="1" applyAlignment="1">
      <alignment horizontal="right" vertical="center" wrapText="1"/>
    </xf>
    <xf numFmtId="0" fontId="14" fillId="0" borderId="8" xfId="4" applyFont="1" applyBorder="1" applyAlignment="1">
      <alignment horizontal="right" vertical="center" wrapText="1"/>
    </xf>
    <xf numFmtId="0" fontId="15" fillId="0" borderId="8" xfId="4" applyFont="1" applyBorder="1" applyAlignment="1">
      <alignment horizontal="center" vertical="center" wrapText="1"/>
    </xf>
    <xf numFmtId="1" fontId="14" fillId="0" borderId="0" xfId="4" applyNumberFormat="1" applyFont="1" applyBorder="1" applyAlignment="1">
      <alignment wrapText="1"/>
    </xf>
    <xf numFmtId="3" fontId="15" fillId="0" borderId="56" xfId="4" applyNumberFormat="1" applyFont="1" applyBorder="1" applyAlignment="1">
      <alignment horizontal="center" vertical="center" wrapText="1"/>
    </xf>
    <xf numFmtId="0" fontId="14" fillId="0" borderId="46" xfId="4" applyFont="1" applyBorder="1" applyAlignment="1">
      <alignment horizontal="center" vertical="center" wrapText="1"/>
    </xf>
    <xf numFmtId="0" fontId="4" fillId="0" borderId="37" xfId="4" applyFont="1" applyBorder="1" applyAlignment="1">
      <alignment vertical="center" wrapText="1"/>
    </xf>
    <xf numFmtId="1" fontId="14" fillId="0" borderId="5" xfId="4" applyNumberFormat="1" applyFont="1" applyFill="1" applyBorder="1" applyAlignment="1">
      <alignment horizontal="right" vertical="center" wrapText="1"/>
    </xf>
    <xf numFmtId="1" fontId="14" fillId="0" borderId="0" xfId="4" applyNumberFormat="1" applyFont="1"/>
    <xf numFmtId="0" fontId="4" fillId="0" borderId="42" xfId="4" applyFont="1" applyBorder="1" applyAlignment="1">
      <alignment horizontal="center" vertical="center" wrapText="1"/>
    </xf>
    <xf numFmtId="0" fontId="41" fillId="0" borderId="6" xfId="30" applyFont="1" applyBorder="1" applyAlignment="1">
      <alignment horizontal="left" vertical="center" wrapText="1"/>
    </xf>
    <xf numFmtId="3" fontId="14" fillId="0" borderId="8" xfId="4" applyNumberFormat="1" applyFont="1" applyBorder="1" applyAlignment="1">
      <alignment horizontal="right" vertical="center" wrapText="1"/>
    </xf>
    <xf numFmtId="0" fontId="15" fillId="0" borderId="0" xfId="4" applyFont="1" applyFill="1" applyBorder="1" applyAlignment="1">
      <alignment horizontal="right" wrapText="1"/>
    </xf>
    <xf numFmtId="0" fontId="14" fillId="0" borderId="5" xfId="4" applyFont="1" applyFill="1" applyBorder="1" applyAlignment="1">
      <alignment horizontal="center" vertical="center" wrapText="1"/>
    </xf>
    <xf numFmtId="0" fontId="14" fillId="0" borderId="5" xfId="4" applyFont="1" applyFill="1" applyBorder="1" applyAlignment="1">
      <alignment vertical="center" wrapText="1"/>
    </xf>
    <xf numFmtId="0" fontId="14" fillId="0" borderId="5" xfId="4" applyFont="1" applyFill="1" applyBorder="1" applyAlignment="1">
      <alignment horizontal="left" vertical="center"/>
    </xf>
    <xf numFmtId="3" fontId="14" fillId="0" borderId="5" xfId="4" applyNumberFormat="1" applyFont="1" applyFill="1" applyBorder="1" applyAlignment="1">
      <alignment horizontal="right" vertical="center"/>
    </xf>
    <xf numFmtId="3" fontId="14" fillId="0" borderId="56" xfId="4" applyNumberFormat="1" applyFont="1" applyFill="1" applyBorder="1" applyAlignment="1">
      <alignment horizontal="right" vertical="center" wrapText="1"/>
    </xf>
    <xf numFmtId="167" fontId="14" fillId="0" borderId="56" xfId="10" applyNumberFormat="1" applyFont="1" applyFill="1" applyBorder="1" applyAlignment="1" applyProtection="1">
      <alignment horizontal="right" vertical="center" wrapText="1"/>
      <protection locked="0"/>
    </xf>
    <xf numFmtId="3" fontId="14" fillId="0" borderId="31" xfId="4" applyNumberFormat="1" applyFont="1" applyFill="1" applyBorder="1" applyAlignment="1">
      <alignment horizontal="right" vertical="center" wrapText="1"/>
    </xf>
    <xf numFmtId="3" fontId="14" fillId="0" borderId="0" xfId="4" applyNumberFormat="1" applyFont="1" applyFill="1" applyBorder="1" applyAlignment="1">
      <alignment horizontal="right" wrapText="1"/>
    </xf>
    <xf numFmtId="3" fontId="14" fillId="0" borderId="0" xfId="4" applyNumberFormat="1" applyFont="1" applyFill="1" applyBorder="1" applyAlignment="1">
      <alignment horizontal="center" wrapText="1"/>
    </xf>
    <xf numFmtId="0" fontId="14" fillId="0" borderId="5" xfId="4" applyFont="1" applyFill="1" applyBorder="1" applyAlignment="1">
      <alignment horizontal="left" vertical="center" wrapText="1"/>
    </xf>
    <xf numFmtId="3" fontId="14" fillId="0" borderId="40" xfId="4" applyNumberFormat="1" applyFont="1" applyFill="1" applyBorder="1" applyAlignment="1">
      <alignment horizontal="right" vertical="center"/>
    </xf>
    <xf numFmtId="3" fontId="15" fillId="0" borderId="40" xfId="4" applyNumberFormat="1" applyFont="1" applyFill="1" applyBorder="1" applyAlignment="1">
      <alignment horizontal="center" vertical="center" wrapText="1"/>
    </xf>
    <xf numFmtId="0" fontId="14" fillId="0" borderId="56" xfId="4" applyFont="1" applyFill="1" applyBorder="1" applyAlignment="1">
      <alignment vertical="center" wrapText="1"/>
    </xf>
    <xf numFmtId="3" fontId="15" fillId="0" borderId="31" xfId="4" applyNumberFormat="1" applyFont="1" applyFill="1" applyBorder="1" applyAlignment="1">
      <alignment horizontal="center" vertical="center" wrapText="1"/>
    </xf>
    <xf numFmtId="3" fontId="14" fillId="0" borderId="56" xfId="4" applyNumberFormat="1" applyFont="1" applyFill="1" applyBorder="1" applyAlignment="1">
      <alignment horizontal="right" vertical="center"/>
    </xf>
    <xf numFmtId="3" fontId="14" fillId="0" borderId="31" xfId="4" applyNumberFormat="1" applyFont="1" applyFill="1" applyBorder="1" applyAlignment="1">
      <alignment horizontal="right" vertical="center"/>
    </xf>
    <xf numFmtId="0" fontId="14" fillId="0" borderId="45" xfId="4" applyFont="1" applyFill="1" applyBorder="1" applyAlignment="1">
      <alignment horizontal="right" vertical="center" wrapText="1"/>
    </xf>
    <xf numFmtId="3" fontId="15" fillId="0" borderId="0" xfId="4" applyNumberFormat="1" applyFont="1" applyFill="1" applyBorder="1" applyAlignment="1">
      <alignment horizontal="right" wrapText="1"/>
    </xf>
    <xf numFmtId="3" fontId="15" fillId="0" borderId="57" xfId="4" applyNumberFormat="1" applyFont="1" applyFill="1" applyBorder="1"/>
    <xf numFmtId="0" fontId="14" fillId="0" borderId="57" xfId="4" applyFont="1" applyFill="1" applyBorder="1"/>
    <xf numFmtId="0" fontId="14" fillId="0" borderId="5" xfId="4" applyFont="1" applyFill="1" applyBorder="1" applyAlignment="1">
      <alignment horizontal="center" wrapText="1"/>
    </xf>
    <xf numFmtId="0" fontId="4" fillId="0" borderId="5" xfId="4" applyFont="1" applyFill="1" applyBorder="1" applyAlignment="1">
      <alignment horizontal="center" vertical="center" wrapText="1"/>
    </xf>
    <xf numFmtId="0" fontId="4" fillId="0" borderId="37" xfId="4" applyFont="1" applyFill="1" applyBorder="1" applyAlignment="1">
      <alignment horizontal="center" vertical="center"/>
    </xf>
    <xf numFmtId="0" fontId="4" fillId="0" borderId="5" xfId="4" applyFont="1" applyFill="1" applyBorder="1" applyAlignment="1">
      <alignment horizontal="left" vertical="center" wrapText="1"/>
    </xf>
    <xf numFmtId="0" fontId="14" fillId="0" borderId="5" xfId="4" applyFont="1" applyFill="1" applyBorder="1" applyAlignment="1">
      <alignment horizontal="center" vertical="center" wrapText="1"/>
    </xf>
    <xf numFmtId="0" fontId="14" fillId="0" borderId="5" xfId="4" applyFont="1" applyBorder="1" applyAlignment="1">
      <alignment horizontal="center" vertical="center" wrapText="1"/>
    </xf>
    <xf numFmtId="0" fontId="4" fillId="0" borderId="37" xfId="4" applyFont="1" applyBorder="1" applyAlignment="1">
      <alignment vertical="center" wrapText="1"/>
    </xf>
    <xf numFmtId="0" fontId="4" fillId="0" borderId="5" xfId="4" applyFont="1" applyBorder="1" applyAlignment="1">
      <alignment horizontal="left" vertical="center" wrapText="1"/>
    </xf>
    <xf numFmtId="0" fontId="14" fillId="0" borderId="0" xfId="16" applyFont="1"/>
    <xf numFmtId="0" fontId="14" fillId="0" borderId="0" xfId="16" applyFont="1" applyAlignment="1"/>
    <xf numFmtId="0" fontId="2" fillId="0" borderId="0" xfId="16"/>
    <xf numFmtId="0" fontId="14" fillId="0" borderId="0" xfId="16" applyFont="1" applyAlignment="1">
      <alignment horizontal="left"/>
    </xf>
    <xf numFmtId="0" fontId="14" fillId="0" borderId="0" xfId="16" applyFont="1" applyFill="1" applyAlignment="1">
      <alignment horizontal="left"/>
    </xf>
    <xf numFmtId="0" fontId="4" fillId="0" borderId="0" xfId="31" applyFont="1"/>
    <xf numFmtId="0" fontId="4" fillId="0" borderId="0" xfId="31" applyFont="1" applyBorder="1" applyAlignment="1"/>
    <xf numFmtId="0" fontId="4" fillId="0" borderId="0" xfId="31" applyFont="1" applyFill="1" applyBorder="1" applyAlignment="1"/>
    <xf numFmtId="3" fontId="9" fillId="0" borderId="37" xfId="31" applyNumberFormat="1" applyFont="1" applyBorder="1" applyAlignment="1">
      <alignment wrapText="1"/>
    </xf>
    <xf numFmtId="3" fontId="9" fillId="0" borderId="45" xfId="31" applyNumberFormat="1" applyFont="1" applyBorder="1" applyAlignment="1">
      <alignment wrapText="1"/>
    </xf>
    <xf numFmtId="0" fontId="4" fillId="0" borderId="39" xfId="31" applyFont="1" applyBorder="1" applyAlignment="1">
      <alignment horizontal="center" vertical="center" wrapText="1"/>
    </xf>
    <xf numFmtId="0" fontId="4" fillId="0" borderId="5" xfId="4" applyFont="1" applyFill="1" applyBorder="1" applyAlignment="1">
      <alignment horizontal="center" vertical="center"/>
    </xf>
    <xf numFmtId="3" fontId="4" fillId="0" borderId="5" xfId="31" applyNumberFormat="1" applyFont="1" applyFill="1" applyBorder="1" applyAlignment="1">
      <alignment wrapText="1"/>
    </xf>
    <xf numFmtId="0" fontId="4" fillId="0" borderId="0" xfId="31" applyFont="1" applyBorder="1" applyAlignment="1">
      <alignment wrapText="1"/>
    </xf>
    <xf numFmtId="0" fontId="4" fillId="0" borderId="0" xfId="31" applyFont="1" applyFill="1" applyBorder="1" applyAlignment="1">
      <alignment wrapText="1"/>
    </xf>
    <xf numFmtId="0" fontId="4" fillId="0" borderId="0" xfId="31" applyFont="1" applyBorder="1" applyAlignment="1">
      <alignment horizontal="left"/>
    </xf>
    <xf numFmtId="3" fontId="9" fillId="0" borderId="37" xfId="31" applyNumberFormat="1" applyFont="1" applyFill="1" applyBorder="1" applyAlignment="1">
      <alignment wrapText="1"/>
    </xf>
    <xf numFmtId="0" fontId="4" fillId="0" borderId="33" xfId="31" applyFont="1" applyBorder="1" applyAlignment="1">
      <alignment horizontal="center" wrapText="1"/>
    </xf>
    <xf numFmtId="0" fontId="4" fillId="0" borderId="34" xfId="31" applyFont="1" applyBorder="1" applyAlignment="1">
      <alignment horizontal="left" wrapText="1"/>
    </xf>
    <xf numFmtId="0" fontId="4" fillId="0" borderId="34" xfId="31" applyFont="1" applyBorder="1" applyAlignment="1">
      <alignment horizontal="right" wrapText="1"/>
    </xf>
    <xf numFmtId="3" fontId="4" fillId="0" borderId="37" xfId="31" applyNumberFormat="1" applyFont="1" applyBorder="1" applyAlignment="1">
      <alignment horizontal="center" wrapText="1"/>
    </xf>
    <xf numFmtId="3" fontId="4" fillId="0" borderId="37" xfId="31" applyNumberFormat="1" applyFont="1" applyFill="1" applyBorder="1" applyAlignment="1">
      <alignment wrapText="1"/>
    </xf>
    <xf numFmtId="0" fontId="4" fillId="0" borderId="37" xfId="4" applyFont="1" applyFill="1" applyBorder="1" applyAlignment="1">
      <alignment horizontal="right" vertical="center"/>
    </xf>
    <xf numFmtId="0" fontId="4" fillId="0" borderId="37" xfId="4" applyFont="1" applyFill="1" applyBorder="1" applyAlignment="1">
      <alignment vertical="center"/>
    </xf>
    <xf numFmtId="0" fontId="9" fillId="0" borderId="0" xfId="31" applyFont="1" applyBorder="1" applyAlignment="1">
      <alignment horizontal="right" wrapText="1"/>
    </xf>
    <xf numFmtId="3" fontId="9" fillId="0" borderId="0" xfId="31" applyNumberFormat="1" applyFont="1" applyBorder="1" applyAlignment="1">
      <alignment wrapText="1"/>
    </xf>
    <xf numFmtId="3" fontId="9" fillId="2" borderId="0" xfId="31" applyNumberFormat="1" applyFont="1" applyFill="1" applyBorder="1" applyAlignment="1">
      <alignment wrapText="1"/>
    </xf>
    <xf numFmtId="0" fontId="4" fillId="2" borderId="0" xfId="31" applyFont="1" applyFill="1" applyBorder="1" applyAlignment="1"/>
    <xf numFmtId="0" fontId="9" fillId="0" borderId="39" xfId="31" applyFont="1" applyBorder="1" applyAlignment="1">
      <alignment horizontal="right" wrapText="1"/>
    </xf>
    <xf numFmtId="0" fontId="9" fillId="0" borderId="34" xfId="31" applyFont="1" applyBorder="1" applyAlignment="1">
      <alignment horizontal="right" wrapText="1"/>
    </xf>
    <xf numFmtId="0" fontId="4" fillId="0" borderId="5" xfId="4" applyFont="1" applyBorder="1" applyAlignment="1">
      <alignment horizontal="right" vertical="center" wrapText="1"/>
    </xf>
    <xf numFmtId="0" fontId="4" fillId="0" borderId="33" xfId="31" applyFont="1" applyBorder="1" applyAlignment="1">
      <alignment horizontal="center" vertical="center" wrapText="1"/>
    </xf>
    <xf numFmtId="0" fontId="4" fillId="0" borderId="37" xfId="4" applyFont="1" applyFill="1" applyBorder="1" applyAlignment="1">
      <alignment horizontal="right" vertical="center" wrapText="1"/>
    </xf>
    <xf numFmtId="0" fontId="4" fillId="0" borderId="5" xfId="31" applyFont="1" applyBorder="1" applyAlignment="1">
      <alignment horizontal="center" vertical="center" wrapText="1"/>
    </xf>
    <xf numFmtId="0" fontId="4" fillId="0" borderId="5" xfId="4" applyFont="1" applyFill="1" applyBorder="1" applyAlignment="1">
      <alignment horizontal="right" vertical="center" wrapText="1"/>
    </xf>
    <xf numFmtId="0" fontId="4" fillId="0" borderId="0" xfId="4" applyFont="1" applyFill="1" applyBorder="1" applyAlignment="1">
      <alignment vertical="center" wrapText="1"/>
    </xf>
    <xf numFmtId="0" fontId="4" fillId="2" borderId="0" xfId="4" applyFont="1" applyFill="1" applyBorder="1" applyAlignment="1">
      <alignment vertical="center" wrapText="1"/>
    </xf>
    <xf numFmtId="0" fontId="4" fillId="2" borderId="0" xfId="31" applyFont="1" applyFill="1" applyBorder="1" applyAlignment="1">
      <alignment wrapText="1"/>
    </xf>
    <xf numFmtId="0" fontId="4" fillId="0" borderId="0" xfId="31" applyFont="1" applyBorder="1" applyAlignment="1">
      <alignment horizontal="center" vertical="center" wrapText="1"/>
    </xf>
    <xf numFmtId="0" fontId="4" fillId="0" borderId="0" xfId="31" applyFont="1" applyBorder="1" applyAlignment="1">
      <alignment horizontal="left" vertical="center" wrapText="1"/>
    </xf>
    <xf numFmtId="0" fontId="4" fillId="0" borderId="0" xfId="31" applyFont="1" applyBorder="1" applyAlignment="1">
      <alignment vertical="center"/>
    </xf>
    <xf numFmtId="0" fontId="4" fillId="2" borderId="0" xfId="31" applyFont="1" applyFill="1" applyBorder="1" applyAlignment="1">
      <alignment vertical="center" wrapText="1"/>
    </xf>
    <xf numFmtId="0" fontId="4" fillId="0" borderId="0" xfId="31" applyFont="1" applyBorder="1" applyAlignment="1">
      <alignment vertical="center" wrapText="1"/>
    </xf>
    <xf numFmtId="0" fontId="2" fillId="0" borderId="0" xfId="16" applyAlignment="1">
      <alignment horizontal="left" vertical="center"/>
    </xf>
    <xf numFmtId="0" fontId="4" fillId="0" borderId="37" xfId="4" applyFont="1" applyBorder="1" applyAlignment="1">
      <alignment wrapText="1"/>
    </xf>
    <xf numFmtId="0" fontId="4" fillId="0" borderId="5" xfId="4" applyFont="1" applyBorder="1" applyAlignment="1">
      <alignment horizontal="left" wrapText="1"/>
    </xf>
    <xf numFmtId="0" fontId="4" fillId="0" borderId="0" xfId="31" applyFont="1" applyFill="1" applyBorder="1" applyAlignment="1">
      <alignment vertical="center" wrapText="1"/>
    </xf>
    <xf numFmtId="0" fontId="4" fillId="2" borderId="0" xfId="31" applyFont="1" applyFill="1"/>
    <xf numFmtId="3" fontId="4" fillId="0" borderId="0" xfId="31" applyNumberFormat="1" applyFont="1"/>
    <xf numFmtId="3" fontId="9" fillId="0" borderId="57" xfId="31" applyNumberFormat="1" applyFont="1" applyBorder="1"/>
    <xf numFmtId="0" fontId="2" fillId="0" borderId="0" xfId="16" applyFill="1"/>
    <xf numFmtId="0" fontId="14" fillId="0" borderId="0" xfId="31" applyFont="1"/>
    <xf numFmtId="0" fontId="14" fillId="0" borderId="0" xfId="31" applyFont="1" applyAlignment="1"/>
    <xf numFmtId="0" fontId="14" fillId="0" borderId="0" xfId="31" applyFont="1" applyBorder="1" applyAlignment="1"/>
    <xf numFmtId="0" fontId="14" fillId="0" borderId="0" xfId="31" applyFont="1" applyFill="1" applyBorder="1" applyAlignment="1"/>
    <xf numFmtId="3" fontId="15" fillId="0" borderId="37" xfId="31" applyNumberFormat="1" applyFont="1" applyFill="1" applyBorder="1" applyAlignment="1">
      <alignment wrapText="1"/>
    </xf>
    <xf numFmtId="0" fontId="14" fillId="0" borderId="39" xfId="31" applyFont="1" applyBorder="1" applyAlignment="1">
      <alignment horizontal="center" vertical="center" wrapText="1"/>
    </xf>
    <xf numFmtId="0" fontId="14" fillId="0" borderId="5" xfId="31" applyFont="1" applyBorder="1" applyAlignment="1">
      <alignment horizontal="center" wrapText="1"/>
    </xf>
    <xf numFmtId="0" fontId="14" fillId="0" borderId="56" xfId="31" applyFont="1" applyBorder="1" applyAlignment="1">
      <alignment wrapText="1"/>
    </xf>
    <xf numFmtId="0" fontId="14" fillId="0" borderId="0" xfId="31" applyFont="1" applyBorder="1" applyAlignment="1">
      <alignment horizontal="left"/>
    </xf>
    <xf numFmtId="3" fontId="15" fillId="0" borderId="37" xfId="31" applyNumberFormat="1" applyFont="1" applyBorder="1" applyAlignment="1">
      <alignment wrapText="1"/>
    </xf>
    <xf numFmtId="0" fontId="14" fillId="0" borderId="5" xfId="4" applyFont="1" applyFill="1" applyBorder="1" applyAlignment="1">
      <alignment horizontal="center" vertical="center"/>
    </xf>
    <xf numFmtId="0" fontId="14" fillId="0" borderId="35" xfId="31" applyFont="1" applyBorder="1" applyAlignment="1">
      <alignment horizontal="center" vertical="center" wrapText="1"/>
    </xf>
    <xf numFmtId="0" fontId="14" fillId="0" borderId="35" xfId="4" applyFont="1" applyFill="1" applyBorder="1" applyAlignment="1">
      <alignment horizontal="left" vertical="center" wrapText="1"/>
    </xf>
    <xf numFmtId="0" fontId="14" fillId="0" borderId="35" xfId="4" applyFont="1" applyBorder="1" applyAlignment="1">
      <alignment horizontal="right" wrapText="1"/>
    </xf>
    <xf numFmtId="0" fontId="14" fillId="0" borderId="35" xfId="4" applyFont="1" applyFill="1" applyBorder="1" applyAlignment="1">
      <alignment horizontal="right" wrapText="1"/>
    </xf>
    <xf numFmtId="0" fontId="33" fillId="0" borderId="5" xfId="4" applyFont="1" applyBorder="1" applyAlignment="1">
      <alignment wrapText="1"/>
    </xf>
    <xf numFmtId="3" fontId="15" fillId="0" borderId="14" xfId="31" applyNumberFormat="1" applyFont="1" applyBorder="1" applyAlignment="1">
      <alignment horizontal="right"/>
    </xf>
    <xf numFmtId="3" fontId="15" fillId="0" borderId="57" xfId="31" applyNumberFormat="1" applyFont="1" applyBorder="1"/>
    <xf numFmtId="0" fontId="4" fillId="0" borderId="5" xfId="4" applyFont="1" applyFill="1" applyBorder="1" applyAlignment="1">
      <alignment horizontal="center" vertical="center" wrapText="1"/>
    </xf>
    <xf numFmtId="0" fontId="4" fillId="0" borderId="37" xfId="4" applyFont="1" applyFill="1" applyBorder="1" applyAlignment="1">
      <alignment horizontal="center" vertical="center"/>
    </xf>
    <xf numFmtId="0" fontId="4" fillId="0" borderId="37" xfId="31" applyFont="1" applyBorder="1" applyAlignment="1">
      <alignment horizontal="center" vertical="center" wrapText="1"/>
    </xf>
    <xf numFmtId="3" fontId="15" fillId="0" borderId="45" xfId="31" applyNumberFormat="1" applyFont="1" applyBorder="1" applyAlignment="1">
      <alignment wrapText="1"/>
    </xf>
    <xf numFmtId="3" fontId="15" fillId="0" borderId="45" xfId="31" applyNumberFormat="1" applyFont="1" applyFill="1" applyBorder="1" applyAlignment="1">
      <alignment wrapText="1"/>
    </xf>
    <xf numFmtId="0" fontId="4" fillId="0" borderId="5" xfId="4" applyFont="1" applyFill="1" applyBorder="1" applyAlignment="1">
      <alignment vertical="center"/>
    </xf>
    <xf numFmtId="0" fontId="4" fillId="0" borderId="5" xfId="4" applyFont="1" applyFill="1" applyBorder="1" applyAlignment="1">
      <alignment horizontal="right" vertical="center"/>
    </xf>
    <xf numFmtId="3" fontId="4" fillId="0" borderId="37" xfId="31" applyNumberFormat="1" applyFont="1" applyFill="1" applyBorder="1" applyAlignment="1">
      <alignment horizontal="left" vertical="center" wrapText="1"/>
    </xf>
    <xf numFmtId="3" fontId="4" fillId="0" borderId="37" xfId="31" applyNumberFormat="1" applyFont="1" applyFill="1" applyBorder="1" applyAlignment="1">
      <alignment vertical="center" wrapText="1"/>
    </xf>
    <xf numFmtId="3" fontId="4" fillId="0" borderId="37" xfId="31" applyNumberFormat="1" applyFont="1" applyBorder="1" applyAlignment="1">
      <alignment horizontal="center" vertical="center" wrapText="1"/>
    </xf>
    <xf numFmtId="0" fontId="4" fillId="0" borderId="35" xfId="31" applyFont="1" applyBorder="1" applyAlignment="1">
      <alignment wrapText="1"/>
    </xf>
    <xf numFmtId="0" fontId="4" fillId="0" borderId="35" xfId="4" applyFont="1" applyFill="1" applyBorder="1" applyAlignment="1">
      <alignment vertical="center" wrapText="1"/>
    </xf>
    <xf numFmtId="0" fontId="4" fillId="0" borderId="0" xfId="31" applyFont="1" applyBorder="1"/>
    <xf numFmtId="3" fontId="4" fillId="0" borderId="37" xfId="31" applyNumberFormat="1" applyFont="1" applyFill="1" applyBorder="1" applyAlignment="1">
      <alignment horizontal="right" wrapText="1"/>
    </xf>
    <xf numFmtId="3" fontId="4" fillId="0" borderId="37" xfId="31" applyNumberFormat="1" applyFont="1" applyFill="1" applyBorder="1" applyAlignment="1">
      <alignment horizontal="right" vertical="center" wrapText="1"/>
    </xf>
    <xf numFmtId="0" fontId="14" fillId="0" borderId="39" xfId="31" applyFont="1" applyBorder="1" applyAlignment="1">
      <alignment horizontal="center" wrapText="1"/>
    </xf>
    <xf numFmtId="0" fontId="14" fillId="0" borderId="5" xfId="4" applyFont="1" applyBorder="1" applyAlignment="1">
      <alignment horizontal="right" wrapText="1"/>
    </xf>
    <xf numFmtId="0" fontId="14" fillId="0" borderId="5" xfId="4" applyFont="1" applyFill="1" applyBorder="1" applyAlignment="1">
      <alignment horizontal="center"/>
    </xf>
    <xf numFmtId="0" fontId="14" fillId="0" borderId="56" xfId="31" applyFont="1" applyBorder="1" applyAlignment="1">
      <alignment vertical="center" wrapText="1"/>
    </xf>
    <xf numFmtId="3" fontId="14" fillId="0" borderId="56" xfId="31" applyNumberFormat="1" applyFont="1" applyBorder="1" applyAlignment="1">
      <alignment horizontal="right" vertical="center" wrapText="1"/>
    </xf>
    <xf numFmtId="3" fontId="12" fillId="0" borderId="5" xfId="4" applyNumberFormat="1" applyFont="1" applyFill="1" applyBorder="1" applyAlignment="1">
      <alignment horizontal="right" vertical="center" wrapText="1"/>
    </xf>
    <xf numFmtId="3" fontId="12" fillId="0" borderId="5" xfId="4" applyNumberFormat="1" applyFont="1" applyFill="1" applyBorder="1" applyAlignment="1">
      <alignment vertical="center" wrapText="1"/>
    </xf>
    <xf numFmtId="3" fontId="12" fillId="0" borderId="5" xfId="25" applyNumberFormat="1" applyFont="1" applyFill="1" applyBorder="1" applyAlignment="1">
      <alignment horizontal="right" vertical="center" wrapText="1"/>
    </xf>
    <xf numFmtId="3" fontId="12" fillId="0" borderId="5" xfId="4" applyNumberFormat="1" applyFont="1" applyFill="1" applyBorder="1" applyAlignment="1">
      <alignment horizontal="right" vertical="center" wrapText="1"/>
    </xf>
    <xf numFmtId="3" fontId="15" fillId="0" borderId="22" xfId="28" applyNumberFormat="1" applyFont="1" applyFill="1" applyBorder="1" applyAlignment="1">
      <alignment horizontal="right"/>
    </xf>
    <xf numFmtId="3" fontId="14" fillId="0" borderId="0" xfId="4" applyNumberFormat="1" applyFont="1" applyFill="1"/>
    <xf numFmtId="3" fontId="14" fillId="0" borderId="0" xfId="4" applyNumberFormat="1" applyFont="1"/>
    <xf numFmtId="3" fontId="15" fillId="3" borderId="5" xfId="4" applyNumberFormat="1" applyFont="1" applyFill="1" applyBorder="1" applyAlignment="1">
      <alignment wrapText="1"/>
    </xf>
    <xf numFmtId="0" fontId="14" fillId="0" borderId="0" xfId="4" applyFont="1" applyBorder="1" applyAlignment="1">
      <alignment horizontal="right" wrapText="1"/>
    </xf>
    <xf numFmtId="3" fontId="14" fillId="0" borderId="34" xfId="4" applyNumberFormat="1" applyFont="1" applyBorder="1" applyAlignment="1">
      <alignment horizontal="right" wrapText="1"/>
    </xf>
    <xf numFmtId="3" fontId="15" fillId="0" borderId="8" xfId="4" applyNumberFormat="1" applyFont="1" applyBorder="1" applyAlignment="1">
      <alignment horizontal="right" wrapText="1"/>
    </xf>
    <xf numFmtId="3" fontId="15" fillId="0" borderId="34" xfId="4" applyNumberFormat="1" applyFont="1" applyBorder="1" applyAlignment="1">
      <alignment horizontal="right" wrapText="1"/>
    </xf>
    <xf numFmtId="0" fontId="15" fillId="0" borderId="16" xfId="4" applyFont="1" applyBorder="1" applyAlignment="1">
      <alignment wrapText="1"/>
    </xf>
    <xf numFmtId="0" fontId="14" fillId="0" borderId="0" xfId="32" applyFont="1" applyBorder="1" applyAlignment="1"/>
    <xf numFmtId="0" fontId="14" fillId="0" borderId="59" xfId="32" applyFont="1" applyBorder="1" applyAlignment="1">
      <alignment horizontal="left"/>
    </xf>
    <xf numFmtId="0" fontId="14" fillId="0" borderId="0" xfId="32" applyFont="1"/>
    <xf numFmtId="0" fontId="15" fillId="0" borderId="0" xfId="32" applyFont="1"/>
    <xf numFmtId="3" fontId="14" fillId="0" borderId="5" xfId="32" applyNumberFormat="1" applyFont="1" applyBorder="1" applyAlignment="1">
      <alignment wrapText="1"/>
    </xf>
    <xf numFmtId="0" fontId="14" fillId="0" borderId="5" xfId="32" applyFont="1" applyBorder="1"/>
    <xf numFmtId="0" fontId="15" fillId="0" borderId="0" xfId="32" applyFont="1" applyBorder="1" applyAlignment="1">
      <alignment wrapText="1"/>
    </xf>
    <xf numFmtId="0" fontId="14" fillId="0" borderId="5" xfId="32" applyFont="1" applyBorder="1" applyAlignment="1">
      <alignment wrapText="1"/>
    </xf>
    <xf numFmtId="2" fontId="14" fillId="0" borderId="5" xfId="32" applyNumberFormat="1" applyFont="1" applyBorder="1" applyAlignment="1">
      <alignment wrapText="1"/>
    </xf>
    <xf numFmtId="0" fontId="14" fillId="0" borderId="37" xfId="32" applyFont="1" applyBorder="1" applyAlignment="1">
      <alignment wrapText="1"/>
    </xf>
    <xf numFmtId="2" fontId="14" fillId="0" borderId="37" xfId="32" applyNumberFormat="1" applyFont="1" applyBorder="1" applyAlignment="1">
      <alignment wrapText="1"/>
    </xf>
    <xf numFmtId="0" fontId="14" fillId="0" borderId="57" xfId="32" applyFont="1" applyBorder="1"/>
    <xf numFmtId="0" fontId="14" fillId="0" borderId="0" xfId="32" applyFont="1" applyAlignment="1"/>
    <xf numFmtId="0" fontId="14" fillId="0" borderId="5" xfId="32" applyFont="1" applyBorder="1" applyAlignment="1">
      <alignment horizontal="center" vertical="center" wrapText="1"/>
    </xf>
    <xf numFmtId="3" fontId="15" fillId="0" borderId="5" xfId="32" applyNumberFormat="1" applyFont="1" applyBorder="1" applyAlignment="1">
      <alignment wrapText="1"/>
    </xf>
    <xf numFmtId="0" fontId="14" fillId="0" borderId="5" xfId="32" applyFont="1" applyBorder="1" applyAlignment="1">
      <alignment horizontal="left"/>
    </xf>
    <xf numFmtId="0" fontId="14" fillId="0" borderId="5" xfId="32" applyFont="1" applyBorder="1" applyAlignment="1">
      <alignment horizontal="left" vertical="center" wrapText="1"/>
    </xf>
    <xf numFmtId="0" fontId="14" fillId="0" borderId="0" xfId="32" applyFont="1" applyBorder="1" applyAlignment="1">
      <alignment wrapText="1"/>
    </xf>
    <xf numFmtId="3" fontId="14" fillId="0" borderId="0" xfId="32" applyNumberFormat="1" applyFont="1" applyBorder="1" applyAlignment="1">
      <alignment wrapText="1"/>
    </xf>
    <xf numFmtId="3" fontId="14" fillId="0" borderId="37" xfId="32" applyNumberFormat="1" applyFont="1" applyBorder="1" applyAlignment="1">
      <alignment wrapText="1"/>
    </xf>
    <xf numFmtId="3" fontId="15" fillId="0" borderId="57" xfId="32" applyNumberFormat="1" applyFont="1" applyBorder="1"/>
    <xf numFmtId="4" fontId="15" fillId="0" borderId="5" xfId="32" applyNumberFormat="1" applyFont="1" applyBorder="1" applyAlignment="1">
      <alignment horizontal="right" wrapText="1"/>
    </xf>
    <xf numFmtId="4" fontId="14" fillId="0" borderId="5" xfId="32" applyNumberFormat="1" applyFont="1" applyBorder="1" applyAlignment="1">
      <alignment horizontal="right" wrapText="1"/>
    </xf>
    <xf numFmtId="4" fontId="14" fillId="0" borderId="5" xfId="32" applyNumberFormat="1" applyFont="1" applyBorder="1" applyAlignment="1">
      <alignment wrapText="1"/>
    </xf>
    <xf numFmtId="4" fontId="14" fillId="0" borderId="5" xfId="32" applyNumberFormat="1" applyFont="1" applyBorder="1" applyAlignment="1">
      <alignment horizontal="right"/>
    </xf>
    <xf numFmtId="4" fontId="14" fillId="0" borderId="0" xfId="32" applyNumberFormat="1" applyFont="1"/>
    <xf numFmtId="4" fontId="14" fillId="0" borderId="5" xfId="32" applyNumberFormat="1" applyFont="1" applyBorder="1" applyAlignment="1">
      <alignment horizontal="right" vertical="center" wrapText="1"/>
    </xf>
    <xf numFmtId="4" fontId="14" fillId="0" borderId="5" xfId="32" applyNumberFormat="1" applyFont="1" applyBorder="1" applyAlignment="1">
      <alignment horizontal="center" vertical="center" wrapText="1"/>
    </xf>
    <xf numFmtId="2" fontId="14" fillId="0" borderId="0" xfId="32" applyNumberFormat="1" applyFont="1" applyBorder="1" applyAlignment="1">
      <alignment wrapText="1"/>
    </xf>
    <xf numFmtId="4" fontId="14" fillId="0" borderId="0" xfId="32" applyNumberFormat="1" applyFont="1" applyBorder="1" applyAlignment="1">
      <alignment wrapText="1"/>
    </xf>
    <xf numFmtId="4" fontId="15" fillId="0" borderId="5" xfId="32" applyNumberFormat="1" applyFont="1" applyBorder="1" applyAlignment="1">
      <alignment wrapText="1"/>
    </xf>
    <xf numFmtId="4" fontId="15" fillId="0" borderId="57" xfId="32" applyNumberFormat="1" applyFont="1" applyBorder="1"/>
    <xf numFmtId="0" fontId="49" fillId="0" borderId="0" xfId="28" applyFont="1" applyAlignment="1">
      <alignment vertical="center"/>
    </xf>
    <xf numFmtId="0" fontId="50" fillId="0" borderId="71" xfId="28" quotePrefix="1" applyFont="1" applyBorder="1" applyAlignment="1">
      <alignment horizontal="center" vertical="center" wrapText="1"/>
    </xf>
    <xf numFmtId="0" fontId="50" fillId="0" borderId="71" xfId="28" applyFont="1" applyBorder="1" applyAlignment="1">
      <alignment horizontal="center" vertical="center" wrapText="1"/>
    </xf>
    <xf numFmtId="0" fontId="50" fillId="0" borderId="71" xfId="28" applyFont="1" applyBorder="1" applyAlignment="1">
      <alignment vertical="center" wrapText="1"/>
    </xf>
    <xf numFmtId="0" fontId="50" fillId="0" borderId="57" xfId="28" applyFont="1" applyBorder="1" applyAlignment="1">
      <alignment horizontal="center" vertical="center" wrapText="1"/>
    </xf>
    <xf numFmtId="0" fontId="50" fillId="0" borderId="57" xfId="28" applyFont="1" applyBorder="1" applyAlignment="1">
      <alignment vertical="center" wrapText="1"/>
    </xf>
    <xf numFmtId="0" fontId="50" fillId="0" borderId="57" xfId="28" applyFont="1" applyBorder="1" applyAlignment="1">
      <alignment horizontal="right" vertical="center" wrapText="1"/>
    </xf>
    <xf numFmtId="0" fontId="51" fillId="0" borderId="57" xfId="28" applyFont="1" applyBorder="1" applyAlignment="1">
      <alignment horizontal="right" vertical="center" wrapText="1"/>
    </xf>
    <xf numFmtId="3" fontId="9" fillId="4" borderId="5" xfId="4" applyNumberFormat="1" applyFont="1" applyFill="1" applyBorder="1" applyAlignment="1">
      <alignment horizontal="center" vertical="center" wrapText="1"/>
    </xf>
    <xf numFmtId="3" fontId="9" fillId="11" borderId="5" xfId="4" applyNumberFormat="1" applyFont="1" applyFill="1" applyBorder="1" applyAlignment="1">
      <alignment horizontal="center" vertical="center" wrapText="1"/>
    </xf>
    <xf numFmtId="3" fontId="9" fillId="5" borderId="5" xfId="4" applyNumberFormat="1" applyFont="1" applyFill="1" applyBorder="1" applyAlignment="1">
      <alignment horizontal="center" vertical="center" wrapText="1"/>
    </xf>
    <xf numFmtId="3" fontId="9" fillId="9" borderId="5" xfId="4" applyNumberFormat="1" applyFont="1" applyFill="1" applyBorder="1" applyAlignment="1">
      <alignment horizontal="center" vertical="center" wrapText="1"/>
    </xf>
    <xf numFmtId="3" fontId="9" fillId="6" borderId="5" xfId="4" applyNumberFormat="1" applyFont="1" applyFill="1" applyBorder="1" applyAlignment="1">
      <alignment horizontal="center" vertical="center" wrapText="1"/>
    </xf>
    <xf numFmtId="3" fontId="9" fillId="10" borderId="5" xfId="4" applyNumberFormat="1" applyFont="1" applyFill="1" applyBorder="1" applyAlignment="1">
      <alignment horizontal="center" vertical="center" wrapText="1"/>
    </xf>
    <xf numFmtId="0" fontId="14" fillId="0" borderId="56" xfId="4" applyFont="1" applyBorder="1" applyAlignment="1">
      <alignment horizontal="left" vertical="center" wrapText="1"/>
    </xf>
    <xf numFmtId="0" fontId="17" fillId="0" borderId="56" xfId="23" applyBorder="1" applyAlignment="1">
      <alignment horizontal="center" vertical="center"/>
    </xf>
    <xf numFmtId="0" fontId="26" fillId="0" borderId="5" xfId="28" applyFont="1" applyBorder="1"/>
    <xf numFmtId="0" fontId="17" fillId="0" borderId="5" xfId="23" applyBorder="1" applyAlignment="1">
      <alignment horizontal="center"/>
    </xf>
    <xf numFmtId="0" fontId="14" fillId="0" borderId="4" xfId="4" applyFont="1" applyFill="1" applyBorder="1" applyAlignment="1">
      <alignment horizontal="center" vertical="center" wrapText="1"/>
    </xf>
    <xf numFmtId="0" fontId="14" fillId="0" borderId="5" xfId="4" applyFont="1" applyFill="1" applyBorder="1" applyAlignment="1">
      <alignment vertical="center"/>
    </xf>
    <xf numFmtId="3" fontId="15" fillId="0" borderId="57" xfId="4" applyNumberFormat="1" applyFont="1" applyBorder="1" applyAlignment="1">
      <alignment horizontal="center" vertical="center" wrapText="1"/>
    </xf>
    <xf numFmtId="0" fontId="14" fillId="0" borderId="8" xfId="4" applyFont="1" applyBorder="1" applyAlignment="1">
      <alignment wrapText="1"/>
    </xf>
    <xf numFmtId="3" fontId="14" fillId="0" borderId="5" xfId="4" applyNumberFormat="1" applyFont="1" applyBorder="1"/>
    <xf numFmtId="3" fontId="14" fillId="0" borderId="8" xfId="4" applyNumberFormat="1" applyFont="1" applyBorder="1" applyAlignment="1">
      <alignment vertical="center"/>
    </xf>
    <xf numFmtId="0" fontId="26" fillId="0" borderId="5" xfId="12" applyFont="1" applyBorder="1"/>
    <xf numFmtId="0" fontId="26" fillId="0" borderId="5" xfId="12" applyFont="1" applyBorder="1" applyAlignment="1">
      <alignment horizontal="center"/>
    </xf>
    <xf numFmtId="0" fontId="27" fillId="0" borderId="5" xfId="12" applyFont="1" applyBorder="1" applyAlignment="1">
      <alignment horizontal="center"/>
    </xf>
    <xf numFmtId="0" fontId="12" fillId="0" borderId="6" xfId="4" applyFont="1" applyFill="1" applyBorder="1" applyAlignment="1">
      <alignment horizontal="left" vertical="center" wrapText="1"/>
    </xf>
    <xf numFmtId="0" fontId="12" fillId="0" borderId="4" xfId="4" applyFont="1" applyFill="1" applyBorder="1" applyAlignment="1">
      <alignment horizontal="center" vertical="center" wrapText="1"/>
    </xf>
    <xf numFmtId="0" fontId="12" fillId="0" borderId="5" xfId="4" applyFont="1" applyFill="1" applyBorder="1" applyAlignment="1">
      <alignment vertical="center" wrapText="1"/>
    </xf>
    <xf numFmtId="3" fontId="12" fillId="0" borderId="5" xfId="4" applyNumberFormat="1" applyFont="1" applyFill="1" applyBorder="1" applyAlignment="1">
      <alignment horizontal="right" vertical="center" wrapText="1"/>
    </xf>
    <xf numFmtId="3" fontId="12" fillId="0" borderId="5" xfId="4" applyNumberFormat="1" applyFont="1" applyFill="1" applyBorder="1" applyAlignment="1">
      <alignment horizontal="right" vertical="center"/>
    </xf>
    <xf numFmtId="3" fontId="12" fillId="0" borderId="5" xfId="4" applyNumberFormat="1" applyFont="1" applyFill="1" applyBorder="1" applyAlignment="1">
      <alignment vertical="center" wrapText="1"/>
    </xf>
    <xf numFmtId="3" fontId="12" fillId="0" borderId="5" xfId="4" applyNumberFormat="1" applyFont="1" applyFill="1" applyBorder="1" applyAlignment="1">
      <alignment vertical="center"/>
    </xf>
    <xf numFmtId="3" fontId="4" fillId="0" borderId="5" xfId="4" applyNumberFormat="1" applyFont="1" applyBorder="1" applyAlignment="1">
      <alignment horizontal="right" vertical="center" wrapText="1"/>
    </xf>
    <xf numFmtId="1" fontId="15" fillId="0" borderId="56" xfId="4" applyNumberFormat="1" applyFont="1" applyBorder="1" applyAlignment="1">
      <alignment vertical="center" wrapText="1"/>
    </xf>
    <xf numFmtId="0" fontId="12" fillId="0" borderId="4" xfId="4" applyFont="1" applyFill="1" applyBorder="1" applyAlignment="1">
      <alignment horizontal="center" wrapText="1"/>
    </xf>
    <xf numFmtId="0" fontId="12" fillId="0" borderId="56" xfId="4" applyFont="1" applyFill="1" applyBorder="1" applyAlignment="1">
      <alignment vertical="center" wrapText="1"/>
    </xf>
    <xf numFmtId="3" fontId="12" fillId="0" borderId="56" xfId="4" applyNumberFormat="1" applyFont="1" applyFill="1" applyBorder="1" applyAlignment="1">
      <alignment vertical="center" wrapText="1"/>
    </xf>
    <xf numFmtId="3" fontId="12" fillId="0" borderId="56" xfId="4" applyNumberFormat="1" applyFont="1" applyFill="1" applyBorder="1" applyAlignment="1">
      <alignment vertical="center"/>
    </xf>
    <xf numFmtId="0" fontId="12" fillId="0" borderId="28" xfId="4" applyFont="1" applyFill="1" applyBorder="1" applyAlignment="1">
      <alignment vertical="center" wrapText="1"/>
    </xf>
    <xf numFmtId="0" fontId="12" fillId="0" borderId="46" xfId="4" applyFont="1" applyFill="1" applyBorder="1" applyAlignment="1">
      <alignment vertical="center" wrapText="1"/>
    </xf>
    <xf numFmtId="0" fontId="12" fillId="0" borderId="6" xfId="4" applyFont="1" applyFill="1" applyBorder="1" applyAlignment="1">
      <alignment vertical="center" wrapText="1"/>
    </xf>
    <xf numFmtId="0" fontId="14" fillId="0" borderId="56" xfId="21" applyFont="1" applyBorder="1" applyAlignment="1">
      <alignment wrapText="1"/>
    </xf>
    <xf numFmtId="3" fontId="15" fillId="0" borderId="8" xfId="4" applyNumberFormat="1" applyFont="1" applyBorder="1" applyAlignment="1">
      <alignment horizontal="right" vertical="center" wrapText="1"/>
    </xf>
    <xf numFmtId="3" fontId="15" fillId="0" borderId="8" xfId="4" applyNumberFormat="1" applyFont="1" applyFill="1" applyBorder="1" applyAlignment="1">
      <alignment horizontal="right"/>
    </xf>
    <xf numFmtId="1" fontId="15" fillId="0" borderId="5" xfId="4" applyNumberFormat="1" applyFont="1" applyBorder="1" applyAlignment="1">
      <alignment wrapText="1"/>
    </xf>
    <xf numFmtId="1" fontId="17" fillId="0" borderId="5" xfId="23" applyNumberFormat="1" applyBorder="1" applyAlignment="1">
      <alignment horizontal="right" vertical="center"/>
    </xf>
    <xf numFmtId="1" fontId="15" fillId="0" borderId="5" xfId="12" applyNumberFormat="1" applyFont="1" applyFill="1" applyBorder="1" applyAlignment="1">
      <alignment vertical="center" wrapText="1"/>
    </xf>
    <xf numFmtId="1" fontId="26" fillId="0" borderId="5" xfId="12" applyNumberFormat="1" applyFont="1" applyBorder="1" applyAlignment="1">
      <alignment vertical="center"/>
    </xf>
    <xf numFmtId="1" fontId="15" fillId="0" borderId="56" xfId="12" applyNumberFormat="1" applyFont="1" applyFill="1" applyBorder="1" applyAlignment="1">
      <alignment vertical="center" wrapText="1"/>
    </xf>
    <xf numFmtId="1" fontId="26" fillId="0" borderId="5" xfId="23" applyNumberFormat="1" applyFont="1" applyFill="1" applyBorder="1" applyAlignment="1">
      <alignment vertical="center"/>
    </xf>
    <xf numFmtId="1" fontId="27" fillId="0" borderId="5" xfId="23" applyNumberFormat="1" applyFont="1" applyFill="1" applyBorder="1" applyAlignment="1">
      <alignment vertical="center"/>
    </xf>
    <xf numFmtId="1" fontId="15" fillId="0" borderId="5" xfId="10" applyNumberFormat="1" applyFont="1" applyFill="1" applyBorder="1" applyAlignment="1">
      <alignment vertical="center"/>
    </xf>
    <xf numFmtId="1" fontId="15" fillId="0" borderId="5" xfId="10" applyNumberFormat="1" applyFont="1" applyFill="1" applyBorder="1" applyAlignment="1">
      <alignment horizontal="right" vertical="center"/>
    </xf>
    <xf numFmtId="1" fontId="28" fillId="0" borderId="5" xfId="28" applyNumberFormat="1" applyFont="1" applyFill="1" applyBorder="1" applyAlignment="1">
      <alignment vertical="center"/>
    </xf>
    <xf numFmtId="1" fontId="29" fillId="0" borderId="5" xfId="28" applyNumberFormat="1" applyFont="1" applyFill="1" applyBorder="1" applyAlignment="1">
      <alignment vertical="center"/>
    </xf>
    <xf numFmtId="1" fontId="26" fillId="0" borderId="8" xfId="23" applyNumberFormat="1" applyFont="1" applyFill="1" applyBorder="1" applyAlignment="1">
      <alignment vertical="center"/>
    </xf>
    <xf numFmtId="1" fontId="17" fillId="0" borderId="8" xfId="23" applyNumberFormat="1" applyFill="1" applyBorder="1" applyAlignment="1">
      <alignment vertical="center"/>
    </xf>
    <xf numFmtId="1" fontId="15" fillId="0" borderId="57" xfId="12" applyNumberFormat="1" applyFont="1" applyBorder="1"/>
    <xf numFmtId="1" fontId="25" fillId="0" borderId="56" xfId="4" applyNumberFormat="1" applyFont="1" applyFill="1" applyBorder="1" applyAlignment="1">
      <alignment horizontal="right" vertical="center" wrapText="1"/>
    </xf>
    <xf numFmtId="1" fontId="25" fillId="0" borderId="5" xfId="4" applyNumberFormat="1" applyFont="1" applyFill="1" applyBorder="1" applyAlignment="1">
      <alignment horizontal="right" vertical="center" wrapText="1"/>
    </xf>
    <xf numFmtId="1" fontId="12" fillId="0" borderId="5" xfId="4" applyNumberFormat="1" applyFont="1" applyFill="1" applyBorder="1" applyAlignment="1">
      <alignment horizontal="right" vertical="center" wrapText="1"/>
    </xf>
    <xf numFmtId="1" fontId="12" fillId="0" borderId="5" xfId="4" applyNumberFormat="1" applyFont="1" applyFill="1" applyBorder="1" applyAlignment="1">
      <alignment vertical="center" wrapText="1"/>
    </xf>
    <xf numFmtId="1" fontId="12" fillId="0" borderId="5" xfId="4" applyNumberFormat="1" applyFont="1" applyFill="1" applyBorder="1" applyAlignment="1">
      <alignment horizontal="right"/>
    </xf>
    <xf numFmtId="1" fontId="12" fillId="0" borderId="5" xfId="25" applyNumberFormat="1" applyFont="1" applyFill="1" applyBorder="1" applyAlignment="1">
      <alignment horizontal="right" vertical="center" wrapText="1"/>
    </xf>
    <xf numFmtId="1" fontId="25" fillId="0" borderId="5" xfId="4" applyNumberFormat="1" applyFont="1" applyFill="1" applyBorder="1" applyAlignment="1">
      <alignment vertical="center" wrapText="1"/>
    </xf>
    <xf numFmtId="1" fontId="12" fillId="0" borderId="8" xfId="4" applyNumberFormat="1" applyFont="1" applyFill="1" applyBorder="1" applyAlignment="1">
      <alignment horizontal="right" vertical="center" wrapText="1"/>
    </xf>
    <xf numFmtId="1" fontId="15" fillId="0" borderId="22" xfId="28" applyNumberFormat="1" applyFont="1" applyFill="1" applyBorder="1" applyAlignment="1">
      <alignment horizontal="right" wrapText="1"/>
    </xf>
    <xf numFmtId="1" fontId="15" fillId="0" borderId="22" xfId="10" applyNumberFormat="1" applyFont="1" applyFill="1" applyBorder="1" applyAlignment="1">
      <alignment horizontal="right" vertical="center"/>
    </xf>
    <xf numFmtId="1" fontId="14" fillId="0" borderId="22" xfId="10" applyNumberFormat="1" applyFont="1" applyFill="1" applyBorder="1" applyAlignment="1">
      <alignment horizontal="right" vertical="center"/>
    </xf>
    <xf numFmtId="1" fontId="14" fillId="0" borderId="56" xfId="10" applyNumberFormat="1" applyFont="1" applyFill="1" applyBorder="1" applyAlignment="1">
      <alignment horizontal="right" vertical="center"/>
    </xf>
    <xf numFmtId="1" fontId="14" fillId="0" borderId="56" xfId="24" applyNumberFormat="1" applyFont="1" applyFill="1" applyBorder="1" applyAlignment="1">
      <alignment horizontal="right" vertical="center" wrapText="1"/>
    </xf>
    <xf numFmtId="1" fontId="14" fillId="0" borderId="8" xfId="10" applyNumberFormat="1" applyFont="1" applyFill="1" applyBorder="1" applyAlignment="1">
      <alignment horizontal="right" vertical="center"/>
    </xf>
    <xf numFmtId="0" fontId="1" fillId="0" borderId="57" xfId="12" applyFill="1" applyBorder="1"/>
    <xf numFmtId="1" fontId="15" fillId="0" borderId="5" xfId="4" applyNumberFormat="1" applyFont="1" applyFill="1" applyBorder="1" applyAlignment="1">
      <alignment horizontal="right" vertical="center" wrapText="1"/>
    </xf>
    <xf numFmtId="1" fontId="9" fillId="0" borderId="37" xfId="31" applyNumberFormat="1" applyFont="1" applyBorder="1" applyAlignment="1">
      <alignment wrapText="1"/>
    </xf>
    <xf numFmtId="1" fontId="4" fillId="0" borderId="5" xfId="4" applyNumberFormat="1" applyFont="1" applyFill="1" applyBorder="1" applyAlignment="1">
      <alignment horizontal="center" vertical="center"/>
    </xf>
    <xf numFmtId="3" fontId="4" fillId="0" borderId="5" xfId="31" applyNumberFormat="1" applyFont="1" applyFill="1" applyBorder="1" applyAlignment="1">
      <alignment vertical="center" wrapText="1"/>
    </xf>
    <xf numFmtId="3" fontId="9" fillId="2" borderId="37" xfId="31" applyNumberFormat="1" applyFont="1" applyFill="1" applyBorder="1" applyAlignment="1">
      <alignment wrapText="1"/>
    </xf>
    <xf numFmtId="3" fontId="4" fillId="2" borderId="37" xfId="4" applyNumberFormat="1" applyFont="1" applyFill="1" applyBorder="1" applyAlignment="1">
      <alignment horizontal="right" vertical="center"/>
    </xf>
    <xf numFmtId="3" fontId="4" fillId="2" borderId="5" xfId="4" applyNumberFormat="1" applyFont="1" applyFill="1" applyBorder="1" applyAlignment="1">
      <alignment horizontal="right" vertical="center"/>
    </xf>
    <xf numFmtId="1" fontId="9" fillId="2" borderId="37" xfId="31" applyNumberFormat="1" applyFont="1" applyFill="1" applyBorder="1" applyAlignment="1">
      <alignment wrapText="1"/>
    </xf>
    <xf numFmtId="1" fontId="4" fillId="2" borderId="37" xfId="4" applyNumberFormat="1" applyFont="1" applyFill="1" applyBorder="1" applyAlignment="1">
      <alignment horizontal="right" vertical="center"/>
    </xf>
    <xf numFmtId="1" fontId="4" fillId="2" borderId="5" xfId="4" applyNumberFormat="1" applyFont="1" applyFill="1" applyBorder="1" applyAlignment="1">
      <alignment horizontal="right" vertical="center"/>
    </xf>
    <xf numFmtId="170" fontId="4" fillId="0" borderId="5" xfId="4" applyNumberFormat="1" applyFont="1" applyFill="1" applyBorder="1" applyAlignment="1">
      <alignment vertical="center" wrapText="1"/>
    </xf>
    <xf numFmtId="0" fontId="54" fillId="0" borderId="5" xfId="4" applyFont="1" applyFill="1" applyBorder="1" applyAlignment="1">
      <alignment horizontal="left" wrapText="1"/>
    </xf>
    <xf numFmtId="3" fontId="9" fillId="2" borderId="5" xfId="4" applyNumberFormat="1" applyFont="1" applyFill="1" applyBorder="1" applyAlignment="1">
      <alignment horizontal="center" vertical="center" wrapText="1"/>
    </xf>
    <xf numFmtId="3" fontId="15" fillId="0" borderId="8" xfId="4" applyNumberFormat="1" applyFont="1" applyFill="1" applyBorder="1" applyAlignment="1">
      <alignment vertical="center" wrapText="1"/>
    </xf>
    <xf numFmtId="0" fontId="14" fillId="0" borderId="0" xfId="4" applyFont="1" applyAlignment="1">
      <alignment vertical="center"/>
    </xf>
    <xf numFmtId="0" fontId="26" fillId="0" borderId="5" xfId="12" applyFont="1" applyFill="1" applyBorder="1" applyAlignment="1">
      <alignment horizontal="right"/>
    </xf>
    <xf numFmtId="1" fontId="26" fillId="0" borderId="5" xfId="12" applyNumberFormat="1" applyFont="1" applyFill="1" applyBorder="1" applyAlignment="1">
      <alignment vertical="center"/>
    </xf>
    <xf numFmtId="0" fontId="26" fillId="0" borderId="5" xfId="12" applyFont="1" applyFill="1" applyBorder="1"/>
    <xf numFmtId="0" fontId="0" fillId="0" borderId="0" xfId="12" applyFont="1" applyFill="1"/>
    <xf numFmtId="0" fontId="14" fillId="0" borderId="9" xfId="4" applyFont="1" applyFill="1" applyBorder="1" applyAlignment="1">
      <alignment horizontal="left" vertical="center" wrapText="1"/>
    </xf>
    <xf numFmtId="0" fontId="14" fillId="0" borderId="5" xfId="4" applyFont="1" applyBorder="1" applyAlignment="1">
      <alignment vertical="center"/>
    </xf>
    <xf numFmtId="0" fontId="15" fillId="0" borderId="5" xfId="4" applyFont="1" applyBorder="1" applyAlignment="1">
      <alignment vertical="center"/>
    </xf>
    <xf numFmtId="0" fontId="15" fillId="0" borderId="40" xfId="4" applyFont="1" applyBorder="1" applyAlignment="1">
      <alignment vertical="center" wrapText="1"/>
    </xf>
    <xf numFmtId="0" fontId="15" fillId="0" borderId="31" xfId="4" applyFont="1" applyBorder="1" applyAlignment="1">
      <alignment wrapText="1"/>
    </xf>
    <xf numFmtId="0" fontId="14" fillId="0" borderId="0" xfId="4" applyFont="1" applyAlignment="1">
      <alignment horizontal="left"/>
    </xf>
    <xf numFmtId="0" fontId="14" fillId="0" borderId="5" xfId="4" applyFont="1" applyBorder="1" applyAlignment="1">
      <alignment horizontal="left" vertical="center" wrapText="1"/>
    </xf>
    <xf numFmtId="0" fontId="14" fillId="0" borderId="5" xfId="4" applyFont="1" applyBorder="1" applyAlignment="1">
      <alignment horizontal="center" vertical="center" wrapText="1"/>
    </xf>
    <xf numFmtId="0" fontId="8" fillId="0" borderId="0" xfId="4" applyFont="1" applyAlignment="1">
      <alignment horizontal="center" vertical="center" wrapText="1"/>
    </xf>
    <xf numFmtId="49" fontId="14" fillId="0" borderId="0" xfId="4" applyNumberFormat="1" applyFont="1"/>
    <xf numFmtId="0" fontId="14" fillId="0" borderId="59" xfId="4" applyFont="1" applyBorder="1" applyAlignment="1"/>
    <xf numFmtId="3" fontId="15" fillId="0" borderId="5" xfId="4" applyNumberFormat="1" applyFont="1" applyBorder="1" applyAlignment="1">
      <alignment horizontal="right" wrapText="1"/>
    </xf>
    <xf numFmtId="0" fontId="13" fillId="0" borderId="5" xfId="4" applyFont="1" applyFill="1" applyBorder="1" applyAlignment="1">
      <alignment horizontal="center" wrapText="1"/>
    </xf>
    <xf numFmtId="0" fontId="13" fillId="0" borderId="39" xfId="4" applyFont="1" applyFill="1" applyBorder="1" applyAlignment="1">
      <alignment horizontal="center" wrapText="1"/>
    </xf>
    <xf numFmtId="3" fontId="13" fillId="0" borderId="5" xfId="4" applyNumberFormat="1" applyFont="1" applyFill="1" applyBorder="1" applyAlignment="1">
      <alignment horizontal="right" wrapText="1"/>
    </xf>
    <xf numFmtId="3" fontId="13" fillId="0" borderId="5" xfId="4" applyNumberFormat="1" applyFont="1" applyFill="1" applyBorder="1" applyAlignment="1">
      <alignment wrapText="1"/>
    </xf>
    <xf numFmtId="0" fontId="13" fillId="0" borderId="5" xfId="4" applyFont="1" applyFill="1" applyBorder="1" applyAlignment="1">
      <alignment wrapText="1"/>
    </xf>
    <xf numFmtId="3" fontId="14" fillId="0" borderId="0" xfId="4" applyNumberFormat="1" applyFont="1" applyBorder="1" applyAlignment="1">
      <alignment horizontal="right" wrapText="1"/>
    </xf>
    <xf numFmtId="0" fontId="13" fillId="0" borderId="5" xfId="4" applyFont="1" applyFill="1" applyBorder="1" applyAlignment="1">
      <alignment horizontal="center"/>
    </xf>
    <xf numFmtId="3" fontId="13" fillId="0" borderId="5" xfId="4" applyNumberFormat="1" applyFont="1" applyFill="1" applyBorder="1" applyAlignment="1">
      <alignment horizontal="right"/>
    </xf>
    <xf numFmtId="0" fontId="13" fillId="0" borderId="5" xfId="4" applyFont="1" applyFill="1" applyBorder="1" applyAlignment="1">
      <alignment horizontal="left"/>
    </xf>
    <xf numFmtId="0" fontId="14" fillId="0" borderId="5" xfId="4" applyFont="1" applyBorder="1" applyAlignment="1">
      <alignment horizontal="center"/>
    </xf>
    <xf numFmtId="3" fontId="14" fillId="0" borderId="5" xfId="4" applyNumberFormat="1" applyFont="1" applyBorder="1" applyAlignment="1">
      <alignment horizontal="left"/>
    </xf>
    <xf numFmtId="3" fontId="14" fillId="0" borderId="5" xfId="4" applyNumberFormat="1" applyFont="1" applyBorder="1" applyAlignment="1">
      <alignment horizontal="center" vertical="center" wrapText="1"/>
    </xf>
    <xf numFmtId="3" fontId="14" fillId="0" borderId="37" xfId="4" applyNumberFormat="1" applyFont="1" applyBorder="1" applyAlignment="1">
      <alignment horizontal="right" wrapText="1"/>
    </xf>
    <xf numFmtId="0" fontId="15" fillId="0" borderId="57" xfId="4" applyFont="1" applyBorder="1" applyAlignment="1">
      <alignment horizontal="right" wrapText="1"/>
    </xf>
    <xf numFmtId="3" fontId="15" fillId="0" borderId="57" xfId="4" applyNumberFormat="1" applyFont="1" applyBorder="1" applyAlignment="1">
      <alignment horizontal="right" wrapText="1"/>
    </xf>
    <xf numFmtId="3" fontId="15" fillId="0" borderId="57" xfId="4" applyNumberFormat="1" applyFont="1" applyBorder="1" applyAlignment="1">
      <alignment wrapText="1"/>
    </xf>
    <xf numFmtId="49" fontId="14" fillId="0" borderId="7" xfId="24" applyNumberFormat="1" applyFont="1" applyFill="1" applyBorder="1" applyAlignment="1">
      <alignment horizontal="center" vertical="center" wrapText="1"/>
    </xf>
    <xf numFmtId="0" fontId="14" fillId="0" borderId="8" xfId="10" applyFont="1" applyFill="1" applyBorder="1" applyAlignment="1">
      <alignment horizontal="left" vertical="center" wrapText="1"/>
    </xf>
    <xf numFmtId="168" fontId="32" fillId="0" borderId="9" xfId="12" applyNumberFormat="1" applyFont="1" applyFill="1" applyBorder="1" applyAlignment="1">
      <alignment horizontal="left" wrapText="1"/>
    </xf>
    <xf numFmtId="0" fontId="14" fillId="0" borderId="35" xfId="33" applyFont="1" applyBorder="1"/>
    <xf numFmtId="0" fontId="14" fillId="0" borderId="34" xfId="33" applyFont="1" applyBorder="1"/>
    <xf numFmtId="0" fontId="14" fillId="0" borderId="0" xfId="33" applyFont="1"/>
    <xf numFmtId="0" fontId="14" fillId="0" borderId="47" xfId="33" applyFont="1" applyBorder="1"/>
    <xf numFmtId="0" fontId="14" fillId="0" borderId="0" xfId="33" applyFont="1" applyBorder="1"/>
    <xf numFmtId="0" fontId="14" fillId="0" borderId="48" xfId="33" applyFont="1" applyBorder="1"/>
    <xf numFmtId="0" fontId="14" fillId="0" borderId="5" xfId="33" applyFont="1" applyBorder="1" applyAlignment="1">
      <alignment horizontal="center" vertical="center" wrapText="1"/>
    </xf>
    <xf numFmtId="3" fontId="15" fillId="0" borderId="5" xfId="33" applyNumberFormat="1" applyFont="1" applyBorder="1" applyAlignment="1">
      <alignment wrapText="1"/>
    </xf>
    <xf numFmtId="0" fontId="45" fillId="0" borderId="5" xfId="33" applyFont="1" applyBorder="1" applyAlignment="1">
      <alignment wrapText="1"/>
    </xf>
    <xf numFmtId="0" fontId="15" fillId="0" borderId="5" xfId="33" applyFont="1" applyBorder="1" applyAlignment="1">
      <alignment wrapText="1"/>
    </xf>
    <xf numFmtId="3" fontId="14" fillId="0" borderId="5" xfId="33" applyNumberFormat="1" applyFont="1" applyBorder="1" applyAlignment="1">
      <alignment wrapText="1"/>
    </xf>
    <xf numFmtId="0" fontId="14" fillId="0" borderId="5" xfId="33" applyFont="1" applyBorder="1" applyAlignment="1">
      <alignment wrapText="1"/>
    </xf>
    <xf numFmtId="0" fontId="46" fillId="0" borderId="5" xfId="33" applyFont="1" applyBorder="1" applyAlignment="1">
      <alignment horizontal="left" wrapText="1"/>
    </xf>
    <xf numFmtId="0" fontId="14" fillId="0" borderId="5" xfId="33" applyFont="1" applyBorder="1"/>
    <xf numFmtId="3" fontId="14" fillId="0" borderId="5" xfId="33" applyNumberFormat="1" applyFont="1" applyBorder="1" applyAlignment="1">
      <alignment horizontal="left"/>
    </xf>
    <xf numFmtId="0" fontId="14" fillId="0" borderId="5" xfId="33" applyFont="1" applyBorder="1" applyAlignment="1">
      <alignment horizontal="left"/>
    </xf>
    <xf numFmtId="3" fontId="14" fillId="0" borderId="5" xfId="33" applyNumberFormat="1" applyFont="1" applyBorder="1" applyAlignment="1">
      <alignment horizontal="right"/>
    </xf>
    <xf numFmtId="0" fontId="46" fillId="0" borderId="5" xfId="33" applyFont="1" applyBorder="1" applyAlignment="1">
      <alignment horizontal="left"/>
    </xf>
    <xf numFmtId="3" fontId="14" fillId="0" borderId="5" xfId="33" applyNumberFormat="1" applyFont="1" applyBorder="1" applyAlignment="1">
      <alignment horizontal="center" vertical="center" wrapText="1"/>
    </xf>
    <xf numFmtId="3" fontId="14" fillId="0" borderId="5" xfId="33" applyNumberFormat="1" applyFont="1" applyBorder="1" applyAlignment="1">
      <alignment horizontal="right" vertical="center" wrapText="1"/>
    </xf>
    <xf numFmtId="0" fontId="15" fillId="0" borderId="5" xfId="33" applyFont="1" applyBorder="1" applyAlignment="1">
      <alignment horizontal="left" vertical="center" wrapText="1"/>
    </xf>
    <xf numFmtId="0" fontId="14" fillId="0" borderId="5" xfId="33" applyFont="1" applyBorder="1" applyAlignment="1">
      <alignment horizontal="left" vertical="center" wrapText="1"/>
    </xf>
    <xf numFmtId="0" fontId="47" fillId="0" borderId="5" xfId="33" applyFont="1" applyBorder="1" applyAlignment="1">
      <alignment horizontal="left" vertical="center" wrapText="1"/>
    </xf>
    <xf numFmtId="0" fontId="14" fillId="0" borderId="0" xfId="33" applyFont="1" applyBorder="1" applyAlignment="1">
      <alignment wrapText="1"/>
    </xf>
    <xf numFmtId="0" fontId="11" fillId="0" borderId="0" xfId="33" applyFont="1" applyBorder="1"/>
    <xf numFmtId="0" fontId="14" fillId="0" borderId="59" xfId="33" applyFont="1" applyBorder="1" applyAlignment="1">
      <alignment horizontal="left"/>
    </xf>
    <xf numFmtId="0" fontId="45" fillId="0" borderId="5" xfId="33" applyFont="1" applyBorder="1" applyAlignment="1">
      <alignment horizontal="center" wrapText="1"/>
    </xf>
    <xf numFmtId="0" fontId="15" fillId="0" borderId="5" xfId="33" applyFont="1" applyBorder="1"/>
    <xf numFmtId="3" fontId="14" fillId="0" borderId="5" xfId="33" applyNumberFormat="1" applyFont="1" applyBorder="1" applyAlignment="1">
      <alignment horizontal="right" wrapText="1"/>
    </xf>
    <xf numFmtId="0" fontId="15" fillId="0" borderId="5" xfId="33" applyFont="1" applyBorder="1" applyAlignment="1">
      <alignment horizontal="left"/>
    </xf>
    <xf numFmtId="0" fontId="15" fillId="0" borderId="5" xfId="33" applyFont="1" applyBorder="1" applyAlignment="1">
      <alignment horizontal="right"/>
    </xf>
    <xf numFmtId="0" fontId="45" fillId="0" borderId="5" xfId="33" applyFont="1" applyBorder="1" applyAlignment="1">
      <alignment horizontal="center" vertical="center" wrapText="1"/>
    </xf>
    <xf numFmtId="0" fontId="15" fillId="0" borderId="40" xfId="33" applyFont="1" applyBorder="1" applyAlignment="1">
      <alignment wrapText="1"/>
    </xf>
    <xf numFmtId="16" fontId="14" fillId="0" borderId="5" xfId="33" applyNumberFormat="1" applyFont="1" applyBorder="1" applyAlignment="1">
      <alignment wrapText="1"/>
    </xf>
    <xf numFmtId="0" fontId="14" fillId="0" borderId="40" xfId="33" applyFont="1" applyBorder="1" applyAlignment="1">
      <alignment wrapText="1"/>
    </xf>
    <xf numFmtId="0" fontId="15" fillId="0" borderId="37" xfId="33" applyFont="1" applyBorder="1" applyAlignment="1">
      <alignment horizontal="right" wrapText="1"/>
    </xf>
    <xf numFmtId="0" fontId="15" fillId="0" borderId="37" xfId="33" applyFont="1" applyBorder="1" applyAlignment="1">
      <alignment wrapText="1"/>
    </xf>
    <xf numFmtId="0" fontId="14" fillId="0" borderId="37" xfId="33" applyFont="1" applyBorder="1" applyAlignment="1">
      <alignment horizontal="left" wrapText="1"/>
    </xf>
    <xf numFmtId="0" fontId="14" fillId="0" borderId="37" xfId="33" applyFont="1" applyBorder="1" applyAlignment="1">
      <alignment wrapText="1"/>
    </xf>
    <xf numFmtId="3" fontId="14" fillId="0" borderId="45" xfId="33" applyNumberFormat="1" applyFont="1" applyBorder="1" applyAlignment="1">
      <alignment horizontal="right" wrapText="1"/>
    </xf>
    <xf numFmtId="0" fontId="15" fillId="0" borderId="45" xfId="33" applyFont="1" applyBorder="1" applyAlignment="1">
      <alignment wrapText="1"/>
    </xf>
    <xf numFmtId="3" fontId="14" fillId="0" borderId="37" xfId="33" applyNumberFormat="1" applyFont="1" applyBorder="1" applyAlignment="1">
      <alignment horizontal="right" vertical="center" wrapText="1"/>
    </xf>
    <xf numFmtId="0" fontId="14" fillId="0" borderId="56" xfId="33" applyFont="1" applyBorder="1" applyAlignment="1">
      <alignment wrapText="1"/>
    </xf>
    <xf numFmtId="3" fontId="14" fillId="0" borderId="56" xfId="33" applyNumberFormat="1" applyFont="1" applyBorder="1" applyAlignment="1">
      <alignment horizontal="right" wrapText="1"/>
    </xf>
    <xf numFmtId="0" fontId="14" fillId="0" borderId="45" xfId="33" applyFont="1" applyBorder="1" applyAlignment="1">
      <alignment wrapText="1"/>
    </xf>
    <xf numFmtId="0" fontId="15" fillId="0" borderId="56" xfId="33" applyFont="1" applyBorder="1" applyAlignment="1">
      <alignment wrapText="1"/>
    </xf>
    <xf numFmtId="3" fontId="14" fillId="0" borderId="56" xfId="33" applyNumberFormat="1" applyFont="1" applyBorder="1" applyAlignment="1">
      <alignment horizontal="right" vertical="center" wrapText="1"/>
    </xf>
    <xf numFmtId="0" fontId="15" fillId="0" borderId="56" xfId="33" applyFont="1" applyBorder="1" applyAlignment="1">
      <alignment horizontal="right" wrapText="1"/>
    </xf>
    <xf numFmtId="0" fontId="15" fillId="0" borderId="31" xfId="33" applyFont="1" applyBorder="1" applyAlignment="1">
      <alignment wrapText="1"/>
    </xf>
    <xf numFmtId="0" fontId="14" fillId="0" borderId="31" xfId="33" applyFont="1" applyBorder="1" applyAlignment="1">
      <alignment wrapText="1"/>
    </xf>
    <xf numFmtId="0" fontId="56" fillId="0" borderId="5" xfId="33" applyFont="1" applyBorder="1" applyAlignment="1">
      <alignment horizontal="left" vertical="center" wrapText="1"/>
    </xf>
    <xf numFmtId="0" fontId="47" fillId="0" borderId="5" xfId="33" applyFont="1" applyBorder="1" applyAlignment="1">
      <alignment horizontal="center" vertical="center" wrapText="1"/>
    </xf>
    <xf numFmtId="0" fontId="56" fillId="0" borderId="5" xfId="33" applyFont="1" applyBorder="1" applyAlignment="1">
      <alignment horizontal="center" vertical="center" wrapText="1"/>
    </xf>
    <xf numFmtId="0" fontId="14" fillId="0" borderId="5" xfId="33" applyFont="1" applyBorder="1" applyAlignment="1"/>
    <xf numFmtId="3" fontId="14" fillId="0" borderId="0" xfId="33" applyNumberFormat="1" applyFont="1"/>
    <xf numFmtId="3" fontId="14" fillId="0" borderId="0" xfId="33" applyNumberFormat="1" applyFont="1" applyAlignment="1">
      <alignment horizontal="right"/>
    </xf>
    <xf numFmtId="3" fontId="14" fillId="0" borderId="56" xfId="33" applyNumberFormat="1" applyFont="1" applyBorder="1" applyAlignment="1">
      <alignment wrapText="1"/>
    </xf>
    <xf numFmtId="3" fontId="15" fillId="0" borderId="57" xfId="33" applyNumberFormat="1" applyFont="1" applyBorder="1"/>
    <xf numFmtId="3" fontId="15" fillId="0" borderId="57" xfId="33" applyNumberFormat="1" applyFont="1" applyBorder="1" applyAlignment="1">
      <alignment horizontal="right"/>
    </xf>
    <xf numFmtId="1" fontId="15" fillId="0" borderId="57" xfId="33" applyNumberFormat="1" applyFont="1" applyBorder="1"/>
    <xf numFmtId="0" fontId="31" fillId="0" borderId="57" xfId="33" applyFont="1" applyBorder="1" applyAlignment="1">
      <alignment horizontal="center"/>
    </xf>
    <xf numFmtId="0" fontId="14" fillId="0" borderId="0" xfId="33" applyFont="1" applyAlignment="1">
      <alignment horizontal="right"/>
    </xf>
    <xf numFmtId="49" fontId="14" fillId="0" borderId="5" xfId="33" applyNumberFormat="1" applyFont="1" applyBorder="1" applyAlignment="1">
      <alignment wrapText="1"/>
    </xf>
    <xf numFmtId="49" fontId="14" fillId="0" borderId="5" xfId="33" applyNumberFormat="1" applyFont="1" applyBorder="1" applyAlignment="1">
      <alignment horizontal="left"/>
    </xf>
    <xf numFmtId="49" fontId="14" fillId="0" borderId="5" xfId="33" applyNumberFormat="1" applyFont="1" applyBorder="1" applyAlignment="1">
      <alignment horizontal="center" vertical="center" wrapText="1"/>
    </xf>
    <xf numFmtId="49" fontId="14" fillId="0" borderId="5" xfId="33" applyNumberFormat="1" applyFont="1" applyBorder="1" applyAlignment="1">
      <alignment horizontal="left" vertical="center" wrapText="1"/>
    </xf>
    <xf numFmtId="3" fontId="13" fillId="8" borderId="5" xfId="4" applyNumberFormat="1" applyFont="1" applyFill="1" applyBorder="1" applyAlignment="1">
      <alignment horizontal="right" wrapText="1"/>
    </xf>
    <xf numFmtId="3" fontId="13" fillId="8" borderId="5" xfId="4" applyNumberFormat="1" applyFont="1" applyFill="1" applyBorder="1" applyAlignment="1">
      <alignment horizontal="right"/>
    </xf>
    <xf numFmtId="0" fontId="14" fillId="0" borderId="59" xfId="4" applyFont="1" applyBorder="1"/>
    <xf numFmtId="49" fontId="14" fillId="0" borderId="0" xfId="4" applyNumberFormat="1" applyFont="1" applyBorder="1" applyAlignment="1">
      <alignment horizontal="left"/>
    </xf>
    <xf numFmtId="3" fontId="14" fillId="0" borderId="5" xfId="16" applyNumberFormat="1" applyFont="1" applyFill="1" applyBorder="1" applyAlignment="1">
      <alignment wrapText="1"/>
    </xf>
    <xf numFmtId="0" fontId="14" fillId="7" borderId="0" xfId="4" applyFont="1" applyFill="1"/>
    <xf numFmtId="3" fontId="14" fillId="0" borderId="56" xfId="4" applyNumberFormat="1" applyFont="1" applyBorder="1" applyAlignment="1">
      <alignment wrapText="1"/>
    </xf>
    <xf numFmtId="3" fontId="14" fillId="0" borderId="46" xfId="4" applyNumberFormat="1" applyFont="1" applyBorder="1"/>
    <xf numFmtId="3" fontId="14" fillId="0" borderId="6" xfId="4" applyNumberFormat="1" applyFont="1" applyBorder="1"/>
    <xf numFmtId="2" fontId="14" fillId="0" borderId="0" xfId="4" applyNumberFormat="1" applyFont="1"/>
    <xf numFmtId="0" fontId="14" fillId="0" borderId="5" xfId="4" applyFont="1" applyFill="1" applyBorder="1"/>
    <xf numFmtId="3" fontId="15" fillId="0" borderId="12" xfId="16" applyNumberFormat="1" applyFont="1" applyFill="1" applyBorder="1"/>
    <xf numFmtId="3" fontId="15" fillId="0" borderId="13" xfId="16" applyNumberFormat="1" applyFont="1" applyFill="1" applyBorder="1"/>
    <xf numFmtId="3" fontId="15" fillId="0" borderId="14" xfId="16" applyNumberFormat="1" applyFont="1" applyFill="1" applyBorder="1"/>
    <xf numFmtId="3" fontId="14" fillId="7" borderId="56" xfId="16" applyNumberFormat="1" applyFont="1" applyFill="1" applyBorder="1"/>
    <xf numFmtId="3" fontId="14" fillId="7" borderId="8" xfId="16" applyNumberFormat="1" applyFont="1" applyFill="1" applyBorder="1"/>
    <xf numFmtId="3" fontId="15" fillId="0" borderId="13" xfId="16" applyNumberFormat="1" applyFont="1" applyFill="1" applyBorder="1" applyAlignment="1">
      <alignment vertical="center"/>
    </xf>
    <xf numFmtId="3" fontId="14" fillId="0" borderId="72" xfId="16" applyNumberFormat="1" applyFont="1" applyFill="1" applyBorder="1" applyAlignment="1">
      <alignment vertical="center"/>
    </xf>
    <xf numFmtId="3" fontId="14" fillId="7" borderId="2" xfId="16" applyNumberFormat="1" applyFont="1" applyFill="1" applyBorder="1" applyAlignment="1">
      <alignment vertical="center"/>
    </xf>
    <xf numFmtId="3" fontId="14" fillId="0" borderId="53" xfId="16" applyNumberFormat="1" applyFont="1" applyFill="1" applyBorder="1" applyAlignment="1">
      <alignment vertical="center"/>
    </xf>
    <xf numFmtId="3" fontId="14" fillId="7" borderId="8" xfId="16" applyNumberFormat="1" applyFont="1" applyFill="1" applyBorder="1" applyAlignment="1">
      <alignment vertical="center"/>
    </xf>
    <xf numFmtId="3" fontId="15" fillId="0" borderId="14" xfId="16" applyNumberFormat="1" applyFont="1" applyFill="1" applyBorder="1" applyAlignment="1">
      <alignment vertical="center"/>
    </xf>
    <xf numFmtId="3" fontId="15" fillId="0" borderId="63" xfId="16" applyNumberFormat="1" applyFont="1" applyFill="1" applyBorder="1" applyAlignment="1">
      <alignment vertical="center"/>
    </xf>
    <xf numFmtId="3" fontId="15" fillId="0" borderId="17" xfId="16" applyNumberFormat="1" applyFont="1" applyFill="1" applyBorder="1" applyAlignment="1">
      <alignment vertical="center"/>
    </xf>
    <xf numFmtId="3" fontId="15" fillId="0" borderId="30" xfId="16" applyNumberFormat="1" applyFont="1" applyFill="1" applyBorder="1"/>
    <xf numFmtId="3" fontId="15" fillId="0" borderId="5" xfId="16" applyNumberFormat="1" applyFont="1" applyFill="1" applyBorder="1"/>
    <xf numFmtId="3" fontId="15" fillId="0" borderId="60" xfId="16" applyNumberFormat="1" applyFont="1" applyFill="1" applyBorder="1"/>
    <xf numFmtId="3" fontId="14" fillId="7" borderId="2" xfId="16" applyNumberFormat="1" applyFont="1" applyFill="1" applyBorder="1"/>
    <xf numFmtId="3" fontId="14" fillId="7" borderId="45" xfId="16" applyNumberFormat="1" applyFont="1" applyFill="1" applyBorder="1"/>
    <xf numFmtId="0" fontId="20" fillId="0" borderId="5" xfId="4" applyFont="1" applyBorder="1" applyAlignment="1">
      <alignment horizontal="center" wrapText="1"/>
    </xf>
    <xf numFmtId="0" fontId="20" fillId="0" borderId="40" xfId="4" applyFont="1" applyBorder="1" applyAlignment="1">
      <alignment horizontal="center" wrapText="1"/>
    </xf>
    <xf numFmtId="0" fontId="20" fillId="0" borderId="6" xfId="4" applyFont="1" applyBorder="1" applyAlignment="1">
      <alignment horizontal="center" wrapText="1"/>
    </xf>
    <xf numFmtId="0" fontId="9" fillId="0" borderId="0" xfId="31" applyFont="1" applyBorder="1" applyAlignment="1">
      <alignment wrapText="1"/>
    </xf>
    <xf numFmtId="3" fontId="9" fillId="0" borderId="0" xfId="31" applyNumberFormat="1" applyFont="1" applyBorder="1" applyAlignment="1">
      <alignment horizontal="right"/>
    </xf>
    <xf numFmtId="0" fontId="2" fillId="0" borderId="0" xfId="16" applyBorder="1"/>
    <xf numFmtId="3" fontId="9" fillId="0" borderId="0" xfId="16" applyNumberFormat="1" applyFont="1" applyBorder="1"/>
    <xf numFmtId="0" fontId="2" fillId="0" borderId="0" xfId="16" applyFill="1" applyBorder="1"/>
    <xf numFmtId="3" fontId="9" fillId="0" borderId="57" xfId="31" applyNumberFormat="1" applyFont="1" applyBorder="1" applyAlignment="1">
      <alignment horizontal="right"/>
    </xf>
    <xf numFmtId="3" fontId="14" fillId="0" borderId="5" xfId="32" applyNumberFormat="1" applyFont="1" applyFill="1" applyBorder="1" applyAlignment="1">
      <alignment wrapText="1"/>
    </xf>
    <xf numFmtId="0" fontId="14" fillId="0" borderId="32" xfId="28" applyFont="1" applyFill="1" applyBorder="1" applyAlignment="1">
      <alignment horizontal="center" vertical="center"/>
    </xf>
    <xf numFmtId="0" fontId="14" fillId="0" borderId="37" xfId="10" applyFont="1" applyFill="1" applyBorder="1" applyAlignment="1">
      <alignment vertical="center" wrapText="1"/>
    </xf>
    <xf numFmtId="3" fontId="14" fillId="0" borderId="5" xfId="33" applyNumberFormat="1" applyFont="1" applyBorder="1" applyAlignment="1">
      <alignment vertical="center" wrapText="1"/>
    </xf>
    <xf numFmtId="3" fontId="14" fillId="0" borderId="37" xfId="4" applyNumberFormat="1" applyFont="1" applyFill="1" applyBorder="1" applyAlignment="1">
      <alignment horizontal="right" vertical="center" wrapText="1"/>
    </xf>
    <xf numFmtId="3" fontId="14" fillId="0" borderId="37" xfId="4" applyNumberFormat="1" applyFont="1" applyBorder="1" applyAlignment="1">
      <alignment horizontal="right" vertical="center" wrapText="1"/>
    </xf>
    <xf numFmtId="1" fontId="14" fillId="0" borderId="37" xfId="4" applyNumberFormat="1" applyFont="1" applyBorder="1" applyAlignment="1">
      <alignment horizontal="right" vertical="center" wrapText="1"/>
    </xf>
    <xf numFmtId="1" fontId="26" fillId="0" borderId="37" xfId="23" applyNumberFormat="1" applyFont="1" applyFill="1" applyBorder="1" applyAlignment="1">
      <alignment vertical="center"/>
    </xf>
    <xf numFmtId="0" fontId="14" fillId="0" borderId="6" xfId="4" applyFont="1" applyFill="1" applyBorder="1" applyAlignment="1">
      <alignment horizontal="left"/>
    </xf>
    <xf numFmtId="0" fontId="17" fillId="0" borderId="8" xfId="23" applyFill="1" applyBorder="1"/>
    <xf numFmtId="0" fontId="17" fillId="0" borderId="9" xfId="23" applyFill="1" applyBorder="1"/>
    <xf numFmtId="3" fontId="4" fillId="0" borderId="5" xfId="4" applyNumberFormat="1" applyFont="1" applyFill="1" applyBorder="1" applyAlignment="1">
      <alignment horizontal="right"/>
    </xf>
    <xf numFmtId="0" fontId="4" fillId="0" borderId="5" xfId="4" applyFont="1" applyFill="1" applyBorder="1" applyAlignment="1">
      <alignment horizontal="left"/>
    </xf>
    <xf numFmtId="0" fontId="14" fillId="0" borderId="0" xfId="0" applyFont="1"/>
    <xf numFmtId="0" fontId="14" fillId="0" borderId="0" xfId="0" applyFont="1" applyAlignment="1"/>
    <xf numFmtId="0" fontId="14" fillId="0" borderId="5" xfId="0" applyFont="1" applyBorder="1" applyAlignment="1">
      <alignment horizontal="center" vertical="center" wrapText="1"/>
    </xf>
    <xf numFmtId="3" fontId="15" fillId="0" borderId="5" xfId="0" applyNumberFormat="1" applyFont="1" applyBorder="1" applyAlignment="1">
      <alignment wrapText="1"/>
    </xf>
    <xf numFmtId="0" fontId="14" fillId="0" borderId="5" xfId="0" applyFont="1" applyBorder="1" applyAlignment="1">
      <alignment wrapText="1"/>
    </xf>
    <xf numFmtId="3" fontId="14" fillId="0" borderId="5" xfId="0" applyNumberFormat="1" applyFont="1" applyBorder="1" applyAlignment="1">
      <alignment wrapText="1"/>
    </xf>
    <xf numFmtId="3" fontId="14" fillId="0" borderId="5" xfId="0" applyNumberFormat="1" applyFont="1" applyBorder="1" applyAlignment="1">
      <alignment horizontal="left"/>
    </xf>
    <xf numFmtId="0" fontId="14" fillId="0" borderId="5" xfId="0" applyFont="1" applyBorder="1" applyAlignment="1">
      <alignment horizontal="left"/>
    </xf>
    <xf numFmtId="3" fontId="14" fillId="0" borderId="5" xfId="0" applyNumberFormat="1" applyFont="1" applyBorder="1" applyAlignment="1">
      <alignment horizontal="center" vertical="center" wrapText="1"/>
    </xf>
    <xf numFmtId="0" fontId="14" fillId="0" borderId="0" xfId="0" applyFont="1" applyBorder="1" applyAlignment="1">
      <alignment wrapText="1"/>
    </xf>
    <xf numFmtId="3" fontId="15" fillId="0" borderId="57" xfId="0" applyNumberFormat="1" applyFont="1" applyBorder="1"/>
    <xf numFmtId="1" fontId="15" fillId="0" borderId="57" xfId="0" applyNumberFormat="1" applyFont="1" applyBorder="1"/>
    <xf numFmtId="0" fontId="14" fillId="0" borderId="57" xfId="0" applyFont="1" applyBorder="1"/>
    <xf numFmtId="168" fontId="14" fillId="0" borderId="25" xfId="10" applyNumberFormat="1" applyFont="1" applyFill="1" applyBorder="1" applyAlignment="1">
      <alignment horizontal="center" wrapText="1"/>
    </xf>
    <xf numFmtId="167" fontId="14" fillId="0" borderId="45" xfId="10" applyNumberFormat="1" applyFont="1" applyFill="1" applyBorder="1" applyAlignment="1">
      <alignment wrapText="1"/>
    </xf>
    <xf numFmtId="1" fontId="14" fillId="0" borderId="45" xfId="28" applyNumberFormat="1" applyFont="1" applyFill="1" applyBorder="1" applyAlignment="1">
      <alignment horizontal="right" vertical="center"/>
    </xf>
    <xf numFmtId="1" fontId="14" fillId="0" borderId="45" xfId="12" applyNumberFormat="1" applyFont="1" applyFill="1" applyBorder="1" applyAlignment="1">
      <alignment horizontal="right" vertical="center"/>
    </xf>
    <xf numFmtId="3" fontId="14" fillId="0" borderId="45" xfId="10" applyNumberFormat="1" applyFont="1" applyFill="1" applyBorder="1" applyAlignment="1">
      <alignment horizontal="right" vertical="center"/>
    </xf>
    <xf numFmtId="168" fontId="32" fillId="0" borderId="49" xfId="12" applyNumberFormat="1" applyFont="1" applyFill="1" applyBorder="1" applyAlignment="1">
      <alignment horizontal="left" wrapText="1"/>
    </xf>
    <xf numFmtId="3" fontId="15" fillId="0" borderId="45" xfId="10" applyNumberFormat="1" applyFont="1" applyFill="1" applyBorder="1" applyAlignment="1">
      <alignment horizontal="right" vertical="center"/>
    </xf>
    <xf numFmtId="0" fontId="14" fillId="0" borderId="32" xfId="3" applyFont="1" applyBorder="1" applyAlignment="1">
      <alignment horizontal="center" vertical="center"/>
    </xf>
    <xf numFmtId="0" fontId="50" fillId="0" borderId="57" xfId="28" applyFont="1" applyBorder="1" applyAlignment="1">
      <alignment vertical="center" wrapText="1"/>
    </xf>
    <xf numFmtId="49" fontId="14" fillId="0" borderId="25" xfId="24" applyNumberFormat="1" applyFont="1" applyFill="1" applyBorder="1" applyAlignment="1">
      <alignment horizontal="center" vertical="center" wrapText="1"/>
    </xf>
    <xf numFmtId="0" fontId="14" fillId="0" borderId="45" xfId="24" applyFont="1" applyFill="1" applyBorder="1" applyAlignment="1">
      <alignment horizontal="left" vertical="center" wrapText="1"/>
    </xf>
    <xf numFmtId="4" fontId="50" fillId="0" borderId="71" xfId="28" applyNumberFormat="1" applyFont="1" applyFill="1" applyBorder="1" applyAlignment="1">
      <alignment horizontal="right" vertical="center" wrapText="1"/>
    </xf>
    <xf numFmtId="4" fontId="50" fillId="0" borderId="57" xfId="28" applyNumberFormat="1" applyFont="1" applyFill="1" applyBorder="1" applyAlignment="1">
      <alignment horizontal="right" vertical="center" wrapText="1"/>
    </xf>
    <xf numFmtId="4" fontId="50" fillId="0" borderId="57" xfId="28" applyNumberFormat="1" applyFont="1" applyFill="1" applyBorder="1"/>
    <xf numFmtId="4" fontId="51" fillId="0" borderId="57" xfId="28" applyNumberFormat="1" applyFont="1" applyFill="1" applyBorder="1" applyAlignment="1">
      <alignment horizontal="right" vertical="center" wrapText="1"/>
    </xf>
    <xf numFmtId="2" fontId="19" fillId="0" borderId="71" xfId="28" applyNumberFormat="1" applyBorder="1" applyAlignment="1">
      <alignment vertical="center"/>
    </xf>
    <xf numFmtId="2" fontId="19" fillId="0" borderId="57" xfId="28" applyNumberFormat="1" applyBorder="1" applyAlignment="1">
      <alignment vertical="center"/>
    </xf>
    <xf numFmtId="2" fontId="19" fillId="0" borderId="57" xfId="28" applyNumberFormat="1" applyFill="1" applyBorder="1" applyAlignment="1">
      <alignment vertical="center"/>
    </xf>
    <xf numFmtId="3" fontId="14" fillId="0" borderId="45" xfId="24" applyNumberFormat="1" applyFont="1" applyFill="1" applyBorder="1" applyAlignment="1">
      <alignment horizontal="right" vertical="center" wrapText="1"/>
    </xf>
    <xf numFmtId="1" fontId="14" fillId="0" borderId="45" xfId="10" applyNumberFormat="1" applyFont="1" applyFill="1" applyBorder="1" applyAlignment="1">
      <alignment horizontal="right" vertical="center"/>
    </xf>
    <xf numFmtId="168" fontId="14" fillId="0" borderId="49" xfId="12" applyNumberFormat="1" applyFont="1" applyFill="1" applyBorder="1" applyAlignment="1">
      <alignment horizontal="left" wrapText="1"/>
    </xf>
    <xf numFmtId="1" fontId="14" fillId="0" borderId="5" xfId="32" applyNumberFormat="1" applyFont="1" applyBorder="1" applyAlignment="1">
      <alignment wrapText="1"/>
    </xf>
    <xf numFmtId="0" fontId="15" fillId="0" borderId="4" xfId="4" applyFont="1" applyBorder="1" applyAlignment="1">
      <alignment horizontal="center" vertical="center" wrapText="1"/>
    </xf>
    <xf numFmtId="0" fontId="14" fillId="0" borderId="32" xfId="4" applyFont="1" applyFill="1" applyBorder="1" applyAlignment="1">
      <alignment horizontal="center" vertical="center" wrapText="1"/>
    </xf>
    <xf numFmtId="0" fontId="14" fillId="0" borderId="5" xfId="0" applyFont="1" applyBorder="1" applyAlignment="1">
      <alignment horizontal="center" wrapText="1"/>
    </xf>
    <xf numFmtId="3" fontId="14" fillId="0" borderId="56" xfId="4" applyNumberFormat="1" applyFont="1" applyFill="1" applyBorder="1" applyAlignment="1">
      <alignment wrapText="1"/>
    </xf>
    <xf numFmtId="0" fontId="14" fillId="0" borderId="4" xfId="4" applyFont="1" applyFill="1" applyBorder="1" applyAlignment="1">
      <alignment horizontal="center" vertical="center"/>
    </xf>
    <xf numFmtId="0" fontId="9" fillId="0" borderId="40" xfId="4" applyFont="1" applyBorder="1" applyAlignment="1">
      <alignment horizontal="left" vertical="center" wrapText="1"/>
    </xf>
    <xf numFmtId="0" fontId="15" fillId="0" borderId="28" xfId="4" applyFont="1" applyBorder="1" applyAlignment="1">
      <alignment horizontal="center" vertical="center" wrapText="1"/>
    </xf>
    <xf numFmtId="0" fontId="15" fillId="0" borderId="20" xfId="4" applyFont="1" applyBorder="1" applyAlignment="1">
      <alignment horizontal="center" vertical="center" wrapText="1"/>
    </xf>
    <xf numFmtId="3" fontId="15" fillId="0" borderId="0" xfId="4" applyNumberFormat="1" applyFont="1" applyBorder="1" applyAlignment="1">
      <alignment vertical="center" wrapText="1"/>
    </xf>
    <xf numFmtId="0" fontId="14" fillId="0" borderId="0" xfId="4" applyFont="1" applyBorder="1" applyAlignment="1">
      <alignment vertical="center" wrapText="1"/>
    </xf>
    <xf numFmtId="0" fontId="14" fillId="0" borderId="0" xfId="4" applyFont="1" applyBorder="1" applyAlignment="1">
      <alignment horizontal="center" vertical="center"/>
    </xf>
    <xf numFmtId="3" fontId="14" fillId="0" borderId="0" xfId="4" applyNumberFormat="1" applyFont="1" applyFill="1" applyBorder="1" applyAlignment="1">
      <alignment vertical="center" wrapText="1"/>
    </xf>
    <xf numFmtId="3" fontId="14" fillId="0" borderId="0" xfId="4" applyNumberFormat="1" applyFont="1" applyBorder="1" applyAlignment="1">
      <alignment vertical="center" wrapText="1"/>
    </xf>
    <xf numFmtId="3" fontId="15" fillId="0" borderId="0" xfId="4" applyNumberFormat="1" applyFont="1" applyBorder="1"/>
    <xf numFmtId="49" fontId="15" fillId="0" borderId="0" xfId="4" applyNumberFormat="1" applyFont="1" applyFill="1" applyBorder="1" applyAlignment="1"/>
    <xf numFmtId="0" fontId="4" fillId="0" borderId="5" xfId="4" applyFont="1" applyFill="1" applyBorder="1" applyAlignment="1">
      <alignment horizontal="center" vertical="center" wrapText="1"/>
    </xf>
    <xf numFmtId="0" fontId="14" fillId="0" borderId="37" xfId="4" applyFont="1" applyFill="1" applyBorder="1" applyAlignment="1">
      <alignment vertical="center" wrapText="1"/>
    </xf>
    <xf numFmtId="0" fontId="14" fillId="0" borderId="16" xfId="4" applyFont="1" applyBorder="1" applyAlignment="1">
      <alignment horizontal="left" vertical="center" wrapText="1"/>
    </xf>
    <xf numFmtId="0" fontId="15" fillId="0" borderId="57" xfId="4" applyFont="1" applyFill="1" applyBorder="1" applyAlignment="1">
      <alignment horizontal="center" vertical="center" wrapText="1"/>
    </xf>
    <xf numFmtId="0" fontId="15" fillId="0" borderId="57" xfId="4" applyFont="1" applyFill="1" applyBorder="1" applyAlignment="1">
      <alignment horizontal="left" wrapText="1"/>
    </xf>
    <xf numFmtId="0" fontId="15" fillId="0" borderId="71" xfId="4" applyFont="1" applyFill="1" applyBorder="1" applyAlignment="1">
      <alignment horizontal="center" vertical="center" wrapText="1"/>
    </xf>
    <xf numFmtId="0" fontId="15" fillId="0" borderId="57" xfId="4" applyFont="1" applyFill="1" applyBorder="1" applyAlignment="1">
      <alignment horizontal="left" vertical="center" wrapText="1"/>
    </xf>
    <xf numFmtId="3" fontId="15" fillId="0" borderId="13" xfId="4" applyNumberFormat="1" applyFont="1" applyFill="1" applyBorder="1" applyAlignment="1">
      <alignment horizontal="right" vertical="center" wrapText="1"/>
    </xf>
    <xf numFmtId="3" fontId="15" fillId="0" borderId="14" xfId="4" applyNumberFormat="1" applyFont="1" applyFill="1" applyBorder="1" applyAlignment="1">
      <alignment horizontal="right" vertical="center" wrapText="1"/>
    </xf>
    <xf numFmtId="3" fontId="15" fillId="0" borderId="22" xfId="4" applyNumberFormat="1" applyFont="1" applyFill="1" applyBorder="1" applyAlignment="1">
      <alignment horizontal="right" vertical="center" wrapText="1"/>
    </xf>
    <xf numFmtId="0" fontId="14" fillId="0" borderId="71" xfId="4" applyFont="1" applyBorder="1" applyAlignment="1">
      <alignment horizontal="right" vertical="center" wrapText="1"/>
    </xf>
    <xf numFmtId="0" fontId="14" fillId="0" borderId="25" xfId="4" applyFont="1" applyFill="1" applyBorder="1" applyAlignment="1">
      <alignment horizontal="right" vertical="top" wrapText="1"/>
    </xf>
    <xf numFmtId="0" fontId="15" fillId="0" borderId="57" xfId="4" applyFont="1" applyFill="1" applyBorder="1" applyAlignment="1">
      <alignment horizontal="center" vertical="top" wrapText="1"/>
    </xf>
    <xf numFmtId="3" fontId="14" fillId="0" borderId="59" xfId="16" applyNumberFormat="1" applyFont="1" applyFill="1" applyBorder="1"/>
    <xf numFmtId="3" fontId="14" fillId="0" borderId="53" xfId="16" applyNumberFormat="1" applyFont="1" applyFill="1" applyBorder="1"/>
    <xf numFmtId="3" fontId="14" fillId="0" borderId="72" xfId="16" applyNumberFormat="1" applyFont="1" applyFill="1" applyBorder="1"/>
    <xf numFmtId="3" fontId="14" fillId="0" borderId="0" xfId="16" applyNumberFormat="1" applyFont="1" applyFill="1" applyBorder="1"/>
    <xf numFmtId="3" fontId="14" fillId="0" borderId="52" xfId="16" applyNumberFormat="1" applyFont="1" applyFill="1" applyBorder="1" applyAlignment="1">
      <alignment vertical="center"/>
    </xf>
    <xf numFmtId="3" fontId="14" fillId="0" borderId="54" xfId="4" applyNumberFormat="1" applyFont="1" applyBorder="1"/>
    <xf numFmtId="3" fontId="14" fillId="0" borderId="60" xfId="4" applyNumberFormat="1" applyFont="1" applyBorder="1"/>
    <xf numFmtId="3" fontId="14" fillId="0" borderId="68" xfId="4" applyNumberFormat="1" applyFont="1" applyBorder="1"/>
    <xf numFmtId="3" fontId="15" fillId="0" borderId="22" xfId="16" applyNumberFormat="1" applyFont="1" applyFill="1" applyBorder="1"/>
    <xf numFmtId="3" fontId="15" fillId="0" borderId="62" xfId="16" applyNumberFormat="1" applyFont="1" applyFill="1" applyBorder="1" applyAlignment="1">
      <alignment vertical="center"/>
    </xf>
    <xf numFmtId="3" fontId="15" fillId="0" borderId="22" xfId="16" applyNumberFormat="1" applyFont="1" applyFill="1" applyBorder="1" applyAlignment="1">
      <alignment vertical="center"/>
    </xf>
    <xf numFmtId="3" fontId="15" fillId="0" borderId="56" xfId="16" applyNumberFormat="1" applyFont="1" applyFill="1" applyBorder="1"/>
    <xf numFmtId="3" fontId="14" fillId="0" borderId="56" xfId="16" applyNumberFormat="1" applyFont="1" applyFill="1" applyBorder="1"/>
    <xf numFmtId="3" fontId="14" fillId="0" borderId="8" xfId="16" applyNumberFormat="1" applyFont="1" applyFill="1" applyBorder="1"/>
    <xf numFmtId="3" fontId="14" fillId="0" borderId="2" xfId="16" applyNumberFormat="1" applyFont="1" applyFill="1" applyBorder="1" applyAlignment="1">
      <alignment vertical="center"/>
    </xf>
    <xf numFmtId="3" fontId="14" fillId="0" borderId="8" xfId="16" applyNumberFormat="1" applyFont="1" applyFill="1" applyBorder="1" applyAlignment="1">
      <alignment vertical="center"/>
    </xf>
    <xf numFmtId="3" fontId="14" fillId="0" borderId="5" xfId="16" applyNumberFormat="1" applyFont="1" applyFill="1" applyBorder="1"/>
    <xf numFmtId="3" fontId="14" fillId="0" borderId="2" xfId="16" applyNumberFormat="1" applyFont="1" applyFill="1" applyBorder="1"/>
    <xf numFmtId="3" fontId="14" fillId="0" borderId="45" xfId="16" applyNumberFormat="1" applyFont="1" applyFill="1" applyBorder="1"/>
    <xf numFmtId="0" fontId="15" fillId="0" borderId="10" xfId="4" applyFont="1" applyFill="1" applyBorder="1" applyAlignment="1">
      <alignment horizontal="center" vertical="top" wrapText="1"/>
    </xf>
    <xf numFmtId="0" fontId="9" fillId="0" borderId="73" xfId="16" applyFont="1" applyFill="1" applyBorder="1" applyAlignment="1">
      <alignment vertical="top" wrapText="1"/>
    </xf>
    <xf numFmtId="0" fontId="14" fillId="7" borderId="13" xfId="4" applyFont="1" applyFill="1" applyBorder="1" applyAlignment="1">
      <alignment horizontal="right" vertical="top" wrapText="1"/>
    </xf>
    <xf numFmtId="2" fontId="14" fillId="7" borderId="23" xfId="4" applyNumberFormat="1" applyFont="1" applyFill="1" applyBorder="1" applyAlignment="1">
      <alignment horizontal="right" vertical="top" wrapText="1"/>
    </xf>
    <xf numFmtId="0" fontId="14" fillId="0" borderId="78" xfId="16" applyFont="1" applyFill="1" applyBorder="1" applyAlignment="1">
      <alignment horizontal="left" vertical="top" wrapText="1"/>
    </xf>
    <xf numFmtId="0" fontId="14" fillId="0" borderId="79" xfId="16" applyFont="1" applyFill="1" applyBorder="1" applyAlignment="1">
      <alignment horizontal="left" vertical="top" wrapText="1"/>
    </xf>
    <xf numFmtId="0" fontId="14" fillId="0" borderId="46" xfId="16" applyFont="1" applyFill="1" applyBorder="1" applyAlignment="1">
      <alignment horizontal="left" vertical="top" wrapText="1"/>
    </xf>
    <xf numFmtId="0" fontId="14" fillId="0" borderId="6" xfId="16" applyFont="1" applyFill="1" applyBorder="1" applyAlignment="1">
      <alignment horizontal="left" vertical="top" wrapText="1"/>
    </xf>
    <xf numFmtId="0" fontId="14" fillId="0" borderId="6" xfId="16" applyFont="1" applyFill="1" applyBorder="1" applyAlignment="1">
      <alignment vertical="top" wrapText="1"/>
    </xf>
    <xf numFmtId="0" fontId="14" fillId="0" borderId="6" xfId="16" applyFont="1" applyFill="1" applyBorder="1" applyAlignment="1">
      <alignment wrapText="1"/>
    </xf>
    <xf numFmtId="0" fontId="14" fillId="0" borderId="77" xfId="16" applyFont="1" applyFill="1" applyBorder="1" applyAlignment="1">
      <alignment vertical="top" wrapText="1"/>
    </xf>
    <xf numFmtId="0" fontId="14" fillId="7" borderId="17" xfId="4" applyFont="1" applyFill="1" applyBorder="1" applyAlignment="1">
      <alignment horizontal="left" vertical="top" wrapText="1"/>
    </xf>
    <xf numFmtId="0" fontId="14" fillId="7" borderId="57" xfId="4" applyFont="1" applyFill="1" applyBorder="1" applyAlignment="1">
      <alignment horizontal="left" vertical="center" wrapText="1"/>
    </xf>
    <xf numFmtId="0" fontId="14" fillId="7" borderId="0" xfId="4" quotePrefix="1" applyFont="1" applyFill="1" applyBorder="1" applyAlignment="1">
      <alignment horizontal="left" vertical="top" wrapText="1"/>
    </xf>
    <xf numFmtId="0" fontId="14" fillId="0" borderId="63" xfId="4" applyFont="1" applyFill="1" applyBorder="1" applyAlignment="1">
      <alignment vertical="top" wrapText="1"/>
    </xf>
    <xf numFmtId="0" fontId="14" fillId="7" borderId="57" xfId="16" applyFont="1" applyFill="1" applyBorder="1" applyAlignment="1">
      <alignment vertical="top" wrapText="1"/>
    </xf>
    <xf numFmtId="0" fontId="14" fillId="0" borderId="49" xfId="4" applyFont="1" applyFill="1" applyBorder="1" applyAlignment="1">
      <alignment horizontal="left" vertical="top" wrapText="1"/>
    </xf>
    <xf numFmtId="0" fontId="14" fillId="0" borderId="21" xfId="4" applyFont="1" applyFill="1" applyBorder="1" applyAlignment="1">
      <alignment horizontal="left" vertical="top" wrapText="1"/>
    </xf>
    <xf numFmtId="0" fontId="14" fillId="0" borderId="61" xfId="16" applyFont="1" applyFill="1" applyBorder="1" applyAlignment="1">
      <alignment vertical="top" wrapText="1"/>
    </xf>
    <xf numFmtId="0" fontId="14" fillId="0" borderId="61" xfId="16" quotePrefix="1" applyFont="1" applyFill="1" applyBorder="1" applyAlignment="1">
      <alignment vertical="top" wrapText="1"/>
    </xf>
    <xf numFmtId="0" fontId="14" fillId="0" borderId="17" xfId="16" quotePrefix="1" applyFont="1" applyFill="1" applyBorder="1" applyAlignment="1">
      <alignment vertical="top" wrapText="1"/>
    </xf>
    <xf numFmtId="0" fontId="14" fillId="0" borderId="20" xfId="4" applyFont="1" applyFill="1" applyBorder="1" applyAlignment="1">
      <alignment horizontal="right" vertical="top"/>
    </xf>
    <xf numFmtId="0" fontId="14" fillId="7" borderId="18" xfId="4" applyFont="1" applyFill="1" applyBorder="1" applyAlignment="1">
      <alignment horizontal="right" vertical="top" wrapText="1"/>
    </xf>
    <xf numFmtId="0" fontId="14" fillId="7" borderId="57" xfId="4" applyFont="1" applyFill="1" applyBorder="1" applyAlignment="1">
      <alignment horizontal="right" vertical="top" wrapText="1"/>
    </xf>
    <xf numFmtId="0" fontId="4" fillId="7" borderId="57" xfId="4" applyFont="1" applyFill="1" applyBorder="1" applyAlignment="1">
      <alignment horizontal="left" vertical="top" wrapText="1"/>
    </xf>
    <xf numFmtId="0" fontId="9" fillId="0" borderId="57" xfId="16" applyFont="1" applyFill="1" applyBorder="1" applyAlignment="1">
      <alignment vertical="top"/>
    </xf>
    <xf numFmtId="0" fontId="14" fillId="0" borderId="49" xfId="4" applyFont="1" applyBorder="1" applyAlignment="1">
      <alignment vertical="center" wrapText="1"/>
    </xf>
    <xf numFmtId="0" fontId="14" fillId="0" borderId="21" xfId="4" applyFont="1" applyBorder="1" applyAlignment="1">
      <alignment vertical="center" wrapText="1"/>
    </xf>
    <xf numFmtId="0" fontId="15" fillId="0" borderId="18" xfId="4" applyFont="1" applyFill="1" applyBorder="1" applyAlignment="1">
      <alignment horizontal="center" vertical="center" wrapText="1"/>
    </xf>
    <xf numFmtId="0" fontId="9" fillId="0" borderId="12" xfId="4" applyFont="1" applyFill="1" applyBorder="1" applyAlignment="1">
      <alignment horizontal="left" vertical="center"/>
    </xf>
    <xf numFmtId="0" fontId="14" fillId="7" borderId="23" xfId="4" applyFont="1" applyFill="1" applyBorder="1" applyAlignment="1">
      <alignment horizontal="right" vertical="top" wrapText="1"/>
    </xf>
    <xf numFmtId="0" fontId="14" fillId="0" borderId="20" xfId="4" applyFont="1" applyFill="1" applyBorder="1" applyAlignment="1">
      <alignment horizontal="right" vertical="top" wrapText="1"/>
    </xf>
    <xf numFmtId="0" fontId="14" fillId="7" borderId="66" xfId="4" applyFont="1" applyFill="1" applyBorder="1" applyAlignment="1">
      <alignment horizontal="left" vertical="top" wrapText="1"/>
    </xf>
    <xf numFmtId="0" fontId="9" fillId="0" borderId="14" xfId="4" applyFont="1" applyFill="1" applyBorder="1" applyAlignment="1">
      <alignment vertical="top" wrapText="1"/>
    </xf>
    <xf numFmtId="3" fontId="15" fillId="0" borderId="45" xfId="4" applyNumberFormat="1" applyFont="1" applyBorder="1" applyAlignment="1">
      <alignment wrapText="1"/>
    </xf>
    <xf numFmtId="3" fontId="15" fillId="0" borderId="13" xfId="4" applyNumberFormat="1" applyFont="1" applyFill="1" applyBorder="1" applyAlignment="1">
      <alignment wrapText="1"/>
    </xf>
    <xf numFmtId="3" fontId="15" fillId="0" borderId="22" xfId="4" applyNumberFormat="1" applyFont="1" applyFill="1" applyBorder="1" applyAlignment="1">
      <alignment wrapText="1"/>
    </xf>
    <xf numFmtId="3" fontId="15" fillId="0" borderId="14" xfId="4" applyNumberFormat="1" applyFont="1" applyFill="1" applyBorder="1" applyAlignment="1">
      <alignment wrapText="1"/>
    </xf>
    <xf numFmtId="3" fontId="15" fillId="0" borderId="15" xfId="4" applyNumberFormat="1" applyFont="1" applyFill="1" applyBorder="1" applyAlignment="1">
      <alignment vertical="center" wrapText="1"/>
    </xf>
    <xf numFmtId="3" fontId="15" fillId="0" borderId="62" xfId="4" applyNumberFormat="1" applyFont="1" applyFill="1" applyBorder="1" applyAlignment="1">
      <alignment vertical="center" wrapText="1"/>
    </xf>
    <xf numFmtId="3" fontId="15" fillId="0" borderId="14" xfId="4" applyNumberFormat="1" applyFont="1" applyFill="1" applyBorder="1" applyAlignment="1">
      <alignment vertical="center" wrapText="1"/>
    </xf>
    <xf numFmtId="3" fontId="15" fillId="0" borderId="1" xfId="4" applyNumberFormat="1" applyFont="1" applyFill="1" applyBorder="1" applyAlignment="1">
      <alignment vertical="center" wrapText="1"/>
    </xf>
    <xf numFmtId="3" fontId="15" fillId="0" borderId="27" xfId="4" applyNumberFormat="1" applyFont="1" applyFill="1" applyBorder="1" applyAlignment="1">
      <alignment vertical="center" wrapText="1"/>
    </xf>
    <xf numFmtId="3" fontId="15" fillId="0" borderId="2" xfId="4" applyNumberFormat="1" applyFont="1" applyFill="1" applyBorder="1" applyAlignment="1">
      <alignment vertical="center" wrapText="1"/>
    </xf>
    <xf numFmtId="3" fontId="14" fillId="0" borderId="2" xfId="4" applyNumberFormat="1" applyFont="1" applyFill="1" applyBorder="1" applyAlignment="1">
      <alignment vertical="center" wrapText="1"/>
    </xf>
    <xf numFmtId="3" fontId="14" fillId="0" borderId="3" xfId="4" applyNumberFormat="1" applyFont="1" applyFill="1" applyBorder="1" applyAlignment="1">
      <alignment vertical="center" wrapText="1"/>
    </xf>
    <xf numFmtId="3" fontId="15" fillId="7" borderId="28" xfId="4" applyNumberFormat="1" applyFont="1" applyFill="1" applyBorder="1" applyAlignment="1">
      <alignment vertical="center" wrapText="1"/>
    </xf>
    <xf numFmtId="3" fontId="15" fillId="7" borderId="31" xfId="4" applyNumberFormat="1" applyFont="1" applyFill="1" applyBorder="1" applyAlignment="1">
      <alignment vertical="center" wrapText="1"/>
    </xf>
    <xf numFmtId="3" fontId="15" fillId="7" borderId="56" xfId="4" applyNumberFormat="1" applyFont="1" applyFill="1" applyBorder="1" applyAlignment="1">
      <alignment vertical="center" wrapText="1"/>
    </xf>
    <xf numFmtId="3" fontId="14" fillId="0" borderId="31" xfId="4" applyNumberFormat="1" applyFont="1" applyFill="1" applyBorder="1" applyAlignment="1">
      <alignment vertical="center" wrapText="1"/>
    </xf>
    <xf numFmtId="3" fontId="15" fillId="0" borderId="56" xfId="4" applyNumberFormat="1" applyFont="1" applyBorder="1" applyAlignment="1">
      <alignment vertical="center"/>
    </xf>
    <xf numFmtId="3" fontId="14" fillId="7" borderId="56" xfId="4" applyNumberFormat="1" applyFont="1" applyFill="1" applyBorder="1" applyAlignment="1">
      <alignment wrapText="1"/>
    </xf>
    <xf numFmtId="3" fontId="14" fillId="7" borderId="31" xfId="4" applyNumberFormat="1" applyFont="1" applyFill="1" applyBorder="1"/>
    <xf numFmtId="3" fontId="14" fillId="0" borderId="6" xfId="4" applyNumberFormat="1" applyFont="1" applyFill="1" applyBorder="1" applyAlignment="1">
      <alignment vertical="center" wrapText="1"/>
    </xf>
    <xf numFmtId="3" fontId="15" fillId="7" borderId="4" xfId="4" applyNumberFormat="1" applyFont="1" applyFill="1" applyBorder="1" applyAlignment="1">
      <alignment vertical="center" wrapText="1"/>
    </xf>
    <xf numFmtId="3" fontId="15" fillId="7" borderId="40" xfId="4" applyNumberFormat="1" applyFont="1" applyFill="1" applyBorder="1" applyAlignment="1">
      <alignment vertical="center" wrapText="1"/>
    </xf>
    <xf numFmtId="3" fontId="15" fillId="7" borderId="5" xfId="4" applyNumberFormat="1" applyFont="1" applyFill="1" applyBorder="1" applyAlignment="1">
      <alignment vertical="center" wrapText="1"/>
    </xf>
    <xf numFmtId="3" fontId="14" fillId="0" borderId="40" xfId="4" applyNumberFormat="1" applyFont="1" applyFill="1" applyBorder="1" applyAlignment="1">
      <alignment vertical="center" wrapText="1"/>
    </xf>
    <xf numFmtId="3" fontId="15" fillId="0" borderId="5" xfId="4" applyNumberFormat="1" applyFont="1" applyBorder="1" applyAlignment="1">
      <alignment vertical="center"/>
    </xf>
    <xf numFmtId="3" fontId="14" fillId="7" borderId="5" xfId="4" applyNumberFormat="1" applyFont="1" applyFill="1" applyBorder="1" applyAlignment="1">
      <alignment wrapText="1"/>
    </xf>
    <xf numFmtId="3" fontId="14" fillId="7" borderId="40" xfId="4" applyNumberFormat="1" applyFont="1" applyFill="1" applyBorder="1"/>
    <xf numFmtId="3" fontId="15" fillId="7" borderId="7" xfId="4" applyNumberFormat="1" applyFont="1" applyFill="1" applyBorder="1" applyAlignment="1">
      <alignment vertical="center" wrapText="1"/>
    </xf>
    <xf numFmtId="3" fontId="15" fillId="7" borderId="51" xfId="4" applyNumberFormat="1" applyFont="1" applyFill="1" applyBorder="1" applyAlignment="1">
      <alignment vertical="center" wrapText="1"/>
    </xf>
    <xf numFmtId="3" fontId="15" fillId="7" borderId="8" xfId="4" applyNumberFormat="1" applyFont="1" applyFill="1" applyBorder="1" applyAlignment="1">
      <alignment vertical="center" wrapText="1"/>
    </xf>
    <xf numFmtId="3" fontId="14" fillId="0" borderId="62" xfId="4" applyNumberFormat="1" applyFont="1" applyFill="1" applyBorder="1" applyAlignment="1">
      <alignment vertical="center" wrapText="1"/>
    </xf>
    <xf numFmtId="3" fontId="15" fillId="0" borderId="8" xfId="4" applyNumberFormat="1" applyFont="1" applyBorder="1" applyAlignment="1">
      <alignment vertical="center"/>
    </xf>
    <xf numFmtId="3" fontId="14" fillId="7" borderId="8" xfId="4" applyNumberFormat="1" applyFont="1" applyFill="1" applyBorder="1" applyAlignment="1">
      <alignment wrapText="1"/>
    </xf>
    <xf numFmtId="3" fontId="14" fillId="7" borderId="51" xfId="4" applyNumberFormat="1" applyFont="1" applyFill="1" applyBorder="1"/>
    <xf numFmtId="3" fontId="14" fillId="0" borderId="9" xfId="4" applyNumberFormat="1" applyFont="1" applyFill="1" applyBorder="1" applyAlignment="1">
      <alignment vertical="center" wrapText="1"/>
    </xf>
    <xf numFmtId="3" fontId="15" fillId="0" borderId="13" xfId="4" applyNumberFormat="1" applyFont="1" applyFill="1" applyBorder="1" applyAlignment="1">
      <alignment vertical="center" wrapText="1"/>
    </xf>
    <xf numFmtId="3" fontId="15" fillId="0" borderId="22" xfId="4" applyNumberFormat="1" applyFont="1" applyFill="1" applyBorder="1" applyAlignment="1">
      <alignment vertical="center" wrapText="1"/>
    </xf>
    <xf numFmtId="3" fontId="15" fillId="7" borderId="1" xfId="4" applyNumberFormat="1" applyFont="1" applyFill="1" applyBorder="1" applyAlignment="1">
      <alignment vertical="center" wrapText="1"/>
    </xf>
    <xf numFmtId="3" fontId="15" fillId="7" borderId="59" xfId="4" applyNumberFormat="1" applyFont="1" applyFill="1" applyBorder="1" applyAlignment="1">
      <alignment vertical="center" wrapText="1"/>
    </xf>
    <xf numFmtId="3" fontId="15" fillId="7" borderId="2" xfId="4" applyNumberFormat="1" applyFont="1" applyFill="1" applyBorder="1" applyAlignment="1">
      <alignment vertical="center" wrapText="1"/>
    </xf>
    <xf numFmtId="3" fontId="15" fillId="0" borderId="2" xfId="4" applyNumberFormat="1" applyFont="1" applyBorder="1" applyAlignment="1">
      <alignment vertical="center"/>
    </xf>
    <xf numFmtId="3" fontId="14" fillId="7" borderId="2" xfId="4" applyNumberFormat="1" applyFont="1" applyFill="1" applyBorder="1" applyAlignment="1">
      <alignment wrapText="1"/>
    </xf>
    <xf numFmtId="3" fontId="14" fillId="0" borderId="56" xfId="4" applyNumberFormat="1" applyFont="1" applyBorder="1"/>
    <xf numFmtId="3" fontId="14" fillId="0" borderId="3" xfId="4" applyNumberFormat="1" applyFont="1" applyBorder="1"/>
    <xf numFmtId="3" fontId="15" fillId="7" borderId="32" xfId="4" applyNumberFormat="1" applyFont="1" applyFill="1" applyBorder="1" applyAlignment="1">
      <alignment vertical="center" wrapText="1"/>
    </xf>
    <xf numFmtId="3" fontId="15" fillId="7" borderId="37" xfId="4" applyNumberFormat="1" applyFont="1" applyFill="1" applyBorder="1" applyAlignment="1">
      <alignment vertical="center" wrapText="1"/>
    </xf>
    <xf numFmtId="3" fontId="14" fillId="0" borderId="37" xfId="4" applyNumberFormat="1" applyFont="1" applyFill="1" applyBorder="1" applyAlignment="1">
      <alignment vertical="center" wrapText="1"/>
    </xf>
    <xf numFmtId="3" fontId="15" fillId="0" borderId="37" xfId="4" applyNumberFormat="1" applyFont="1" applyBorder="1" applyAlignment="1">
      <alignment vertical="center"/>
    </xf>
    <xf numFmtId="3" fontId="14" fillId="7" borderId="37" xfId="4" applyNumberFormat="1" applyFont="1" applyFill="1" applyBorder="1" applyAlignment="1">
      <alignment wrapText="1"/>
    </xf>
    <xf numFmtId="3" fontId="14" fillId="7" borderId="34" xfId="4" applyNumberFormat="1" applyFont="1" applyFill="1" applyBorder="1"/>
    <xf numFmtId="3" fontId="14" fillId="0" borderId="21" xfId="4" applyNumberFormat="1" applyFont="1" applyBorder="1"/>
    <xf numFmtId="3" fontId="14" fillId="7" borderId="45" xfId="4" applyNumberFormat="1" applyFont="1" applyFill="1" applyBorder="1" applyAlignment="1">
      <alignment wrapText="1"/>
    </xf>
    <xf numFmtId="3" fontId="14" fillId="0" borderId="5" xfId="16" applyNumberFormat="1" applyFont="1" applyFill="1" applyBorder="1" applyAlignment="1">
      <alignment vertical="top"/>
    </xf>
    <xf numFmtId="3" fontId="14" fillId="0" borderId="29" xfId="4" applyNumberFormat="1" applyFont="1" applyFill="1" applyBorder="1" applyAlignment="1"/>
    <xf numFmtId="3" fontId="14" fillId="7" borderId="2" xfId="4" applyNumberFormat="1" applyFont="1" applyFill="1" applyBorder="1"/>
    <xf numFmtId="3" fontId="14" fillId="0" borderId="2" xfId="4" applyNumberFormat="1" applyFont="1" applyBorder="1"/>
    <xf numFmtId="3" fontId="14" fillId="0" borderId="66" xfId="4" applyNumberFormat="1" applyFont="1" applyBorder="1"/>
    <xf numFmtId="3" fontId="14" fillId="0" borderId="34" xfId="4" applyNumberFormat="1" applyFont="1" applyFill="1" applyBorder="1" applyAlignment="1"/>
    <xf numFmtId="3" fontId="14" fillId="7" borderId="45" xfId="4" applyNumberFormat="1" applyFont="1" applyFill="1" applyBorder="1"/>
    <xf numFmtId="3" fontId="14" fillId="0" borderId="38" xfId="4" applyNumberFormat="1" applyFont="1" applyBorder="1"/>
    <xf numFmtId="3" fontId="14" fillId="0" borderId="40" xfId="4" applyNumberFormat="1" applyFont="1" applyFill="1" applyBorder="1" applyAlignment="1"/>
    <xf numFmtId="3" fontId="14" fillId="7" borderId="5" xfId="4" applyNumberFormat="1" applyFont="1" applyFill="1" applyBorder="1"/>
    <xf numFmtId="3" fontId="14" fillId="0" borderId="4" xfId="16" applyNumberFormat="1" applyFont="1" applyFill="1" applyBorder="1" applyAlignment="1">
      <alignment wrapText="1"/>
    </xf>
    <xf numFmtId="3" fontId="14" fillId="0" borderId="48" xfId="4" applyNumberFormat="1" applyFont="1" applyFill="1" applyBorder="1" applyAlignment="1"/>
    <xf numFmtId="3" fontId="14" fillId="0" borderId="4" xfId="16" applyNumberFormat="1" applyFont="1" applyFill="1" applyBorder="1" applyAlignment="1"/>
    <xf numFmtId="3" fontId="4" fillId="0" borderId="5" xfId="16" applyNumberFormat="1" applyFont="1" applyFill="1" applyBorder="1" applyAlignment="1"/>
    <xf numFmtId="3" fontId="14" fillId="0" borderId="4" xfId="16" applyNumberFormat="1" applyFont="1" applyFill="1" applyBorder="1" applyAlignment="1">
      <alignment vertical="top"/>
    </xf>
    <xf numFmtId="3" fontId="4" fillId="0" borderId="5" xfId="16" applyNumberFormat="1" applyFont="1" applyFill="1" applyBorder="1" applyAlignment="1">
      <alignment vertical="top"/>
    </xf>
    <xf numFmtId="3" fontId="14" fillId="7" borderId="5" xfId="4" applyNumberFormat="1" applyFont="1" applyFill="1" applyBorder="1" applyAlignment="1"/>
    <xf numFmtId="3" fontId="14" fillId="0" borderId="5" xfId="4" applyNumberFormat="1" applyFont="1" applyBorder="1" applyAlignment="1"/>
    <xf numFmtId="3" fontId="14" fillId="0" borderId="46" xfId="4" applyNumberFormat="1" applyFont="1" applyBorder="1" applyAlignment="1"/>
    <xf numFmtId="3" fontId="14" fillId="0" borderId="7" xfId="16" applyNumberFormat="1" applyFont="1" applyFill="1" applyBorder="1" applyAlignment="1">
      <alignment wrapText="1"/>
    </xf>
    <xf numFmtId="3" fontId="14" fillId="0" borderId="8" xfId="16" applyNumberFormat="1" applyFont="1" applyFill="1" applyBorder="1" applyAlignment="1">
      <alignment wrapText="1"/>
    </xf>
    <xf numFmtId="3" fontId="14" fillId="0" borderId="51" xfId="4" applyNumberFormat="1" applyFont="1" applyFill="1" applyBorder="1" applyAlignment="1"/>
    <xf numFmtId="3" fontId="14" fillId="7" borderId="8" xfId="4" applyNumberFormat="1" applyFont="1" applyFill="1" applyBorder="1"/>
    <xf numFmtId="3" fontId="14" fillId="0" borderId="8" xfId="4" applyNumberFormat="1" applyFont="1" applyBorder="1"/>
    <xf numFmtId="3" fontId="15" fillId="7" borderId="13" xfId="4" applyNumberFormat="1" applyFont="1" applyFill="1" applyBorder="1" applyAlignment="1">
      <alignment wrapText="1"/>
    </xf>
    <xf numFmtId="3" fontId="15" fillId="7" borderId="22" xfId="4" applyNumberFormat="1" applyFont="1" applyFill="1" applyBorder="1" applyAlignment="1">
      <alignment wrapText="1"/>
    </xf>
    <xf numFmtId="3" fontId="15" fillId="7" borderId="14" xfId="4" applyNumberFormat="1" applyFont="1" applyFill="1" applyBorder="1" applyAlignment="1">
      <alignment wrapText="1"/>
    </xf>
    <xf numFmtId="3" fontId="14" fillId="7" borderId="28" xfId="4" applyNumberFormat="1" applyFont="1" applyFill="1" applyBorder="1" applyAlignment="1">
      <alignment wrapText="1"/>
    </xf>
    <xf numFmtId="3" fontId="14" fillId="7" borderId="31" xfId="4" applyNumberFormat="1" applyFont="1" applyFill="1" applyBorder="1" applyAlignment="1">
      <alignment wrapText="1"/>
    </xf>
    <xf numFmtId="3" fontId="14" fillId="0" borderId="2" xfId="4" applyNumberFormat="1" applyFont="1" applyFill="1" applyBorder="1" applyAlignment="1">
      <alignment vertical="top"/>
    </xf>
    <xf numFmtId="3" fontId="14" fillId="7" borderId="43" xfId="4" applyNumberFormat="1" applyFont="1" applyFill="1" applyBorder="1"/>
    <xf numFmtId="3" fontId="14" fillId="0" borderId="5" xfId="4" applyNumberFormat="1" applyFont="1" applyFill="1" applyBorder="1" applyAlignment="1">
      <alignment vertical="top"/>
    </xf>
    <xf numFmtId="3" fontId="14" fillId="0" borderId="0" xfId="4" applyNumberFormat="1" applyFont="1" applyFill="1" applyBorder="1" applyAlignment="1">
      <alignment vertical="top"/>
    </xf>
    <xf numFmtId="3" fontId="14" fillId="7" borderId="4" xfId="4" applyNumberFormat="1" applyFont="1" applyFill="1" applyBorder="1" applyAlignment="1">
      <alignment wrapText="1"/>
    </xf>
    <xf numFmtId="3" fontId="14" fillId="7" borderId="40" xfId="4" applyNumberFormat="1" applyFont="1" applyFill="1" applyBorder="1" applyAlignment="1">
      <alignment wrapText="1"/>
    </xf>
    <xf numFmtId="3" fontId="14" fillId="0" borderId="41" xfId="4" applyNumberFormat="1" applyFont="1" applyFill="1" applyBorder="1" applyAlignment="1">
      <alignment vertical="top"/>
    </xf>
    <xf numFmtId="3" fontId="14" fillId="7" borderId="39" xfId="4" applyNumberFormat="1" applyFont="1" applyFill="1" applyBorder="1"/>
    <xf numFmtId="3" fontId="14" fillId="7" borderId="25" xfId="4" applyNumberFormat="1" applyFont="1" applyFill="1" applyBorder="1" applyAlignment="1">
      <alignment wrapText="1"/>
    </xf>
    <xf numFmtId="3" fontId="14" fillId="7" borderId="48" xfId="4" applyNumberFormat="1" applyFont="1" applyFill="1" applyBorder="1" applyAlignment="1">
      <alignment wrapText="1"/>
    </xf>
    <xf numFmtId="3" fontId="14" fillId="7" borderId="47" xfId="4" applyNumberFormat="1" applyFont="1" applyFill="1" applyBorder="1"/>
    <xf numFmtId="3" fontId="14" fillId="7" borderId="1" xfId="4" applyNumberFormat="1" applyFont="1" applyFill="1" applyBorder="1" applyAlignment="1">
      <alignment wrapText="1"/>
    </xf>
    <xf numFmtId="3" fontId="14" fillId="0" borderId="2" xfId="4" applyNumberFormat="1" applyFont="1" applyFill="1" applyBorder="1" applyAlignment="1">
      <alignment wrapText="1"/>
    </xf>
    <xf numFmtId="3" fontId="14" fillId="7" borderId="70" xfId="4" applyNumberFormat="1" applyFont="1" applyFill="1" applyBorder="1"/>
    <xf numFmtId="3" fontId="14" fillId="0" borderId="4" xfId="4" applyNumberFormat="1" applyFont="1" applyBorder="1"/>
    <xf numFmtId="3" fontId="14" fillId="7" borderId="67" xfId="4" applyNumberFormat="1" applyFont="1" applyFill="1" applyBorder="1" applyAlignment="1">
      <alignment wrapText="1"/>
    </xf>
    <xf numFmtId="3" fontId="14" fillId="7" borderId="62" xfId="4" applyNumberFormat="1" applyFont="1" applyFill="1" applyBorder="1" applyAlignment="1">
      <alignment wrapText="1"/>
    </xf>
    <xf numFmtId="3" fontId="14" fillId="0" borderId="62" xfId="4" applyNumberFormat="1" applyFont="1" applyFill="1" applyBorder="1" applyAlignment="1">
      <alignment wrapText="1"/>
    </xf>
    <xf numFmtId="3" fontId="14" fillId="7" borderId="63" xfId="4" applyNumberFormat="1" applyFont="1" applyFill="1" applyBorder="1"/>
    <xf numFmtId="3" fontId="15" fillId="7" borderId="45" xfId="4" applyNumberFormat="1" applyFont="1" applyFill="1" applyBorder="1" applyAlignment="1">
      <alignment wrapText="1"/>
    </xf>
    <xf numFmtId="3" fontId="14" fillId="7" borderId="7" xfId="4" applyNumberFormat="1" applyFont="1" applyFill="1" applyBorder="1" applyAlignment="1">
      <alignment wrapText="1"/>
    </xf>
    <xf numFmtId="3" fontId="14" fillId="7" borderId="51" xfId="4" applyNumberFormat="1" applyFont="1" applyFill="1" applyBorder="1" applyAlignment="1">
      <alignment wrapText="1"/>
    </xf>
    <xf numFmtId="3" fontId="4" fillId="0" borderId="62" xfId="4" applyNumberFormat="1" applyFont="1" applyFill="1" applyBorder="1" applyAlignment="1">
      <alignment vertical="top"/>
    </xf>
    <xf numFmtId="3" fontId="14" fillId="7" borderId="50" xfId="4" applyNumberFormat="1" applyFont="1" applyFill="1" applyBorder="1"/>
    <xf numFmtId="3" fontId="14" fillId="0" borderId="56" xfId="4" applyNumberFormat="1" applyFont="1" applyFill="1" applyBorder="1" applyAlignment="1">
      <alignment vertical="top"/>
    </xf>
    <xf numFmtId="3" fontId="14" fillId="7" borderId="32" xfId="4" applyNumberFormat="1" applyFont="1" applyFill="1" applyBorder="1" applyAlignment="1">
      <alignment wrapText="1"/>
    </xf>
    <xf numFmtId="3" fontId="14" fillId="7" borderId="34" xfId="4" applyNumberFormat="1" applyFont="1" applyFill="1" applyBorder="1" applyAlignment="1">
      <alignment wrapText="1"/>
    </xf>
    <xf numFmtId="3" fontId="14" fillId="7" borderId="33" xfId="4" applyNumberFormat="1" applyFont="1" applyFill="1" applyBorder="1"/>
    <xf numFmtId="3" fontId="15" fillId="7" borderId="13" xfId="4" applyNumberFormat="1" applyFont="1" applyFill="1" applyBorder="1" applyAlignment="1"/>
    <xf numFmtId="3" fontId="15" fillId="7" borderId="22" xfId="4" applyNumberFormat="1" applyFont="1" applyFill="1" applyBorder="1" applyAlignment="1"/>
    <xf numFmtId="3" fontId="15" fillId="0" borderId="22" xfId="4" applyNumberFormat="1" applyFont="1" applyFill="1" applyBorder="1" applyAlignment="1"/>
    <xf numFmtId="3" fontId="15" fillId="7" borderId="14" xfId="4" applyNumberFormat="1" applyFont="1" applyFill="1" applyBorder="1" applyAlignment="1"/>
    <xf numFmtId="3" fontId="14" fillId="7" borderId="72" xfId="4" applyNumberFormat="1" applyFont="1" applyFill="1" applyBorder="1" applyAlignment="1"/>
    <xf numFmtId="3" fontId="14" fillId="7" borderId="70" xfId="4" applyNumberFormat="1" applyFont="1" applyFill="1" applyBorder="1" applyAlignment="1"/>
    <xf numFmtId="3" fontId="4" fillId="7" borderId="70" xfId="4" applyNumberFormat="1" applyFont="1" applyFill="1" applyBorder="1" applyAlignment="1">
      <alignment vertical="top"/>
    </xf>
    <xf numFmtId="3" fontId="14" fillId="0" borderId="2" xfId="4" applyNumberFormat="1" applyFont="1" applyFill="1" applyBorder="1" applyAlignment="1"/>
    <xf numFmtId="3" fontId="4" fillId="7" borderId="2" xfId="4" applyNumberFormat="1" applyFont="1" applyFill="1" applyBorder="1" applyAlignment="1"/>
    <xf numFmtId="3" fontId="9" fillId="7" borderId="2" xfId="4" applyNumberFormat="1" applyFont="1" applyFill="1" applyBorder="1" applyAlignment="1"/>
    <xf numFmtId="3" fontId="14" fillId="0" borderId="5" xfId="4" applyNumberFormat="1" applyFont="1" applyFill="1" applyBorder="1"/>
    <xf numFmtId="3" fontId="14" fillId="0" borderId="34" xfId="4" applyNumberFormat="1" applyFont="1" applyBorder="1"/>
    <xf numFmtId="3" fontId="14" fillId="0" borderId="37" xfId="4" applyNumberFormat="1" applyFont="1" applyBorder="1"/>
    <xf numFmtId="3" fontId="14" fillId="0" borderId="37" xfId="4" applyNumberFormat="1" applyFont="1" applyFill="1" applyBorder="1"/>
    <xf numFmtId="3" fontId="14" fillId="0" borderId="7" xfId="4" applyNumberFormat="1" applyFont="1" applyBorder="1"/>
    <xf numFmtId="3" fontId="14" fillId="0" borderId="8" xfId="4" applyNumberFormat="1" applyFont="1" applyFill="1" applyBorder="1"/>
    <xf numFmtId="3" fontId="14" fillId="0" borderId="50" xfId="4" applyNumberFormat="1" applyFont="1" applyBorder="1"/>
    <xf numFmtId="3" fontId="15" fillId="7" borderId="16" xfId="4" applyNumberFormat="1" applyFont="1" applyFill="1" applyBorder="1" applyAlignment="1"/>
    <xf numFmtId="3" fontId="14" fillId="0" borderId="40" xfId="4" applyNumberFormat="1" applyFont="1" applyBorder="1" applyAlignment="1">
      <alignment wrapText="1"/>
    </xf>
    <xf numFmtId="3" fontId="14" fillId="0" borderId="39" xfId="4" applyNumberFormat="1" applyFont="1" applyBorder="1"/>
    <xf numFmtId="3" fontId="14" fillId="0" borderId="34" xfId="4" applyNumberFormat="1" applyFont="1" applyBorder="1" applyAlignment="1">
      <alignment wrapText="1"/>
    </xf>
    <xf numFmtId="3" fontId="14" fillId="0" borderId="33" xfId="4" applyNumberFormat="1" applyFont="1" applyBorder="1"/>
    <xf numFmtId="3" fontId="14" fillId="0" borderId="7" xfId="4" applyNumberFormat="1" applyFont="1" applyBorder="1" applyAlignment="1">
      <alignment wrapText="1"/>
    </xf>
    <xf numFmtId="3" fontId="15" fillId="7" borderId="16" xfId="4" applyNumberFormat="1" applyFont="1" applyFill="1" applyBorder="1" applyAlignment="1">
      <alignment wrapText="1"/>
    </xf>
    <xf numFmtId="3" fontId="14" fillId="7" borderId="29" xfId="4" applyNumberFormat="1" applyFont="1" applyFill="1" applyBorder="1" applyAlignment="1">
      <alignment wrapText="1"/>
    </xf>
    <xf numFmtId="3" fontId="14" fillId="0" borderId="27" xfId="4" applyNumberFormat="1" applyFont="1" applyFill="1" applyBorder="1" applyAlignment="1">
      <alignment wrapText="1"/>
    </xf>
    <xf numFmtId="3" fontId="14" fillId="0" borderId="45" xfId="4" applyNumberFormat="1" applyFont="1" applyBorder="1"/>
    <xf numFmtId="3" fontId="14" fillId="0" borderId="41" xfId="4" applyNumberFormat="1" applyFont="1" applyFill="1" applyBorder="1" applyAlignment="1">
      <alignment wrapText="1"/>
    </xf>
    <xf numFmtId="3" fontId="14" fillId="0" borderId="72" xfId="4" applyNumberFormat="1" applyFont="1" applyBorder="1"/>
    <xf numFmtId="3" fontId="14" fillId="0" borderId="2" xfId="4" applyNumberFormat="1" applyFont="1" applyFill="1" applyBorder="1"/>
    <xf numFmtId="3" fontId="14" fillId="0" borderId="2" xfId="4" applyNumberFormat="1" applyFont="1" applyBorder="1" applyAlignment="1">
      <alignment wrapText="1"/>
    </xf>
    <xf numFmtId="3" fontId="14" fillId="0" borderId="69" xfId="4" applyNumberFormat="1" applyFont="1" applyBorder="1"/>
    <xf numFmtId="3" fontId="14" fillId="0" borderId="15" xfId="4" applyNumberFormat="1" applyFont="1" applyBorder="1" applyAlignment="1">
      <alignment vertical="center"/>
    </xf>
    <xf numFmtId="3" fontId="14" fillId="0" borderId="62" xfId="4" applyNumberFormat="1" applyFont="1" applyBorder="1" applyAlignment="1">
      <alignment vertical="center"/>
    </xf>
    <xf numFmtId="3" fontId="14" fillId="0" borderId="62" xfId="4" applyNumberFormat="1" applyFont="1" applyFill="1" applyBorder="1" applyAlignment="1">
      <alignment vertical="center"/>
    </xf>
    <xf numFmtId="3" fontId="14" fillId="0" borderId="62" xfId="4" applyNumberFormat="1" applyFont="1" applyBorder="1" applyAlignment="1">
      <alignment wrapText="1"/>
    </xf>
    <xf numFmtId="3" fontId="14" fillId="0" borderId="62" xfId="4" applyNumberFormat="1" applyFont="1" applyBorder="1"/>
    <xf numFmtId="3" fontId="14" fillId="0" borderId="17" xfId="4" applyNumberFormat="1" applyFont="1" applyBorder="1"/>
    <xf numFmtId="3" fontId="14" fillId="7" borderId="13" xfId="4" applyNumberFormat="1" applyFont="1" applyFill="1" applyBorder="1" applyAlignment="1">
      <alignment vertical="center" wrapText="1"/>
    </xf>
    <xf numFmtId="3" fontId="14" fillId="7" borderId="62" xfId="4" applyNumberFormat="1" applyFont="1" applyFill="1" applyBorder="1" applyAlignment="1">
      <alignment vertical="center" wrapText="1"/>
    </xf>
    <xf numFmtId="3" fontId="14" fillId="7" borderId="22" xfId="4" applyNumberFormat="1" applyFont="1" applyFill="1" applyBorder="1" applyAlignment="1">
      <alignment vertical="center" wrapText="1"/>
    </xf>
    <xf numFmtId="3" fontId="15" fillId="7" borderId="22" xfId="4" applyNumberFormat="1" applyFont="1" applyFill="1" applyBorder="1" applyAlignment="1">
      <alignment vertical="center" wrapText="1"/>
    </xf>
    <xf numFmtId="3" fontId="15" fillId="0" borderId="62" xfId="4" applyNumberFormat="1" applyFont="1" applyBorder="1" applyAlignment="1">
      <alignment vertical="center"/>
    </xf>
    <xf numFmtId="3" fontId="14" fillId="7" borderId="22" xfId="4" applyNumberFormat="1" applyFont="1" applyFill="1" applyBorder="1" applyAlignment="1">
      <alignment wrapText="1"/>
    </xf>
    <xf numFmtId="3" fontId="14" fillId="7" borderId="22" xfId="4" applyNumberFormat="1" applyFont="1" applyFill="1" applyBorder="1"/>
    <xf numFmtId="3" fontId="14" fillId="0" borderId="14" xfId="4" applyNumberFormat="1" applyFont="1" applyBorder="1"/>
    <xf numFmtId="3" fontId="14" fillId="7" borderId="10" xfId="4" applyNumberFormat="1" applyFont="1" applyFill="1" applyBorder="1" applyAlignment="1">
      <alignment vertical="center" wrapText="1"/>
    </xf>
    <xf numFmtId="3" fontId="14" fillId="7" borderId="45" xfId="4" applyNumberFormat="1" applyFont="1" applyFill="1" applyBorder="1" applyAlignment="1">
      <alignment vertical="center" wrapText="1"/>
    </xf>
    <xf numFmtId="3" fontId="15" fillId="7" borderId="45" xfId="4" applyNumberFormat="1" applyFont="1" applyFill="1" applyBorder="1" applyAlignment="1">
      <alignment vertical="center" wrapText="1"/>
    </xf>
    <xf numFmtId="3" fontId="15" fillId="0" borderId="45" xfId="4" applyNumberFormat="1" applyFont="1" applyFill="1" applyBorder="1" applyAlignment="1">
      <alignment vertical="center" wrapText="1"/>
    </xf>
    <xf numFmtId="3" fontId="15" fillId="0" borderId="45" xfId="4" applyNumberFormat="1" applyFont="1" applyBorder="1" applyAlignment="1">
      <alignment vertical="center"/>
    </xf>
    <xf numFmtId="3" fontId="14" fillId="7" borderId="55" xfId="4" applyNumberFormat="1" applyFont="1" applyFill="1" applyBorder="1"/>
    <xf numFmtId="3" fontId="14" fillId="0" borderId="24" xfId="4" applyNumberFormat="1" applyFont="1" applyBorder="1"/>
    <xf numFmtId="3" fontId="14" fillId="0" borderId="22" xfId="4" applyNumberFormat="1" applyFont="1" applyFill="1" applyBorder="1" applyAlignment="1">
      <alignment vertical="center" wrapText="1"/>
    </xf>
    <xf numFmtId="3" fontId="15" fillId="0" borderId="62" xfId="4" applyNumberFormat="1" applyFont="1" applyFill="1" applyBorder="1" applyAlignment="1">
      <alignment vertical="center"/>
    </xf>
    <xf numFmtId="3" fontId="14" fillId="0" borderId="22" xfId="4" applyNumberFormat="1" applyFont="1" applyFill="1" applyBorder="1" applyAlignment="1">
      <alignment wrapText="1"/>
    </xf>
    <xf numFmtId="3" fontId="14" fillId="0" borderId="22" xfId="4" applyNumberFormat="1" applyFont="1" applyFill="1" applyBorder="1"/>
    <xf numFmtId="3" fontId="14" fillId="0" borderId="62" xfId="4" applyNumberFormat="1" applyFont="1" applyFill="1" applyBorder="1"/>
    <xf numFmtId="3" fontId="14" fillId="0" borderId="14" xfId="4" applyNumberFormat="1" applyFont="1" applyFill="1" applyBorder="1"/>
    <xf numFmtId="3" fontId="15" fillId="0" borderId="17" xfId="4" applyNumberFormat="1" applyFont="1" applyFill="1" applyBorder="1" applyAlignment="1">
      <alignment vertical="center" wrapText="1"/>
    </xf>
    <xf numFmtId="3" fontId="15" fillId="7" borderId="72" xfId="4" applyNumberFormat="1" applyFont="1" applyFill="1" applyBorder="1" applyAlignment="1">
      <alignment vertical="center" wrapText="1"/>
    </xf>
    <xf numFmtId="3" fontId="15" fillId="7" borderId="42" xfId="4" applyNumberFormat="1" applyFont="1" applyFill="1" applyBorder="1" applyAlignment="1">
      <alignment vertical="center" wrapText="1"/>
    </xf>
    <xf numFmtId="3" fontId="15" fillId="7" borderId="15" xfId="4" applyNumberFormat="1" applyFont="1" applyFill="1" applyBorder="1" applyAlignment="1">
      <alignment vertical="center" wrapText="1"/>
    </xf>
    <xf numFmtId="3" fontId="15" fillId="7" borderId="62" xfId="4" applyNumberFormat="1" applyFont="1" applyFill="1" applyBorder="1" applyAlignment="1">
      <alignment vertical="center" wrapText="1"/>
    </xf>
    <xf numFmtId="3" fontId="14" fillId="7" borderId="62" xfId="4" applyNumberFormat="1" applyFont="1" applyFill="1" applyBorder="1"/>
    <xf numFmtId="3" fontId="14" fillId="7" borderId="72" xfId="4" applyNumberFormat="1" applyFont="1" applyFill="1" applyBorder="1" applyAlignment="1">
      <alignment wrapText="1"/>
    </xf>
    <xf numFmtId="3" fontId="14" fillId="7" borderId="16" xfId="4" applyNumberFormat="1" applyFont="1" applyFill="1" applyBorder="1" applyAlignment="1">
      <alignment wrapText="1"/>
    </xf>
    <xf numFmtId="3" fontId="15" fillId="0" borderId="16" xfId="4" applyNumberFormat="1" applyFont="1" applyFill="1" applyBorder="1" applyAlignment="1">
      <alignment wrapText="1"/>
    </xf>
    <xf numFmtId="3" fontId="15" fillId="0" borderId="62" xfId="4" applyNumberFormat="1" applyFont="1" applyFill="1" applyBorder="1" applyAlignment="1">
      <alignment wrapText="1"/>
    </xf>
    <xf numFmtId="3" fontId="14" fillId="7" borderId="27" xfId="4" applyNumberFormat="1" applyFont="1" applyFill="1" applyBorder="1" applyAlignment="1">
      <alignment wrapText="1"/>
    </xf>
    <xf numFmtId="3" fontId="14" fillId="7" borderId="41" xfId="4" applyNumberFormat="1" applyFont="1" applyFill="1" applyBorder="1" applyAlignment="1">
      <alignment wrapText="1"/>
    </xf>
    <xf numFmtId="3" fontId="14" fillId="7" borderId="36" xfId="4" applyNumberFormat="1" applyFont="1" applyFill="1" applyBorder="1" applyAlignment="1">
      <alignment wrapText="1"/>
    </xf>
    <xf numFmtId="3" fontId="14" fillId="7" borderId="56" xfId="4" applyNumberFormat="1" applyFont="1" applyFill="1" applyBorder="1"/>
    <xf numFmtId="3" fontId="14" fillId="0" borderId="45" xfId="4" applyNumberFormat="1" applyFont="1" applyFill="1" applyBorder="1"/>
    <xf numFmtId="3" fontId="14" fillId="7" borderId="42" xfId="4" applyNumberFormat="1" applyFont="1" applyFill="1" applyBorder="1" applyAlignment="1">
      <alignment wrapText="1"/>
    </xf>
    <xf numFmtId="3" fontId="14" fillId="0" borderId="45" xfId="4" applyNumberFormat="1" applyFont="1" applyFill="1" applyBorder="1" applyAlignment="1">
      <alignment vertical="top"/>
    </xf>
    <xf numFmtId="3" fontId="14" fillId="7" borderId="44" xfId="4" applyNumberFormat="1" applyFont="1" applyFill="1" applyBorder="1" applyAlignment="1">
      <alignment wrapText="1"/>
    </xf>
    <xf numFmtId="3" fontId="14" fillId="0" borderId="45" xfId="4" applyNumberFormat="1" applyFont="1" applyFill="1" applyBorder="1" applyAlignment="1">
      <alignment wrapText="1"/>
    </xf>
    <xf numFmtId="3" fontId="14" fillId="0" borderId="8" xfId="4" applyNumberFormat="1" applyFont="1" applyFill="1" applyBorder="1" applyAlignment="1">
      <alignment vertical="top"/>
    </xf>
    <xf numFmtId="3" fontId="14" fillId="7" borderId="15" xfId="4" applyNumberFormat="1" applyFont="1" applyFill="1" applyBorder="1" applyAlignment="1">
      <alignment wrapText="1"/>
    </xf>
    <xf numFmtId="3" fontId="15" fillId="7" borderId="2" xfId="4" applyNumberFormat="1" applyFont="1" applyFill="1" applyBorder="1" applyAlignment="1">
      <alignment wrapText="1"/>
    </xf>
    <xf numFmtId="3" fontId="15" fillId="7" borderId="69" xfId="4" applyNumberFormat="1" applyFont="1" applyFill="1" applyBorder="1" applyAlignment="1">
      <alignment wrapText="1"/>
    </xf>
    <xf numFmtId="3" fontId="15" fillId="7" borderId="42" xfId="4" applyNumberFormat="1" applyFont="1" applyFill="1" applyBorder="1" applyAlignment="1">
      <alignment wrapText="1"/>
    </xf>
    <xf numFmtId="3" fontId="15" fillId="7" borderId="5" xfId="4" applyNumberFormat="1" applyFont="1" applyFill="1" applyBorder="1" applyAlignment="1">
      <alignment wrapText="1"/>
    </xf>
    <xf numFmtId="3" fontId="15" fillId="7" borderId="68" xfId="4" applyNumberFormat="1" applyFont="1" applyFill="1" applyBorder="1" applyAlignment="1">
      <alignment wrapText="1"/>
    </xf>
    <xf numFmtId="3" fontId="14" fillId="7" borderId="30" xfId="4" applyNumberFormat="1" applyFont="1" applyFill="1" applyBorder="1" applyAlignment="1">
      <alignment wrapText="1"/>
    </xf>
    <xf numFmtId="3" fontId="14" fillId="0" borderId="62" xfId="4" applyNumberFormat="1" applyFont="1" applyFill="1" applyBorder="1" applyAlignment="1">
      <alignment vertical="top"/>
    </xf>
    <xf numFmtId="3" fontId="15" fillId="7" borderId="12" xfId="4" applyNumberFormat="1" applyFont="1" applyFill="1" applyBorder="1" applyAlignment="1">
      <alignment wrapText="1"/>
    </xf>
    <xf numFmtId="3" fontId="14" fillId="0" borderId="53" xfId="4" applyNumberFormat="1" applyFont="1" applyFill="1" applyBorder="1" applyAlignment="1">
      <alignment vertical="top"/>
    </xf>
    <xf numFmtId="3" fontId="14" fillId="0" borderId="37" xfId="4" applyNumberFormat="1" applyFont="1" applyFill="1" applyBorder="1" applyAlignment="1">
      <alignment vertical="top"/>
    </xf>
    <xf numFmtId="3" fontId="14" fillId="7" borderId="53" xfId="4" applyNumberFormat="1" applyFont="1" applyFill="1" applyBorder="1" applyAlignment="1">
      <alignment wrapText="1"/>
    </xf>
    <xf numFmtId="3" fontId="14" fillId="7" borderId="37" xfId="4" applyNumberFormat="1" applyFont="1" applyFill="1" applyBorder="1"/>
    <xf numFmtId="3" fontId="14" fillId="7" borderId="72" xfId="4" applyNumberFormat="1" applyFont="1" applyFill="1" applyBorder="1"/>
    <xf numFmtId="3" fontId="14" fillId="7" borderId="59" xfId="4" applyNumberFormat="1" applyFont="1" applyFill="1" applyBorder="1" applyAlignment="1">
      <alignment wrapText="1"/>
    </xf>
    <xf numFmtId="3" fontId="14" fillId="0" borderId="22" xfId="4" applyNumberFormat="1" applyFont="1" applyBorder="1"/>
    <xf numFmtId="3" fontId="15" fillId="7" borderId="19" xfId="4" applyNumberFormat="1" applyFont="1" applyFill="1" applyBorder="1" applyAlignment="1">
      <alignment wrapText="1"/>
    </xf>
    <xf numFmtId="3" fontId="14" fillId="0" borderId="56" xfId="4" applyNumberFormat="1" applyFont="1" applyFill="1" applyBorder="1"/>
    <xf numFmtId="3" fontId="14" fillId="0" borderId="68" xfId="4" applyNumberFormat="1" applyFont="1" applyFill="1" applyBorder="1"/>
    <xf numFmtId="3" fontId="15" fillId="7" borderId="16" xfId="4" applyNumberFormat="1" applyFont="1" applyFill="1" applyBorder="1" applyAlignment="1">
      <alignment vertical="center" wrapText="1"/>
    </xf>
    <xf numFmtId="3" fontId="15" fillId="7" borderId="14" xfId="4" applyNumberFormat="1" applyFont="1" applyFill="1" applyBorder="1" applyAlignment="1">
      <alignment vertical="center" wrapText="1"/>
    </xf>
    <xf numFmtId="3" fontId="14" fillId="7" borderId="2" xfId="4" applyNumberFormat="1" applyFont="1" applyFill="1" applyBorder="1" applyAlignment="1">
      <alignment vertical="center" wrapText="1"/>
    </xf>
    <xf numFmtId="3" fontId="14" fillId="7" borderId="5" xfId="4" applyNumberFormat="1" applyFont="1" applyFill="1" applyBorder="1" applyAlignment="1">
      <alignment vertical="center" wrapText="1"/>
    </xf>
    <xf numFmtId="3" fontId="14" fillId="0" borderId="45" xfId="4" applyNumberFormat="1" applyFont="1" applyFill="1" applyBorder="1" applyAlignment="1">
      <alignment vertical="center" wrapText="1"/>
    </xf>
    <xf numFmtId="3" fontId="14" fillId="0" borderId="55" xfId="4" applyNumberFormat="1" applyFont="1" applyFill="1" applyBorder="1" applyAlignment="1">
      <alignment vertical="top"/>
    </xf>
    <xf numFmtId="3" fontId="14" fillId="0" borderId="45" xfId="4" applyNumberFormat="1" applyFont="1" applyFill="1" applyBorder="1" applyAlignment="1"/>
    <xf numFmtId="3" fontId="14" fillId="7" borderId="0" xfId="4" applyNumberFormat="1" applyFont="1" applyFill="1" applyBorder="1" applyAlignment="1">
      <alignment wrapText="1"/>
    </xf>
    <xf numFmtId="3" fontId="14" fillId="0" borderId="5" xfId="4" applyNumberFormat="1" applyFont="1" applyFill="1" applyBorder="1" applyAlignment="1"/>
    <xf numFmtId="3" fontId="14" fillId="7" borderId="52" xfId="4" applyNumberFormat="1" applyFont="1" applyFill="1" applyBorder="1" applyAlignment="1">
      <alignment wrapText="1"/>
    </xf>
    <xf numFmtId="3" fontId="14" fillId="0" borderId="62" xfId="4" applyNumberFormat="1" applyFont="1" applyFill="1" applyBorder="1" applyAlignment="1"/>
    <xf numFmtId="3" fontId="15" fillId="7" borderId="63" xfId="4" applyNumberFormat="1" applyFont="1" applyFill="1" applyBorder="1" applyAlignment="1">
      <alignment wrapText="1"/>
    </xf>
    <xf numFmtId="3" fontId="15" fillId="7" borderId="15" xfId="4" applyNumberFormat="1" applyFont="1" applyFill="1" applyBorder="1" applyAlignment="1">
      <alignment wrapText="1"/>
    </xf>
    <xf numFmtId="3" fontId="15" fillId="7" borderId="62" xfId="4" applyNumberFormat="1" applyFont="1" applyFill="1" applyBorder="1" applyAlignment="1">
      <alignment wrapText="1"/>
    </xf>
    <xf numFmtId="3" fontId="15" fillId="7" borderId="17" xfId="4" applyNumberFormat="1" applyFont="1" applyFill="1" applyBorder="1" applyAlignment="1">
      <alignment wrapText="1"/>
    </xf>
    <xf numFmtId="3" fontId="15" fillId="0" borderId="13" xfId="4" applyNumberFormat="1" applyFont="1" applyBorder="1" applyAlignment="1">
      <alignment wrapText="1"/>
    </xf>
    <xf numFmtId="3" fontId="15" fillId="0" borderId="22" xfId="4" applyNumberFormat="1" applyFont="1" applyBorder="1" applyAlignment="1">
      <alignment wrapText="1"/>
    </xf>
    <xf numFmtId="3" fontId="15" fillId="0" borderId="14" xfId="4" applyNumberFormat="1" applyFont="1" applyBorder="1" applyAlignment="1">
      <alignment wrapText="1"/>
    </xf>
    <xf numFmtId="3" fontId="14" fillId="0" borderId="72" xfId="4" applyNumberFormat="1" applyFont="1" applyBorder="1" applyAlignment="1">
      <alignment wrapText="1"/>
    </xf>
    <xf numFmtId="3" fontId="15" fillId="0" borderId="2" xfId="4" applyNumberFormat="1" applyFont="1" applyBorder="1" applyAlignment="1">
      <alignment wrapText="1"/>
    </xf>
    <xf numFmtId="3" fontId="14" fillId="0" borderId="44" xfId="4" applyNumberFormat="1" applyFont="1" applyBorder="1" applyAlignment="1">
      <alignment wrapText="1"/>
    </xf>
    <xf numFmtId="3" fontId="14" fillId="0" borderId="45" xfId="4" applyNumberFormat="1" applyFont="1" applyBorder="1" applyAlignment="1">
      <alignment wrapText="1"/>
    </xf>
    <xf numFmtId="3" fontId="14" fillId="0" borderId="42" xfId="4" applyNumberFormat="1" applyFont="1" applyBorder="1" applyAlignment="1">
      <alignment wrapText="1"/>
    </xf>
    <xf numFmtId="3" fontId="14" fillId="0" borderId="53" xfId="4" applyNumberFormat="1" applyFont="1" applyBorder="1"/>
    <xf numFmtId="3" fontId="4" fillId="0" borderId="45" xfId="4" applyNumberFormat="1" applyFont="1" applyFill="1" applyBorder="1" applyAlignment="1">
      <alignment vertical="top"/>
    </xf>
    <xf numFmtId="3" fontId="4" fillId="0" borderId="37" xfId="4" applyNumberFormat="1" applyFont="1" applyFill="1" applyBorder="1" applyAlignment="1">
      <alignment vertical="top"/>
    </xf>
    <xf numFmtId="3" fontId="14" fillId="7" borderId="36" xfId="4" applyNumberFormat="1" applyFont="1" applyFill="1" applyBorder="1"/>
    <xf numFmtId="3" fontId="14" fillId="7" borderId="42" xfId="4" applyNumberFormat="1" applyFont="1" applyFill="1" applyBorder="1"/>
    <xf numFmtId="3" fontId="14" fillId="0" borderId="58" xfId="4" applyNumberFormat="1" applyFont="1" applyBorder="1"/>
    <xf numFmtId="3" fontId="15" fillId="0" borderId="13" xfId="4" applyNumberFormat="1" applyFont="1" applyBorder="1"/>
    <xf numFmtId="3" fontId="15" fillId="0" borderId="22" xfId="4" applyNumberFormat="1" applyFont="1" applyBorder="1"/>
    <xf numFmtId="3" fontId="15" fillId="0" borderId="22" xfId="4" applyNumberFormat="1" applyFont="1" applyFill="1" applyBorder="1"/>
    <xf numFmtId="3" fontId="15" fillId="0" borderId="14" xfId="4" applyNumberFormat="1" applyFont="1" applyBorder="1"/>
    <xf numFmtId="3" fontId="14" fillId="0" borderId="11" xfId="4" applyNumberFormat="1" applyFont="1" applyBorder="1" applyAlignment="1">
      <alignment wrapText="1"/>
    </xf>
    <xf numFmtId="3" fontId="14" fillId="0" borderId="55" xfId="4" applyNumberFormat="1" applyFont="1" applyBorder="1" applyAlignment="1">
      <alignment wrapText="1"/>
    </xf>
    <xf numFmtId="3" fontId="14" fillId="0" borderId="41" xfId="4" applyNumberFormat="1" applyFont="1" applyBorder="1" applyAlignment="1">
      <alignment wrapText="1"/>
    </xf>
    <xf numFmtId="3" fontId="15" fillId="0" borderId="13" xfId="4" applyNumberFormat="1" applyFont="1" applyFill="1" applyBorder="1"/>
    <xf numFmtId="3" fontId="15" fillId="0" borderId="14" xfId="4" applyNumberFormat="1" applyFont="1" applyFill="1" applyBorder="1"/>
    <xf numFmtId="3" fontId="14" fillId="0" borderId="55" xfId="4" applyNumberFormat="1" applyFont="1" applyBorder="1"/>
    <xf numFmtId="3" fontId="14" fillId="0" borderId="30" xfId="4" applyNumberFormat="1" applyFont="1" applyBorder="1"/>
    <xf numFmtId="3" fontId="14" fillId="0" borderId="36" xfId="4" applyNumberFormat="1" applyFont="1" applyBorder="1"/>
    <xf numFmtId="3" fontId="14" fillId="0" borderId="42" xfId="4" applyNumberFormat="1" applyFont="1" applyBorder="1"/>
    <xf numFmtId="3" fontId="14" fillId="0" borderId="35" xfId="4" applyNumberFormat="1" applyFont="1" applyBorder="1"/>
    <xf numFmtId="3" fontId="14" fillId="7" borderId="72" xfId="4" applyNumberFormat="1" applyFont="1" applyFill="1" applyBorder="1" applyAlignment="1">
      <alignment vertical="center" wrapText="1"/>
    </xf>
    <xf numFmtId="3" fontId="14" fillId="7" borderId="30" xfId="4" applyNumberFormat="1" applyFont="1" applyFill="1" applyBorder="1" applyAlignment="1">
      <alignment vertical="center" wrapText="1"/>
    </xf>
    <xf numFmtId="3" fontId="15" fillId="0" borderId="56" xfId="4" applyNumberFormat="1" applyFont="1" applyFill="1" applyBorder="1" applyAlignment="1">
      <alignment vertical="center" wrapText="1"/>
    </xf>
    <xf numFmtId="3" fontId="14" fillId="7" borderId="15" xfId="4" applyNumberFormat="1" applyFont="1" applyFill="1" applyBorder="1" applyAlignment="1">
      <alignment vertical="center" wrapText="1"/>
    </xf>
    <xf numFmtId="3" fontId="15" fillId="7" borderId="17" xfId="4" applyNumberFormat="1" applyFont="1" applyFill="1" applyBorder="1" applyAlignment="1">
      <alignment vertical="center" wrapText="1"/>
    </xf>
    <xf numFmtId="3" fontId="14" fillId="0" borderId="2" xfId="4" applyNumberFormat="1" applyFont="1" applyBorder="1" applyAlignment="1">
      <alignment vertical="center"/>
    </xf>
    <xf numFmtId="3" fontId="14" fillId="7" borderId="42" xfId="4" applyNumberFormat="1" applyFont="1" applyFill="1" applyBorder="1" applyAlignment="1">
      <alignment vertical="center" wrapText="1"/>
    </xf>
    <xf numFmtId="3" fontId="14" fillId="0" borderId="5" xfId="4" applyNumberFormat="1" applyFont="1" applyBorder="1" applyAlignment="1">
      <alignment vertical="center"/>
    </xf>
    <xf numFmtId="3" fontId="15" fillId="0" borderId="13" xfId="4" applyNumberFormat="1" applyFont="1" applyFill="1" applyBorder="1" applyAlignment="1">
      <alignment vertical="center"/>
    </xf>
    <xf numFmtId="3" fontId="15" fillId="0" borderId="22" xfId="4" applyNumberFormat="1" applyFont="1" applyFill="1" applyBorder="1" applyAlignment="1">
      <alignment vertical="center"/>
    </xf>
    <xf numFmtId="3" fontId="15" fillId="0" borderId="14" xfId="4" applyNumberFormat="1" applyFont="1" applyFill="1" applyBorder="1" applyAlignment="1">
      <alignment vertical="center"/>
    </xf>
    <xf numFmtId="3" fontId="14" fillId="0" borderId="2" xfId="4" applyNumberFormat="1" applyFont="1" applyFill="1" applyBorder="1" applyAlignment="1">
      <alignment vertical="center"/>
    </xf>
    <xf numFmtId="3" fontId="14" fillId="0" borderId="5" xfId="4" applyNumberFormat="1" applyFont="1" applyFill="1" applyBorder="1" applyAlignment="1">
      <alignment vertical="center"/>
    </xf>
    <xf numFmtId="3" fontId="15" fillId="7" borderId="53" xfId="4" applyNumberFormat="1" applyFont="1" applyFill="1" applyBorder="1" applyAlignment="1">
      <alignment vertical="center" wrapText="1"/>
    </xf>
    <xf numFmtId="3" fontId="14" fillId="0" borderId="8" xfId="4" applyNumberFormat="1" applyFont="1" applyFill="1" applyBorder="1" applyAlignment="1">
      <alignment vertical="center"/>
    </xf>
    <xf numFmtId="3" fontId="15" fillId="7" borderId="30" xfId="4" applyNumberFormat="1" applyFont="1" applyFill="1" applyBorder="1" applyAlignment="1">
      <alignment vertical="center" wrapText="1"/>
    </xf>
    <xf numFmtId="3" fontId="15" fillId="7" borderId="44" xfId="4" applyNumberFormat="1" applyFont="1" applyFill="1" applyBorder="1" applyAlignment="1">
      <alignment vertical="center" wrapText="1"/>
    </xf>
    <xf numFmtId="3" fontId="14" fillId="0" borderId="61" xfId="4" applyNumberFormat="1" applyFont="1" applyBorder="1"/>
    <xf numFmtId="3" fontId="15" fillId="7" borderId="36" xfId="4" applyNumberFormat="1" applyFont="1" applyFill="1" applyBorder="1" applyAlignment="1">
      <alignment vertical="center" wrapText="1"/>
    </xf>
    <xf numFmtId="3" fontId="14" fillId="0" borderId="37" xfId="4" applyNumberFormat="1" applyFont="1" applyFill="1" applyBorder="1" applyAlignment="1">
      <alignment vertical="center"/>
    </xf>
    <xf numFmtId="3" fontId="15" fillId="0" borderId="63" xfId="4" applyNumberFormat="1" applyFont="1" applyFill="1" applyBorder="1" applyAlignment="1">
      <alignment wrapText="1"/>
    </xf>
    <xf numFmtId="3" fontId="15" fillId="0" borderId="17" xfId="4" applyNumberFormat="1" applyFont="1" applyFill="1" applyBorder="1" applyAlignment="1">
      <alignment wrapText="1"/>
    </xf>
    <xf numFmtId="3" fontId="14" fillId="0" borderId="15" xfId="4" applyNumberFormat="1" applyFont="1" applyBorder="1"/>
    <xf numFmtId="3" fontId="14" fillId="0" borderId="72" xfId="4" applyNumberFormat="1" applyFont="1" applyFill="1" applyBorder="1" applyAlignment="1">
      <alignment wrapText="1"/>
    </xf>
    <xf numFmtId="3" fontId="15" fillId="0" borderId="62" xfId="4" applyNumberFormat="1" applyFont="1" applyBorder="1" applyAlignment="1">
      <alignment wrapText="1"/>
    </xf>
    <xf numFmtId="3" fontId="15" fillId="7" borderId="55" xfId="4" applyNumberFormat="1" applyFont="1" applyFill="1" applyBorder="1" applyAlignment="1">
      <alignment vertical="center" wrapText="1"/>
    </xf>
    <xf numFmtId="3" fontId="14" fillId="7" borderId="55" xfId="4" applyNumberFormat="1" applyFont="1" applyFill="1" applyBorder="1" applyAlignment="1">
      <alignment wrapText="1"/>
    </xf>
    <xf numFmtId="3" fontId="15" fillId="0" borderId="62" xfId="4" applyNumberFormat="1" applyFont="1" applyBorder="1"/>
    <xf numFmtId="3" fontId="15" fillId="0" borderId="17" xfId="4" applyNumberFormat="1" applyFont="1" applyBorder="1"/>
    <xf numFmtId="0" fontId="14" fillId="0" borderId="3" xfId="4" applyFont="1" applyFill="1" applyBorder="1" applyAlignment="1">
      <alignment horizontal="left" vertical="center" wrapText="1"/>
    </xf>
    <xf numFmtId="3" fontId="15" fillId="7" borderId="10" xfId="4" applyNumberFormat="1" applyFont="1" applyFill="1" applyBorder="1" applyAlignment="1">
      <alignment wrapText="1"/>
    </xf>
    <xf numFmtId="3" fontId="15" fillId="7" borderId="55" xfId="4" applyNumberFormat="1" applyFont="1" applyFill="1" applyBorder="1" applyAlignment="1">
      <alignment wrapText="1"/>
    </xf>
    <xf numFmtId="3" fontId="15" fillId="0" borderId="55" xfId="4" applyNumberFormat="1" applyFont="1" applyFill="1" applyBorder="1" applyAlignment="1">
      <alignment wrapText="1"/>
    </xf>
    <xf numFmtId="3" fontId="15" fillId="7" borderId="55" xfId="4" applyNumberFormat="1" applyFont="1" applyFill="1" applyBorder="1"/>
    <xf numFmtId="3" fontId="15" fillId="0" borderId="55" xfId="4" applyNumberFormat="1" applyFont="1" applyBorder="1"/>
    <xf numFmtId="3" fontId="15" fillId="0" borderId="24" xfId="4" applyNumberFormat="1" applyFont="1" applyBorder="1"/>
    <xf numFmtId="0" fontId="14" fillId="7" borderId="17" xfId="4" applyFont="1" applyFill="1" applyBorder="1" applyAlignment="1">
      <alignment vertical="top" wrapText="1"/>
    </xf>
    <xf numFmtId="0" fontId="14" fillId="7" borderId="4" xfId="4" applyFont="1" applyFill="1" applyBorder="1" applyAlignment="1">
      <alignment horizontal="right" vertical="center" wrapText="1"/>
    </xf>
    <xf numFmtId="0" fontId="14" fillId="7" borderId="41" xfId="4" applyFont="1" applyFill="1" applyBorder="1" applyAlignment="1">
      <alignment vertical="top" wrapText="1"/>
    </xf>
    <xf numFmtId="3" fontId="15" fillId="0" borderId="5" xfId="4" applyNumberFormat="1" applyFont="1" applyFill="1" applyBorder="1" applyAlignment="1">
      <alignment vertical="center"/>
    </xf>
    <xf numFmtId="3" fontId="15" fillId="7" borderId="5" xfId="4" applyNumberFormat="1" applyFont="1" applyFill="1" applyBorder="1"/>
    <xf numFmtId="3" fontId="15" fillId="0" borderId="5" xfId="4" applyNumberFormat="1" applyFont="1" applyBorder="1"/>
    <xf numFmtId="3" fontId="15" fillId="0" borderId="68" xfId="4" applyNumberFormat="1" applyFont="1" applyBorder="1"/>
    <xf numFmtId="0" fontId="14" fillId="0" borderId="4" xfId="4" applyFont="1" applyFill="1" applyBorder="1" applyAlignment="1">
      <alignment horizontal="right" vertical="top" wrapText="1"/>
    </xf>
    <xf numFmtId="0" fontId="14" fillId="7" borderId="41" xfId="4" applyFont="1" applyFill="1" applyBorder="1" applyAlignment="1">
      <alignment horizontal="left" vertical="top" wrapText="1"/>
    </xf>
    <xf numFmtId="0" fontId="14" fillId="7" borderId="39" xfId="4" applyFont="1" applyFill="1" applyBorder="1" applyAlignment="1">
      <alignment horizontal="left" vertical="top" wrapText="1"/>
    </xf>
    <xf numFmtId="0" fontId="14" fillId="7" borderId="6" xfId="4" applyFont="1" applyFill="1" applyBorder="1" applyAlignment="1">
      <alignment vertical="top" wrapText="1"/>
    </xf>
    <xf numFmtId="3" fontId="15" fillId="0" borderId="5" xfId="4" applyNumberFormat="1" applyFont="1" applyFill="1" applyBorder="1" applyAlignment="1"/>
    <xf numFmtId="2" fontId="14" fillId="0" borderId="4" xfId="4" applyNumberFormat="1" applyFont="1" applyFill="1" applyBorder="1" applyAlignment="1">
      <alignment horizontal="right" vertical="top" wrapText="1"/>
    </xf>
    <xf numFmtId="0" fontId="14" fillId="7" borderId="6" xfId="4" applyFont="1" applyFill="1" applyBorder="1" applyAlignment="1">
      <alignment horizontal="left" vertical="top" wrapText="1"/>
    </xf>
    <xf numFmtId="3" fontId="15" fillId="7" borderId="41" xfId="4" applyNumberFormat="1" applyFont="1" applyFill="1" applyBorder="1" applyAlignment="1">
      <alignment vertical="center" wrapText="1"/>
    </xf>
    <xf numFmtId="0" fontId="14" fillId="7" borderId="68" xfId="4" applyFont="1" applyFill="1" applyBorder="1" applyAlignment="1">
      <alignment vertical="top" wrapText="1"/>
    </xf>
    <xf numFmtId="0" fontId="14" fillId="7" borderId="4" xfId="4" applyFont="1" applyFill="1" applyBorder="1" applyAlignment="1">
      <alignment horizontal="right" vertical="top" wrapText="1"/>
    </xf>
    <xf numFmtId="0" fontId="14" fillId="7" borderId="68" xfId="4" applyFont="1" applyFill="1" applyBorder="1" applyAlignment="1">
      <alignment horizontal="left" vertical="center" wrapText="1"/>
    </xf>
    <xf numFmtId="0" fontId="14" fillId="7" borderId="68" xfId="4" quotePrefix="1" applyFont="1" applyFill="1" applyBorder="1" applyAlignment="1">
      <alignment vertical="center" wrapText="1"/>
    </xf>
    <xf numFmtId="3" fontId="15" fillId="0" borderId="41" xfId="4" applyNumberFormat="1" applyFont="1" applyBorder="1" applyAlignment="1">
      <alignment vertical="center" wrapText="1"/>
    </xf>
    <xf numFmtId="0" fontId="14" fillId="7" borderId="68" xfId="16" applyFont="1" applyFill="1" applyBorder="1" applyAlignment="1">
      <alignment horizontal="left" vertical="top" wrapText="1"/>
    </xf>
    <xf numFmtId="2" fontId="14" fillId="0" borderId="42" xfId="4" applyNumberFormat="1" applyFont="1" applyFill="1" applyBorder="1" applyAlignment="1">
      <alignment horizontal="right" vertical="top" wrapText="1"/>
    </xf>
    <xf numFmtId="0" fontId="14" fillId="7" borderId="6" xfId="16" quotePrefix="1" applyFont="1" applyFill="1" applyBorder="1" applyAlignment="1">
      <alignment horizontal="left" vertical="top" wrapText="1"/>
    </xf>
    <xf numFmtId="0" fontId="14" fillId="7" borderId="68" xfId="16" quotePrefix="1" applyFont="1" applyFill="1" applyBorder="1" applyAlignment="1">
      <alignment horizontal="left" vertical="top" wrapText="1"/>
    </xf>
    <xf numFmtId="3" fontId="15" fillId="0" borderId="42" xfId="4" applyNumberFormat="1" applyFont="1" applyBorder="1" applyAlignment="1">
      <alignment vertical="center" wrapText="1"/>
    </xf>
    <xf numFmtId="0" fontId="14" fillId="7" borderId="42" xfId="4" applyFont="1" applyFill="1" applyBorder="1" applyAlignment="1">
      <alignment horizontal="right" vertical="top" wrapText="1"/>
    </xf>
    <xf numFmtId="0" fontId="14" fillId="7" borderId="24" xfId="4" applyFont="1" applyFill="1" applyBorder="1" applyAlignment="1">
      <alignment vertical="top" wrapText="1"/>
    </xf>
    <xf numFmtId="3" fontId="15" fillId="7" borderId="10" xfId="4" applyNumberFormat="1" applyFont="1" applyFill="1" applyBorder="1" applyAlignment="1">
      <alignment vertical="center" wrapText="1"/>
    </xf>
    <xf numFmtId="3" fontId="15" fillId="0" borderId="55" xfId="4" applyNumberFormat="1" applyFont="1" applyFill="1" applyBorder="1" applyAlignment="1">
      <alignment vertical="center"/>
    </xf>
    <xf numFmtId="0" fontId="14" fillId="7" borderId="20" xfId="4" applyFont="1" applyFill="1" applyBorder="1" applyAlignment="1">
      <alignment horizontal="right" vertical="top" wrapText="1"/>
    </xf>
    <xf numFmtId="0" fontId="14" fillId="7" borderId="21" xfId="4" applyFont="1" applyFill="1" applyBorder="1" applyAlignment="1">
      <alignment horizontal="left" vertical="center" wrapText="1"/>
    </xf>
    <xf numFmtId="0" fontId="14" fillId="7" borderId="4" xfId="4" applyFont="1" applyFill="1" applyBorder="1" applyAlignment="1">
      <alignment horizontal="right" wrapText="1"/>
    </xf>
    <xf numFmtId="3" fontId="15" fillId="0" borderId="5" xfId="4" applyNumberFormat="1" applyFont="1" applyFill="1" applyBorder="1" applyAlignment="1">
      <alignment vertical="top"/>
    </xf>
    <xf numFmtId="0" fontId="14" fillId="7" borderId="6" xfId="4" applyFont="1" applyFill="1" applyBorder="1" applyAlignment="1">
      <alignment horizontal="left" vertical="center" wrapText="1"/>
    </xf>
    <xf numFmtId="3" fontId="15" fillId="7" borderId="68" xfId="4" applyNumberFormat="1" applyFont="1" applyFill="1" applyBorder="1" applyAlignment="1">
      <alignment vertical="center" wrapText="1"/>
    </xf>
    <xf numFmtId="3" fontId="14" fillId="7" borderId="41" xfId="4" applyNumberFormat="1" applyFont="1" applyFill="1" applyBorder="1" applyAlignment="1">
      <alignment vertical="center" wrapText="1"/>
    </xf>
    <xf numFmtId="3" fontId="15" fillId="7" borderId="6" xfId="4" applyNumberFormat="1" applyFont="1" applyFill="1" applyBorder="1" applyAlignment="1">
      <alignment wrapText="1"/>
    </xf>
    <xf numFmtId="0" fontId="14" fillId="0" borderId="4" xfId="4" applyFont="1" applyBorder="1" applyAlignment="1">
      <alignment horizontal="right" vertical="top" wrapText="1"/>
    </xf>
    <xf numFmtId="0" fontId="14" fillId="7" borderId="39" xfId="4" applyFont="1" applyFill="1" applyBorder="1" applyAlignment="1">
      <alignment horizontal="left" vertical="center" wrapText="1"/>
    </xf>
    <xf numFmtId="0" fontId="14" fillId="7" borderId="77" xfId="4" applyFont="1" applyFill="1" applyBorder="1" applyAlignment="1">
      <alignment horizontal="right" vertical="top" wrapText="1"/>
    </xf>
    <xf numFmtId="0" fontId="14" fillId="7" borderId="54" xfId="16" applyFont="1" applyFill="1" applyBorder="1" applyAlignment="1">
      <alignment vertical="top" wrapText="1"/>
    </xf>
    <xf numFmtId="3" fontId="15" fillId="7" borderId="53" xfId="4" applyNumberFormat="1" applyFont="1" applyFill="1" applyBorder="1" applyAlignment="1">
      <alignment horizontal="right" vertical="center" wrapText="1"/>
    </xf>
    <xf numFmtId="3" fontId="15" fillId="7" borderId="8" xfId="4" applyNumberFormat="1" applyFont="1" applyFill="1" applyBorder="1" applyAlignment="1">
      <alignment horizontal="right" vertical="center" wrapText="1"/>
    </xf>
    <xf numFmtId="3" fontId="15" fillId="0" borderId="8" xfId="4" applyNumberFormat="1" applyFont="1" applyFill="1" applyBorder="1" applyAlignment="1">
      <alignment horizontal="right" vertical="center" wrapText="1"/>
    </xf>
    <xf numFmtId="3" fontId="15" fillId="0" borderId="8" xfId="4" applyNumberFormat="1" applyFont="1" applyBorder="1" applyAlignment="1">
      <alignment horizontal="right" vertical="center"/>
    </xf>
    <xf numFmtId="3" fontId="15" fillId="0" borderId="6" xfId="4" applyNumberFormat="1" applyFont="1" applyBorder="1" applyAlignment="1">
      <alignment wrapText="1"/>
    </xf>
    <xf numFmtId="0" fontId="14" fillId="0" borderId="17" xfId="4" applyFont="1" applyBorder="1" applyAlignment="1">
      <alignment vertical="center" wrapText="1"/>
    </xf>
    <xf numFmtId="0" fontId="14" fillId="0" borderId="0" xfId="0" applyFont="1" applyBorder="1" applyAlignment="1">
      <alignment horizontal="center" vertical="center" wrapText="1"/>
    </xf>
    <xf numFmtId="3" fontId="6" fillId="0" borderId="0" xfId="3" applyNumberFormat="1" applyFont="1" applyAlignment="1">
      <alignment horizontal="left"/>
    </xf>
    <xf numFmtId="3" fontId="14" fillId="0" borderId="55" xfId="3" applyNumberFormat="1" applyFont="1" applyFill="1" applyBorder="1" applyAlignment="1">
      <alignment horizontal="center" vertical="center" wrapText="1"/>
    </xf>
    <xf numFmtId="3" fontId="14" fillId="0" borderId="24" xfId="3" applyNumberFormat="1" applyFont="1" applyFill="1" applyBorder="1" applyAlignment="1">
      <alignment horizontal="center" vertical="center" wrapText="1"/>
    </xf>
    <xf numFmtId="3" fontId="15" fillId="0" borderId="22" xfId="3" applyNumberFormat="1" applyFont="1" applyFill="1" applyBorder="1" applyAlignment="1">
      <alignment horizontal="center" vertical="center" wrapText="1"/>
    </xf>
    <xf numFmtId="3" fontId="15" fillId="0" borderId="56" xfId="3" applyNumberFormat="1" applyFont="1" applyFill="1" applyBorder="1" applyAlignment="1">
      <alignment horizontal="right"/>
    </xf>
    <xf numFmtId="3" fontId="14" fillId="0" borderId="35" xfId="3" applyNumberFormat="1" applyFont="1" applyFill="1" applyBorder="1" applyAlignment="1">
      <alignment horizontal="right"/>
    </xf>
    <xf numFmtId="3" fontId="14" fillId="0" borderId="41" xfId="3" applyNumberFormat="1" applyFont="1" applyFill="1" applyBorder="1" applyAlignment="1">
      <alignment horizontal="right"/>
    </xf>
    <xf numFmtId="3" fontId="14" fillId="0" borderId="56" xfId="3" applyNumberFormat="1" applyFont="1" applyFill="1" applyBorder="1" applyAlignment="1">
      <alignment horizontal="right"/>
    </xf>
    <xf numFmtId="3" fontId="15" fillId="0" borderId="55" xfId="3" applyNumberFormat="1" applyFont="1" applyFill="1" applyBorder="1" applyAlignment="1">
      <alignment horizontal="right"/>
    </xf>
    <xf numFmtId="3" fontId="14" fillId="0" borderId="8" xfId="3" applyNumberFormat="1" applyFont="1" applyFill="1" applyBorder="1" applyAlignment="1">
      <alignment horizontal="right" vertical="center"/>
    </xf>
    <xf numFmtId="3" fontId="14" fillId="0" borderId="12" xfId="3" applyNumberFormat="1" applyFont="1" applyFill="1" applyBorder="1" applyAlignment="1">
      <alignment horizontal="center" vertical="center" wrapText="1"/>
    </xf>
    <xf numFmtId="3" fontId="14" fillId="0" borderId="54" xfId="3" applyNumberFormat="1" applyFont="1" applyFill="1" applyBorder="1" applyAlignment="1">
      <alignment horizontal="right" vertical="center"/>
    </xf>
    <xf numFmtId="3" fontId="4" fillId="0" borderId="5" xfId="4" applyNumberFormat="1" applyFont="1" applyFill="1" applyBorder="1" applyAlignment="1">
      <alignment horizontal="right" wrapText="1"/>
    </xf>
    <xf numFmtId="3" fontId="9" fillId="0" borderId="5" xfId="4" applyNumberFormat="1" applyFont="1" applyFill="1" applyBorder="1" applyAlignment="1">
      <alignment horizontal="center" wrapText="1"/>
    </xf>
    <xf numFmtId="0" fontId="4" fillId="0" borderId="5" xfId="4" applyFont="1" applyFill="1" applyBorder="1" applyAlignment="1">
      <alignment horizontal="center"/>
    </xf>
    <xf numFmtId="0" fontId="4" fillId="0" borderId="5" xfId="4" applyFont="1" applyFill="1" applyBorder="1"/>
    <xf numFmtId="3" fontId="4" fillId="0" borderId="5" xfId="4" applyNumberFormat="1" applyFont="1" applyFill="1" applyBorder="1" applyAlignment="1">
      <alignment horizontal="left"/>
    </xf>
    <xf numFmtId="41" fontId="4" fillId="0" borderId="5" xfId="4" applyNumberFormat="1" applyFont="1" applyFill="1" applyBorder="1" applyAlignment="1">
      <alignment horizontal="center" vertical="center" wrapText="1"/>
    </xf>
    <xf numFmtId="0" fontId="17" fillId="0" borderId="5" xfId="23" applyFill="1" applyBorder="1" applyAlignment="1">
      <alignment horizontal="right" vertical="center"/>
    </xf>
    <xf numFmtId="1" fontId="17" fillId="0" borderId="5" xfId="23" applyNumberFormat="1" applyFill="1" applyBorder="1" applyAlignment="1">
      <alignment horizontal="right" vertical="center"/>
    </xf>
    <xf numFmtId="0" fontId="53" fillId="0" borderId="5" xfId="23" applyFont="1" applyFill="1" applyBorder="1" applyAlignment="1">
      <alignment vertical="center"/>
    </xf>
    <xf numFmtId="0" fontId="52" fillId="0" borderId="5" xfId="28" applyFont="1" applyFill="1" applyBorder="1"/>
    <xf numFmtId="0" fontId="17" fillId="0" borderId="7" xfId="23" applyFill="1" applyBorder="1" applyAlignment="1">
      <alignment horizontal="center"/>
    </xf>
    <xf numFmtId="167" fontId="17" fillId="0" borderId="8" xfId="23" applyNumberFormat="1" applyFill="1" applyBorder="1"/>
    <xf numFmtId="0" fontId="17" fillId="0" borderId="32" xfId="23" applyFill="1" applyBorder="1" applyAlignment="1">
      <alignment horizontal="center"/>
    </xf>
    <xf numFmtId="0" fontId="17" fillId="0" borderId="37" xfId="23" applyFill="1" applyBorder="1"/>
    <xf numFmtId="167" fontId="17" fillId="0" borderId="37" xfId="23" applyNumberFormat="1" applyFill="1" applyBorder="1"/>
    <xf numFmtId="0" fontId="17" fillId="0" borderId="38" xfId="23" applyFill="1" applyBorder="1"/>
    <xf numFmtId="0" fontId="17" fillId="0" borderId="8" xfId="23" applyFill="1" applyBorder="1" applyAlignment="1">
      <alignment wrapText="1"/>
    </xf>
    <xf numFmtId="3" fontId="27" fillId="0" borderId="8" xfId="23" applyNumberFormat="1" applyFont="1" applyFill="1" applyBorder="1"/>
    <xf numFmtId="0" fontId="14" fillId="0" borderId="5" xfId="32" applyFont="1" applyFill="1" applyBorder="1" applyAlignment="1">
      <alignment wrapText="1"/>
    </xf>
    <xf numFmtId="4" fontId="14" fillId="0" borderId="5" xfId="32" applyNumberFormat="1" applyFont="1" applyFill="1" applyBorder="1" applyAlignment="1">
      <alignment horizontal="right" wrapText="1"/>
    </xf>
    <xf numFmtId="4" fontId="14" fillId="0" borderId="5" xfId="32" applyNumberFormat="1" applyFont="1" applyFill="1" applyBorder="1" applyAlignment="1">
      <alignment wrapText="1"/>
    </xf>
    <xf numFmtId="0" fontId="14" fillId="0" borderId="5" xfId="4" applyFont="1" applyFill="1" applyBorder="1" applyAlignment="1">
      <alignment horizontal="center" vertical="center" wrapText="1"/>
    </xf>
    <xf numFmtId="0" fontId="4" fillId="0" borderId="5" xfId="4" applyFont="1" applyFill="1" applyBorder="1" applyAlignment="1">
      <alignment horizontal="center" vertical="center" wrapText="1"/>
    </xf>
    <xf numFmtId="0" fontId="14" fillId="0" borderId="0" xfId="34" applyFont="1"/>
    <xf numFmtId="0" fontId="14" fillId="0" borderId="0" xfId="34" applyFont="1" applyAlignment="1"/>
    <xf numFmtId="0" fontId="14" fillId="0" borderId="5" xfId="34" applyFont="1" applyBorder="1" applyAlignment="1">
      <alignment horizontal="center" vertical="center" wrapText="1"/>
    </xf>
    <xf numFmtId="3" fontId="15" fillId="0" borderId="5" xfId="34" applyNumberFormat="1" applyFont="1" applyBorder="1" applyAlignment="1">
      <alignment wrapText="1"/>
    </xf>
    <xf numFmtId="0" fontId="14" fillId="0" borderId="5" xfId="34" applyFont="1" applyBorder="1" applyAlignment="1">
      <alignment wrapText="1"/>
    </xf>
    <xf numFmtId="0" fontId="15" fillId="0" borderId="39" xfId="34" applyFont="1" applyBorder="1" applyAlignment="1">
      <alignment horizontal="right" wrapText="1"/>
    </xf>
    <xf numFmtId="0" fontId="15" fillId="0" borderId="5" xfId="34" applyFont="1" applyBorder="1" applyAlignment="1">
      <alignment wrapText="1"/>
    </xf>
    <xf numFmtId="3" fontId="14" fillId="0" borderId="5" xfId="34" applyNumberFormat="1" applyFont="1" applyBorder="1" applyAlignment="1">
      <alignment wrapText="1"/>
    </xf>
    <xf numFmtId="3" fontId="14" fillId="2" borderId="5" xfId="34" applyNumberFormat="1" applyFont="1" applyFill="1" applyBorder="1" applyAlignment="1">
      <alignment wrapText="1"/>
    </xf>
    <xf numFmtId="0" fontId="14" fillId="0" borderId="5" xfId="34" applyFont="1" applyBorder="1"/>
    <xf numFmtId="0" fontId="14" fillId="0" borderId="5" xfId="34" applyFont="1" applyBorder="1" applyAlignment="1">
      <alignment horizontal="left" vertical="center" wrapText="1"/>
    </xf>
    <xf numFmtId="3" fontId="14" fillId="0" borderId="5" xfId="34" applyNumberFormat="1" applyFont="1" applyBorder="1" applyAlignment="1">
      <alignment horizontal="right"/>
    </xf>
    <xf numFmtId="3" fontId="14" fillId="0" borderId="5" xfId="34" applyNumberFormat="1" applyFont="1" applyBorder="1" applyAlignment="1"/>
    <xf numFmtId="0" fontId="14" fillId="0" borderId="5" xfId="34" applyFont="1" applyBorder="1" applyAlignment="1">
      <alignment horizontal="left"/>
    </xf>
    <xf numFmtId="3" fontId="14" fillId="0" borderId="0" xfId="34" applyNumberFormat="1" applyFont="1"/>
    <xf numFmtId="0" fontId="14" fillId="0" borderId="0" xfId="34" applyFont="1" applyBorder="1" applyAlignment="1">
      <alignment wrapText="1"/>
    </xf>
    <xf numFmtId="0" fontId="14" fillId="0" borderId="59" xfId="34" applyFont="1" applyBorder="1" applyAlignment="1">
      <alignment horizontal="left"/>
    </xf>
    <xf numFmtId="3" fontId="14" fillId="0" borderId="0" xfId="34" applyNumberFormat="1" applyFont="1" applyBorder="1" applyAlignment="1">
      <alignment wrapText="1"/>
    </xf>
    <xf numFmtId="3" fontId="15" fillId="0" borderId="57" xfId="34" applyNumberFormat="1" applyFont="1" applyBorder="1"/>
    <xf numFmtId="1" fontId="15" fillId="0" borderId="57" xfId="34" applyNumberFormat="1" applyFont="1" applyBorder="1"/>
    <xf numFmtId="0" fontId="14" fillId="0" borderId="57" xfId="34" applyFont="1" applyBorder="1"/>
    <xf numFmtId="0" fontId="14" fillId="0" borderId="5" xfId="34" applyFont="1" applyBorder="1" applyAlignment="1">
      <alignment horizontal="left" vertical="top" wrapText="1"/>
    </xf>
    <xf numFmtId="0" fontId="14" fillId="2" borderId="5" xfId="34" applyFont="1" applyFill="1" applyBorder="1" applyAlignment="1">
      <alignment wrapText="1"/>
    </xf>
    <xf numFmtId="3" fontId="15" fillId="2" borderId="5" xfId="34" applyNumberFormat="1" applyFont="1" applyFill="1" applyBorder="1" applyAlignment="1">
      <alignment wrapText="1"/>
    </xf>
    <xf numFmtId="0" fontId="15" fillId="0" borderId="0" xfId="34" applyFont="1"/>
    <xf numFmtId="3" fontId="15" fillId="0" borderId="5" xfId="34" applyNumberFormat="1" applyFont="1" applyBorder="1" applyAlignment="1">
      <alignment horizontal="left" wrapText="1"/>
    </xf>
    <xf numFmtId="0" fontId="14" fillId="0" borderId="5" xfId="34" applyFont="1" applyBorder="1" applyAlignment="1">
      <alignment vertical="top" wrapText="1"/>
    </xf>
    <xf numFmtId="0" fontId="9" fillId="0" borderId="4" xfId="1" applyFont="1" applyFill="1" applyBorder="1" applyAlignment="1">
      <alignment vertical="center"/>
    </xf>
    <xf numFmtId="0" fontId="9" fillId="0" borderId="4" xfId="1" applyFont="1" applyFill="1" applyBorder="1" applyAlignment="1">
      <alignment horizontal="left" vertical="center"/>
    </xf>
    <xf numFmtId="0" fontId="9" fillId="0" borderId="5" xfId="1" applyFont="1" applyFill="1" applyBorder="1" applyAlignment="1">
      <alignment vertical="center" wrapText="1"/>
    </xf>
    <xf numFmtId="165" fontId="9" fillId="0" borderId="5" xfId="1" applyNumberFormat="1" applyFont="1" applyFill="1" applyBorder="1" applyAlignment="1">
      <alignment vertical="center"/>
    </xf>
    <xf numFmtId="165" fontId="9" fillId="0" borderId="6" xfId="1" applyNumberFormat="1" applyFont="1" applyFill="1" applyBorder="1" applyAlignment="1">
      <alignment vertical="center"/>
    </xf>
    <xf numFmtId="0" fontId="14" fillId="0" borderId="5" xfId="21" applyFont="1" applyFill="1" applyBorder="1" applyAlignment="1">
      <alignment horizontal="center" vertical="center" wrapText="1"/>
    </xf>
    <xf numFmtId="3" fontId="15" fillId="0" borderId="5" xfId="21" applyNumberFormat="1" applyFont="1" applyFill="1" applyBorder="1" applyAlignment="1">
      <alignment wrapText="1"/>
    </xf>
    <xf numFmtId="3" fontId="15" fillId="0" borderId="5" xfId="21" applyNumberFormat="1" applyFont="1" applyFill="1" applyBorder="1" applyAlignment="1">
      <alignment horizontal="right"/>
    </xf>
    <xf numFmtId="3" fontId="15" fillId="0" borderId="5" xfId="21" applyNumberFormat="1" applyFont="1" applyFill="1" applyBorder="1" applyAlignment="1">
      <alignment horizontal="right" vertical="center" wrapText="1"/>
    </xf>
    <xf numFmtId="0" fontId="15" fillId="0" borderId="5" xfId="21" applyFont="1" applyFill="1" applyBorder="1" applyAlignment="1">
      <alignment horizontal="right" wrapText="1"/>
    </xf>
    <xf numFmtId="0" fontId="15" fillId="0" borderId="5" xfId="21" applyFont="1" applyFill="1" applyBorder="1"/>
    <xf numFmtId="0" fontId="14" fillId="0" borderId="0" xfId="4" applyFont="1" applyFill="1" applyAlignment="1">
      <alignment vertical="center"/>
    </xf>
    <xf numFmtId="3" fontId="15" fillId="0" borderId="56" xfId="4" applyNumberFormat="1" applyFont="1" applyFill="1" applyBorder="1" applyAlignment="1">
      <alignment horizontal="center" vertical="center" wrapText="1"/>
    </xf>
    <xf numFmtId="0" fontId="15" fillId="0" borderId="5" xfId="4" applyFont="1" applyFill="1" applyBorder="1" applyAlignment="1">
      <alignment horizontal="center" vertical="center" wrapText="1"/>
    </xf>
    <xf numFmtId="3" fontId="15" fillId="0" borderId="37" xfId="4" applyNumberFormat="1" applyFont="1" applyFill="1" applyBorder="1" applyAlignment="1">
      <alignment horizontal="center" vertical="center" wrapText="1"/>
    </xf>
    <xf numFmtId="0" fontId="15" fillId="0" borderId="5" xfId="4" applyFont="1" applyFill="1" applyBorder="1" applyAlignment="1">
      <alignment horizontal="center"/>
    </xf>
    <xf numFmtId="1" fontId="14" fillId="0" borderId="5" xfId="4" applyNumberFormat="1" applyFont="1" applyFill="1" applyBorder="1"/>
    <xf numFmtId="3" fontId="9" fillId="0" borderId="5" xfId="4" applyNumberFormat="1" applyFont="1" applyFill="1" applyBorder="1" applyAlignment="1">
      <alignment horizontal="center" vertical="center"/>
    </xf>
    <xf numFmtId="3" fontId="9" fillId="0" borderId="5" xfId="4" applyNumberFormat="1" applyFont="1" applyFill="1" applyBorder="1" applyAlignment="1">
      <alignment horizontal="center"/>
    </xf>
    <xf numFmtId="3" fontId="9" fillId="0" borderId="45" xfId="4" applyNumberFormat="1" applyFont="1" applyFill="1" applyBorder="1" applyAlignment="1">
      <alignment horizontal="center" vertical="center" wrapText="1"/>
    </xf>
    <xf numFmtId="3" fontId="15" fillId="0" borderId="37" xfId="4" applyNumberFormat="1" applyFont="1" applyFill="1" applyBorder="1" applyAlignment="1">
      <alignment wrapText="1"/>
    </xf>
    <xf numFmtId="0" fontId="15" fillId="0" borderId="45" xfId="4" applyFont="1" applyFill="1" applyBorder="1" applyAlignment="1">
      <alignment wrapText="1"/>
    </xf>
    <xf numFmtId="3" fontId="15" fillId="0" borderId="5" xfId="28" applyNumberFormat="1" applyFont="1" applyFill="1" applyBorder="1" applyAlignment="1">
      <alignment horizontal="right" vertical="center" wrapText="1"/>
    </xf>
    <xf numFmtId="3" fontId="15" fillId="0" borderId="5" xfId="28" applyNumberFormat="1" applyFont="1" applyFill="1" applyBorder="1" applyAlignment="1">
      <alignment horizontal="right" wrapText="1"/>
    </xf>
    <xf numFmtId="3" fontId="15" fillId="0" borderId="5" xfId="28" applyNumberFormat="1" applyFont="1" applyFill="1" applyBorder="1" applyAlignment="1">
      <alignment wrapText="1"/>
    </xf>
    <xf numFmtId="3" fontId="15" fillId="0" borderId="5" xfId="12" applyNumberFormat="1" applyFont="1" applyFill="1" applyBorder="1" applyAlignment="1">
      <alignment horizontal="center" vertical="center" wrapText="1"/>
    </xf>
    <xf numFmtId="0" fontId="27" fillId="0" borderId="5" xfId="12" applyFont="1" applyFill="1" applyBorder="1" applyAlignment="1">
      <alignment horizontal="center" vertical="center"/>
    </xf>
    <xf numFmtId="3" fontId="15" fillId="0" borderId="5" xfId="28" applyNumberFormat="1" applyFont="1" applyFill="1" applyBorder="1" applyAlignment="1">
      <alignment vertical="center" wrapText="1"/>
    </xf>
    <xf numFmtId="3" fontId="15" fillId="0" borderId="37" xfId="23" applyNumberFormat="1" applyFont="1" applyFill="1" applyBorder="1"/>
    <xf numFmtId="3" fontId="15" fillId="0" borderId="8" xfId="28" applyNumberFormat="1" applyFont="1" applyFill="1" applyBorder="1" applyAlignment="1">
      <alignment vertical="center"/>
    </xf>
    <xf numFmtId="0" fontId="25" fillId="0" borderId="5" xfId="4" applyFont="1" applyFill="1" applyBorder="1" applyAlignment="1">
      <alignment horizontal="right"/>
    </xf>
    <xf numFmtId="0" fontId="25" fillId="0" borderId="5" xfId="4" applyFont="1" applyFill="1" applyBorder="1" applyAlignment="1" applyProtection="1">
      <alignment horizontal="right" vertical="center"/>
      <protection locked="0"/>
    </xf>
    <xf numFmtId="1" fontId="25" fillId="0" borderId="5" xfId="4" applyNumberFormat="1" applyFont="1" applyFill="1" applyBorder="1" applyAlignment="1" applyProtection="1">
      <alignment horizontal="right" vertical="center"/>
      <protection locked="0"/>
    </xf>
    <xf numFmtId="0" fontId="25" fillId="0" borderId="56" xfId="4" applyFont="1" applyFill="1" applyBorder="1" applyAlignment="1">
      <alignment vertical="center"/>
    </xf>
    <xf numFmtId="3" fontId="15" fillId="0" borderId="5" xfId="0" applyNumberFormat="1" applyFont="1" applyFill="1" applyBorder="1" applyAlignment="1">
      <alignment wrapText="1"/>
    </xf>
    <xf numFmtId="3" fontId="15" fillId="0" borderId="5" xfId="0" applyNumberFormat="1" applyFont="1" applyFill="1" applyBorder="1" applyAlignment="1">
      <alignment horizontal="right"/>
    </xf>
    <xf numFmtId="0" fontId="14" fillId="0" borderId="0" xfId="0" applyFont="1" applyFill="1" applyBorder="1" applyAlignment="1">
      <alignment wrapText="1"/>
    </xf>
    <xf numFmtId="166" fontId="15" fillId="0" borderId="56" xfId="22" applyNumberFormat="1" applyFont="1" applyFill="1" applyBorder="1" applyAlignment="1">
      <alignment horizontal="right" vertical="center" wrapText="1"/>
    </xf>
    <xf numFmtId="166" fontId="15" fillId="0" borderId="5" xfId="22" applyNumberFormat="1" applyFont="1" applyFill="1" applyBorder="1" applyAlignment="1">
      <alignment horizontal="right" vertical="center" wrapText="1"/>
    </xf>
    <xf numFmtId="3" fontId="15" fillId="0" borderId="37" xfId="10" applyNumberFormat="1" applyFont="1" applyFill="1" applyBorder="1" applyAlignment="1">
      <alignment horizontal="right" vertical="center" wrapText="1"/>
    </xf>
    <xf numFmtId="3" fontId="15" fillId="0" borderId="37" xfId="24" applyNumberFormat="1" applyFont="1" applyFill="1" applyBorder="1" applyAlignment="1">
      <alignment horizontal="right" vertical="center" wrapText="1"/>
    </xf>
    <xf numFmtId="3" fontId="15" fillId="0" borderId="56" xfId="24" applyNumberFormat="1" applyFont="1" applyFill="1" applyBorder="1" applyAlignment="1">
      <alignment horizontal="right" vertical="center" wrapText="1"/>
    </xf>
    <xf numFmtId="3" fontId="15" fillId="0" borderId="56" xfId="28" applyNumberFormat="1" applyFont="1" applyFill="1" applyBorder="1" applyAlignment="1">
      <alignment horizontal="right" vertical="center"/>
    </xf>
    <xf numFmtId="1" fontId="15" fillId="0" borderId="37" xfId="31" applyNumberFormat="1" applyFont="1" applyFill="1" applyBorder="1" applyAlignment="1">
      <alignment wrapText="1"/>
    </xf>
    <xf numFmtId="3" fontId="14" fillId="0" borderId="56" xfId="31" applyNumberFormat="1" applyFont="1" applyFill="1" applyBorder="1" applyAlignment="1">
      <alignment horizontal="center" vertical="center" wrapText="1"/>
    </xf>
    <xf numFmtId="3" fontId="14" fillId="0" borderId="2" xfId="4" applyNumberFormat="1" applyFont="1" applyFill="1" applyBorder="1" applyAlignment="1">
      <alignment horizontal="right" vertical="center" wrapText="1"/>
    </xf>
    <xf numFmtId="3" fontId="14" fillId="0" borderId="37" xfId="16" applyNumberFormat="1" applyFont="1" applyFill="1" applyBorder="1" applyAlignment="1">
      <alignment wrapText="1"/>
    </xf>
    <xf numFmtId="3" fontId="14" fillId="0" borderId="45" xfId="16" applyNumberFormat="1" applyFont="1" applyFill="1" applyBorder="1" applyAlignment="1">
      <alignment wrapText="1"/>
    </xf>
    <xf numFmtId="3" fontId="14" fillId="0" borderId="5" xfId="16" applyNumberFormat="1" applyFont="1" applyFill="1" applyBorder="1" applyAlignment="1"/>
    <xf numFmtId="3" fontId="14" fillId="0" borderId="56" xfId="4" applyNumberFormat="1" applyFont="1" applyFill="1" applyBorder="1" applyAlignment="1">
      <alignment vertical="center" wrapText="1"/>
    </xf>
    <xf numFmtId="3" fontId="14" fillId="0" borderId="56" xfId="16" applyNumberFormat="1" applyFont="1" applyFill="1" applyBorder="1" applyAlignment="1">
      <alignment wrapText="1"/>
    </xf>
    <xf numFmtId="3" fontId="14" fillId="0" borderId="2" xfId="16" applyNumberFormat="1" applyFont="1" applyFill="1" applyBorder="1" applyAlignment="1">
      <alignment wrapText="1"/>
    </xf>
    <xf numFmtId="3" fontId="14" fillId="0" borderId="55" xfId="4" applyNumberFormat="1" applyFont="1" applyFill="1" applyBorder="1" applyAlignment="1">
      <alignment wrapText="1"/>
    </xf>
    <xf numFmtId="3" fontId="14" fillId="0" borderId="55" xfId="4" applyNumberFormat="1" applyFont="1" applyFill="1" applyBorder="1" applyAlignment="1">
      <alignment vertical="center" wrapText="1"/>
    </xf>
    <xf numFmtId="3" fontId="14" fillId="0" borderId="5" xfId="33" applyNumberFormat="1" applyFont="1" applyFill="1" applyBorder="1" applyAlignment="1">
      <alignment wrapText="1"/>
    </xf>
    <xf numFmtId="3" fontId="14" fillId="0" borderId="5" xfId="33" applyNumberFormat="1" applyFont="1" applyFill="1" applyBorder="1" applyAlignment="1">
      <alignment horizontal="left"/>
    </xf>
    <xf numFmtId="3" fontId="14" fillId="0" borderId="5" xfId="33" applyNumberFormat="1" applyFont="1" applyFill="1" applyBorder="1" applyAlignment="1">
      <alignment horizontal="right"/>
    </xf>
    <xf numFmtId="3" fontId="14" fillId="0" borderId="5" xfId="33" applyNumberFormat="1" applyFont="1" applyFill="1" applyBorder="1" applyAlignment="1">
      <alignment horizontal="center" vertical="center" wrapText="1"/>
    </xf>
    <xf numFmtId="3" fontId="14" fillId="0" borderId="5" xfId="33" applyNumberFormat="1" applyFont="1" applyFill="1" applyBorder="1" applyAlignment="1">
      <alignment horizontal="right" vertical="center" wrapText="1"/>
    </xf>
    <xf numFmtId="3" fontId="14" fillId="0" borderId="5" xfId="33" applyNumberFormat="1" applyFont="1" applyFill="1" applyBorder="1" applyAlignment="1">
      <alignment horizontal="right" wrapText="1"/>
    </xf>
    <xf numFmtId="3" fontId="14" fillId="0" borderId="37" xfId="33" applyNumberFormat="1" applyFont="1" applyFill="1" applyBorder="1" applyAlignment="1">
      <alignment horizontal="right" vertical="center" wrapText="1"/>
    </xf>
    <xf numFmtId="0" fontId="14" fillId="0" borderId="0" xfId="33" applyFont="1" applyBorder="1" applyAlignment="1"/>
    <xf numFmtId="0" fontId="14" fillId="0" borderId="59" xfId="33" applyFont="1" applyBorder="1"/>
    <xf numFmtId="0" fontId="14" fillId="0" borderId="8" xfId="4" applyFont="1" applyBorder="1" applyAlignment="1">
      <alignment horizontal="center" vertical="center" wrapText="1"/>
    </xf>
    <xf numFmtId="0" fontId="14" fillId="0" borderId="5" xfId="4" applyFont="1" applyFill="1" applyBorder="1" applyAlignment="1">
      <alignment horizontal="center" vertical="center" wrapText="1"/>
    </xf>
    <xf numFmtId="0" fontId="14" fillId="0" borderId="5" xfId="10" applyFont="1" applyFill="1" applyBorder="1" applyAlignment="1">
      <alignment vertical="center" wrapText="1"/>
    </xf>
    <xf numFmtId="0" fontId="4" fillId="0" borderId="5" xfId="4" applyFont="1" applyBorder="1" applyAlignment="1">
      <alignment horizontal="center" vertical="center" wrapText="1"/>
    </xf>
    <xf numFmtId="0" fontId="14" fillId="0" borderId="8" xfId="4" applyFont="1" applyBorder="1" applyAlignment="1">
      <alignment horizontal="center" vertical="center" wrapText="1"/>
    </xf>
    <xf numFmtId="0" fontId="14" fillId="0" borderId="5" xfId="4" applyFont="1" applyBorder="1" applyAlignment="1">
      <alignment horizontal="center" vertical="center" wrapText="1"/>
    </xf>
    <xf numFmtId="0" fontId="14" fillId="0" borderId="8" xfId="12" applyFont="1" applyFill="1" applyBorder="1" applyAlignment="1">
      <alignment horizontal="center" vertical="center" wrapText="1"/>
    </xf>
    <xf numFmtId="0" fontId="14" fillId="0" borderId="8" xfId="12" applyFont="1" applyFill="1" applyBorder="1" applyAlignment="1">
      <alignment horizontal="center" vertical="center" wrapText="1"/>
    </xf>
    <xf numFmtId="0" fontId="9" fillId="0" borderId="0" xfId="4" applyFont="1" applyFill="1" applyBorder="1" applyAlignment="1">
      <alignment vertical="center" wrapText="1"/>
    </xf>
    <xf numFmtId="41" fontId="9" fillId="0" borderId="0" xfId="4" applyNumberFormat="1" applyFont="1" applyFill="1" applyAlignment="1">
      <alignment horizontal="right"/>
    </xf>
    <xf numFmtId="3" fontId="15" fillId="0" borderId="56" xfId="24" applyNumberFormat="1" applyFont="1" applyFill="1" applyBorder="1" applyAlignment="1">
      <alignment horizontal="right" wrapText="1"/>
    </xf>
    <xf numFmtId="3" fontId="15" fillId="0" borderId="5" xfId="24" applyNumberFormat="1" applyFont="1" applyFill="1" applyBorder="1" applyAlignment="1">
      <alignment horizontal="right" wrapText="1"/>
    </xf>
    <xf numFmtId="3" fontId="15" fillId="0" borderId="8" xfId="10" applyNumberFormat="1" applyFont="1" applyFill="1" applyBorder="1" applyAlignment="1">
      <alignment horizontal="right"/>
    </xf>
    <xf numFmtId="3" fontId="15" fillId="0" borderId="57" xfId="31" applyNumberFormat="1" applyFont="1" applyFill="1" applyBorder="1"/>
    <xf numFmtId="0" fontId="12" fillId="0" borderId="8" xfId="4" applyFont="1" applyBorder="1" applyAlignment="1">
      <alignment horizontal="center" vertical="center" wrapText="1"/>
    </xf>
    <xf numFmtId="0" fontId="15" fillId="0" borderId="34" xfId="33" applyFont="1" applyBorder="1" applyAlignment="1">
      <alignment wrapText="1"/>
    </xf>
    <xf numFmtId="3" fontId="14" fillId="0" borderId="37" xfId="33" applyNumberFormat="1" applyFont="1" applyBorder="1" applyAlignment="1">
      <alignment horizontal="right" wrapText="1"/>
    </xf>
    <xf numFmtId="3" fontId="14" fillId="0" borderId="37" xfId="33" applyNumberFormat="1" applyFont="1" applyBorder="1" applyAlignment="1">
      <alignment wrapText="1"/>
    </xf>
    <xf numFmtId="0" fontId="14" fillId="0" borderId="37" xfId="33" applyFont="1" applyBorder="1" applyAlignment="1">
      <alignment horizontal="left" vertical="center" wrapText="1"/>
    </xf>
    <xf numFmtId="0" fontId="14" fillId="0" borderId="35" xfId="33" applyFont="1" applyBorder="1" applyAlignment="1">
      <alignment wrapText="1"/>
    </xf>
    <xf numFmtId="3" fontId="14" fillId="0" borderId="35" xfId="33" applyNumberFormat="1" applyFont="1" applyBorder="1" applyAlignment="1">
      <alignment wrapText="1"/>
    </xf>
    <xf numFmtId="0" fontId="14" fillId="0" borderId="0" xfId="4" applyFont="1" applyAlignment="1">
      <alignment horizontal="left"/>
    </xf>
    <xf numFmtId="0" fontId="14" fillId="0" borderId="5" xfId="4" applyFont="1" applyBorder="1" applyAlignment="1">
      <alignment horizontal="center" vertical="center" wrapText="1"/>
    </xf>
    <xf numFmtId="0" fontId="8" fillId="0" borderId="0" xfId="4" applyFont="1" applyAlignment="1">
      <alignment horizontal="center" vertical="center" wrapText="1"/>
    </xf>
    <xf numFmtId="0" fontId="14" fillId="0" borderId="0" xfId="1" applyFont="1" applyFill="1" applyBorder="1" applyAlignment="1">
      <alignment horizontal="center"/>
    </xf>
    <xf numFmtId="0" fontId="12" fillId="0" borderId="39" xfId="1" applyFont="1" applyFill="1" applyBorder="1" applyAlignment="1">
      <alignment horizontal="center" vertical="center"/>
    </xf>
    <xf numFmtId="0" fontId="2" fillId="0" borderId="6" xfId="1" applyFont="1" applyBorder="1"/>
    <xf numFmtId="0" fontId="4" fillId="0" borderId="39" xfId="1" applyFont="1" applyFill="1" applyBorder="1" applyAlignment="1">
      <alignment vertical="center"/>
    </xf>
    <xf numFmtId="2" fontId="9" fillId="0" borderId="39" xfId="1" applyNumberFormat="1" applyFont="1" applyFill="1" applyBorder="1" applyAlignment="1">
      <alignment horizontal="right" vertical="center"/>
    </xf>
    <xf numFmtId="164" fontId="9" fillId="0" borderId="39" xfId="1" applyNumberFormat="1" applyFont="1" applyFill="1" applyBorder="1" applyAlignment="1">
      <alignment horizontal="right" vertical="center"/>
    </xf>
    <xf numFmtId="164" fontId="9" fillId="0" borderId="39" xfId="1" applyNumberFormat="1" applyFont="1" applyFill="1" applyBorder="1" applyAlignment="1">
      <alignment vertical="center"/>
    </xf>
    <xf numFmtId="164" fontId="4" fillId="0" borderId="39" xfId="1" applyNumberFormat="1" applyFont="1" applyFill="1" applyBorder="1" applyAlignment="1">
      <alignment vertical="center"/>
    </xf>
    <xf numFmtId="165" fontId="9" fillId="0" borderId="39" xfId="1" applyNumberFormat="1" applyFont="1" applyFill="1" applyBorder="1" applyAlignment="1">
      <alignment vertical="center"/>
    </xf>
    <xf numFmtId="0" fontId="4" fillId="0" borderId="50" xfId="1" applyFont="1" applyFill="1" applyBorder="1"/>
    <xf numFmtId="0" fontId="2" fillId="0" borderId="9" xfId="1" applyFont="1" applyBorder="1"/>
    <xf numFmtId="2" fontId="9" fillId="0" borderId="4" xfId="1" applyNumberFormat="1" applyFont="1" applyFill="1" applyBorder="1" applyAlignment="1">
      <alignment horizontal="right" vertical="center"/>
    </xf>
    <xf numFmtId="164" fontId="9" fillId="0" borderId="4" xfId="1" applyNumberFormat="1" applyFont="1" applyFill="1" applyBorder="1" applyAlignment="1">
      <alignment horizontal="right" vertical="center"/>
    </xf>
    <xf numFmtId="164" fontId="9" fillId="0" borderId="4" xfId="1" applyNumberFormat="1" applyFont="1" applyFill="1" applyBorder="1" applyAlignment="1">
      <alignment vertical="center"/>
    </xf>
    <xf numFmtId="164" fontId="4" fillId="0" borderId="4" xfId="1" applyNumberFormat="1" applyFont="1" applyFill="1" applyBorder="1" applyAlignment="1">
      <alignment vertical="center"/>
    </xf>
    <xf numFmtId="165" fontId="9" fillId="0" borderId="4" xfId="1" applyNumberFormat="1" applyFont="1" applyFill="1" applyBorder="1" applyAlignment="1">
      <alignment vertical="center"/>
    </xf>
    <xf numFmtId="0" fontId="14" fillId="0" borderId="0" xfId="4" applyFont="1" applyAlignment="1">
      <alignment horizontal="left"/>
    </xf>
    <xf numFmtId="0" fontId="14" fillId="0" borderId="37" xfId="4" applyFont="1" applyBorder="1" applyAlignment="1">
      <alignment horizontal="left" vertical="center" wrapText="1"/>
    </xf>
    <xf numFmtId="0" fontId="14" fillId="0" borderId="32" xfId="4" applyFont="1" applyBorder="1" applyAlignment="1">
      <alignment horizontal="center" vertical="center" wrapText="1"/>
    </xf>
    <xf numFmtId="0" fontId="14" fillId="0" borderId="4" xfId="4" applyFont="1" applyBorder="1" applyAlignment="1">
      <alignment horizontal="center" vertical="center" wrapText="1"/>
    </xf>
    <xf numFmtId="0" fontId="14" fillId="0" borderId="5" xfId="4" applyFont="1" applyBorder="1" applyAlignment="1">
      <alignment horizontal="left" vertical="center" wrapText="1"/>
    </xf>
    <xf numFmtId="0" fontId="14" fillId="0" borderId="2" xfId="4" applyFont="1" applyBorder="1" applyAlignment="1">
      <alignment horizontal="center" vertical="center" wrapText="1"/>
    </xf>
    <xf numFmtId="0" fontId="14" fillId="0" borderId="8" xfId="4" applyFont="1" applyBorder="1" applyAlignment="1">
      <alignment horizontal="center" vertical="center" wrapText="1"/>
    </xf>
    <xf numFmtId="0" fontId="14" fillId="0" borderId="0" xfId="4" applyFont="1" applyFill="1" applyAlignment="1">
      <alignment horizontal="left"/>
    </xf>
    <xf numFmtId="0" fontId="4" fillId="0" borderId="56" xfId="4" applyFont="1" applyBorder="1" applyAlignment="1">
      <alignment vertical="center" wrapText="1"/>
    </xf>
    <xf numFmtId="0" fontId="14" fillId="0" borderId="38" xfId="4" applyFont="1" applyBorder="1" applyAlignment="1">
      <alignment horizontal="left" vertical="center" wrapText="1"/>
    </xf>
    <xf numFmtId="0" fontId="14" fillId="0" borderId="62" xfId="4" applyFont="1" applyBorder="1" applyAlignment="1">
      <alignment horizontal="center" vertical="center" wrapText="1"/>
    </xf>
    <xf numFmtId="0" fontId="8" fillId="0" borderId="0" xfId="4" applyFont="1" applyAlignment="1">
      <alignment horizontal="center"/>
    </xf>
    <xf numFmtId="0" fontId="14" fillId="0" borderId="5" xfId="4" applyFont="1" applyBorder="1" applyAlignment="1">
      <alignment horizontal="center" vertical="center" wrapText="1"/>
    </xf>
    <xf numFmtId="0" fontId="8" fillId="0" borderId="0" xfId="4" applyFont="1" applyFill="1" applyAlignment="1">
      <alignment horizontal="center"/>
    </xf>
    <xf numFmtId="0" fontId="14" fillId="0" borderId="56" xfId="4" applyFont="1" applyBorder="1" applyAlignment="1">
      <alignment horizontal="center" vertical="center" wrapText="1"/>
    </xf>
    <xf numFmtId="0" fontId="14" fillId="0" borderId="37" xfId="4" applyFont="1" applyBorder="1" applyAlignment="1">
      <alignment horizontal="center" wrapText="1"/>
    </xf>
    <xf numFmtId="0" fontId="12" fillId="0" borderId="6" xfId="1" applyFont="1" applyFill="1" applyBorder="1" applyAlignment="1">
      <alignment horizontal="center" vertical="center"/>
    </xf>
    <xf numFmtId="0" fontId="12" fillId="0" borderId="79" xfId="1" applyFont="1" applyFill="1" applyBorder="1" applyAlignment="1">
      <alignment horizontal="center" vertical="center"/>
    </xf>
    <xf numFmtId="3" fontId="9" fillId="0" borderId="6" xfId="1" applyNumberFormat="1" applyFont="1" applyFill="1" applyBorder="1" applyAlignment="1">
      <alignment horizontal="right" vertical="center"/>
    </xf>
    <xf numFmtId="3" fontId="9" fillId="0" borderId="79" xfId="1" applyNumberFormat="1" applyFont="1" applyFill="1" applyBorder="1" applyAlignment="1">
      <alignment horizontal="right" vertical="center"/>
    </xf>
    <xf numFmtId="3" fontId="9" fillId="0" borderId="6" xfId="1" applyNumberFormat="1" applyFont="1" applyFill="1" applyBorder="1" applyAlignment="1">
      <alignment vertical="center"/>
    </xf>
    <xf numFmtId="3" fontId="9" fillId="0" borderId="79" xfId="1" applyNumberFormat="1" applyFont="1" applyFill="1" applyBorder="1" applyAlignment="1">
      <alignment vertical="center"/>
    </xf>
    <xf numFmtId="3" fontId="4" fillId="0" borderId="6" xfId="1" applyNumberFormat="1" applyFont="1" applyFill="1" applyBorder="1" applyAlignment="1">
      <alignment horizontal="right" vertical="center"/>
    </xf>
    <xf numFmtId="3" fontId="4" fillId="0" borderId="79" xfId="1" applyNumberFormat="1" applyFont="1" applyFill="1" applyBorder="1" applyAlignment="1">
      <alignment vertical="center"/>
    </xf>
    <xf numFmtId="3" fontId="4" fillId="0" borderId="79" xfId="1" applyNumberFormat="1" applyFont="1" applyFill="1" applyBorder="1" applyAlignment="1">
      <alignment horizontal="right" vertical="center"/>
    </xf>
    <xf numFmtId="1" fontId="9" fillId="0" borderId="6" xfId="1" applyNumberFormat="1" applyFont="1" applyFill="1" applyBorder="1" applyAlignment="1">
      <alignment horizontal="right" vertical="center"/>
    </xf>
    <xf numFmtId="1" fontId="9" fillId="0" borderId="79" xfId="1" applyNumberFormat="1" applyFont="1" applyFill="1" applyBorder="1" applyAlignment="1">
      <alignment horizontal="right" vertical="center"/>
    </xf>
    <xf numFmtId="3" fontId="4" fillId="0" borderId="6" xfId="1" applyNumberFormat="1" applyFont="1" applyFill="1" applyBorder="1" applyAlignment="1">
      <alignment vertical="center"/>
    </xf>
    <xf numFmtId="0" fontId="3" fillId="0" borderId="9" xfId="1" applyFont="1" applyFill="1" applyBorder="1"/>
    <xf numFmtId="0" fontId="3" fillId="0" borderId="77" xfId="1" applyFont="1" applyFill="1" applyBorder="1"/>
    <xf numFmtId="0" fontId="14" fillId="0" borderId="4" xfId="4" applyFont="1" applyBorder="1" applyAlignment="1">
      <alignment wrapText="1"/>
    </xf>
    <xf numFmtId="0" fontId="14" fillId="0" borderId="7" xfId="4" applyFont="1" applyBorder="1" applyAlignment="1">
      <alignment wrapText="1"/>
    </xf>
    <xf numFmtId="0" fontId="14" fillId="0" borderId="0" xfId="3" applyFont="1" applyAlignment="1">
      <alignment horizontal="right"/>
    </xf>
    <xf numFmtId="0" fontId="14" fillId="0" borderId="0" xfId="1" applyFont="1" applyFill="1" applyAlignment="1">
      <alignment horizontal="right" wrapText="1"/>
    </xf>
    <xf numFmtId="0" fontId="26" fillId="0" borderId="0" xfId="28" applyFont="1" applyAlignment="1">
      <alignment horizontal="right"/>
    </xf>
    <xf numFmtId="0" fontId="14" fillId="0" borderId="0" xfId="4" applyFont="1" applyAlignment="1">
      <alignment horizontal="left"/>
    </xf>
    <xf numFmtId="0" fontId="14" fillId="0" borderId="0" xfId="4" applyFont="1" applyFill="1" applyBorder="1" applyAlignment="1">
      <alignment horizontal="left"/>
    </xf>
    <xf numFmtId="0" fontId="14" fillId="0" borderId="0" xfId="4" applyFont="1" applyFill="1" applyAlignment="1">
      <alignment horizontal="left"/>
    </xf>
    <xf numFmtId="0" fontId="14" fillId="0" borderId="0" xfId="4" applyFont="1" applyBorder="1" applyAlignment="1">
      <alignment horizontal="left"/>
    </xf>
    <xf numFmtId="0" fontId="14" fillId="0" borderId="5" xfId="4" applyFont="1" applyBorder="1" applyAlignment="1">
      <alignment horizontal="center" vertical="center" wrapText="1"/>
    </xf>
    <xf numFmtId="0" fontId="14" fillId="0" borderId="0" xfId="4" applyFont="1" applyAlignment="1">
      <alignment horizontal="right" wrapText="1"/>
    </xf>
    <xf numFmtId="0" fontId="17" fillId="0" borderId="0" xfId="23" applyAlignment="1">
      <alignment horizontal="right" wrapText="1"/>
    </xf>
    <xf numFmtId="0" fontId="17" fillId="0" borderId="0" xfId="23" applyFill="1" applyAlignment="1">
      <alignment horizontal="right" wrapText="1"/>
    </xf>
    <xf numFmtId="0" fontId="14" fillId="0" borderId="0" xfId="0" applyFont="1" applyAlignment="1">
      <alignment horizontal="left"/>
    </xf>
    <xf numFmtId="0" fontId="26" fillId="0" borderId="0" xfId="12" applyFont="1" applyFill="1" applyAlignment="1">
      <alignment horizontal="right"/>
    </xf>
    <xf numFmtId="0" fontId="2" fillId="0" borderId="0" xfId="16" applyAlignment="1">
      <alignment horizontal="right"/>
    </xf>
    <xf numFmtId="0" fontId="14" fillId="0" borderId="0" xfId="4" applyFont="1" applyAlignment="1">
      <alignment horizontal="right"/>
    </xf>
    <xf numFmtId="0" fontId="14" fillId="0" borderId="0" xfId="33" applyFont="1" applyAlignment="1">
      <alignment horizontal="right"/>
    </xf>
    <xf numFmtId="0" fontId="14" fillId="0" borderId="0" xfId="34" applyFont="1" applyAlignment="1">
      <alignment horizontal="right"/>
    </xf>
    <xf numFmtId="167" fontId="14" fillId="0" borderId="8" xfId="10" applyNumberFormat="1" applyFont="1" applyFill="1" applyBorder="1" applyAlignment="1">
      <alignment vertical="center"/>
    </xf>
    <xf numFmtId="0" fontId="15" fillId="0" borderId="11" xfId="4" applyFont="1" applyBorder="1" applyAlignment="1">
      <alignment horizontal="right" wrapText="1"/>
    </xf>
    <xf numFmtId="3" fontId="15" fillId="0" borderId="11" xfId="4" applyNumberFormat="1" applyFont="1" applyBorder="1" applyAlignment="1">
      <alignment wrapText="1"/>
    </xf>
    <xf numFmtId="0" fontId="14" fillId="0" borderId="11" xfId="4" applyFont="1" applyBorder="1" applyAlignment="1">
      <alignment wrapText="1"/>
    </xf>
    <xf numFmtId="0" fontId="0" fillId="0" borderId="0" xfId="12" applyFont="1"/>
    <xf numFmtId="3" fontId="15" fillId="0" borderId="26" xfId="3" applyNumberFormat="1" applyFont="1" applyFill="1" applyBorder="1" applyAlignment="1">
      <alignment horizontal="center" vertical="center" wrapText="1"/>
    </xf>
    <xf numFmtId="0" fontId="14" fillId="0" borderId="0" xfId="12" applyFont="1" applyFill="1" applyAlignment="1">
      <alignment horizontal="right"/>
    </xf>
    <xf numFmtId="0" fontId="8" fillId="0" borderId="0" xfId="4" applyFont="1" applyBorder="1" applyAlignment="1">
      <alignment vertical="center"/>
    </xf>
    <xf numFmtId="0" fontId="14" fillId="0" borderId="0" xfId="21" applyFont="1" applyAlignment="1">
      <alignment horizontal="right"/>
    </xf>
    <xf numFmtId="0" fontId="14" fillId="0" borderId="0" xfId="0" applyFont="1" applyAlignment="1">
      <alignment horizontal="right"/>
    </xf>
    <xf numFmtId="0" fontId="14" fillId="0" borderId="0" xfId="16" applyFont="1" applyAlignment="1">
      <alignment horizontal="right"/>
    </xf>
    <xf numFmtId="0" fontId="14" fillId="0" borderId="0" xfId="32" applyFont="1" applyAlignment="1">
      <alignment horizontal="right"/>
    </xf>
    <xf numFmtId="3" fontId="14" fillId="0" borderId="13" xfId="3" applyNumberFormat="1" applyFont="1" applyBorder="1" applyAlignment="1">
      <alignment horizontal="center" vertical="center" wrapText="1"/>
    </xf>
    <xf numFmtId="3" fontId="14" fillId="0" borderId="14" xfId="3" applyNumberFormat="1" applyFont="1" applyBorder="1" applyAlignment="1">
      <alignment horizontal="center" vertical="center" wrapText="1"/>
    </xf>
    <xf numFmtId="49" fontId="14" fillId="0" borderId="13" xfId="3" applyNumberFormat="1" applyFont="1" applyBorder="1" applyAlignment="1">
      <alignment horizontal="center" wrapText="1"/>
    </xf>
    <xf numFmtId="49" fontId="14" fillId="0" borderId="12" xfId="3" applyNumberFormat="1" applyFont="1" applyBorder="1" applyAlignment="1">
      <alignment horizontal="center" wrapText="1"/>
    </xf>
    <xf numFmtId="49" fontId="14" fillId="0" borderId="14" xfId="3" applyNumberFormat="1" applyFont="1" applyBorder="1" applyAlignment="1">
      <alignment horizontal="center" wrapText="1"/>
    </xf>
    <xf numFmtId="0" fontId="14" fillId="0" borderId="0" xfId="3" applyFont="1" applyAlignment="1">
      <alignment horizontal="right" wrapText="1"/>
    </xf>
    <xf numFmtId="0" fontId="14" fillId="0" borderId="0" xfId="3" applyFont="1" applyAlignment="1">
      <alignment horizontal="right"/>
    </xf>
    <xf numFmtId="0" fontId="14" fillId="0" borderId="10" xfId="3" applyFont="1" applyFill="1" applyBorder="1" applyAlignment="1">
      <alignment horizontal="left" wrapText="1"/>
    </xf>
    <xf numFmtId="0" fontId="14" fillId="0" borderId="11" xfId="3" applyFont="1" applyFill="1" applyBorder="1" applyAlignment="1">
      <alignment horizontal="left" wrapText="1"/>
    </xf>
    <xf numFmtId="0" fontId="14" fillId="0" borderId="15" xfId="4" applyFont="1" applyFill="1" applyBorder="1" applyAlignment="1">
      <alignment horizontal="left" wrapText="1"/>
    </xf>
    <xf numFmtId="0" fontId="14" fillId="0" borderId="16" xfId="4" applyFont="1" applyFill="1" applyBorder="1" applyAlignment="1">
      <alignment horizontal="left" wrapText="1"/>
    </xf>
    <xf numFmtId="0" fontId="15" fillId="0" borderId="12" xfId="3" applyFont="1" applyBorder="1" applyAlignment="1">
      <alignment horizontal="right" vertical="center" wrapText="1"/>
    </xf>
    <xf numFmtId="0" fontId="15" fillId="0" borderId="14" xfId="3" applyFont="1" applyBorder="1" applyAlignment="1">
      <alignment horizontal="right" vertical="center" wrapText="1"/>
    </xf>
    <xf numFmtId="0" fontId="14" fillId="0" borderId="32" xfId="3" applyFont="1" applyBorder="1" applyAlignment="1">
      <alignment horizontal="center" vertical="center"/>
    </xf>
    <xf numFmtId="0" fontId="14" fillId="0" borderId="28" xfId="3" applyFont="1" applyBorder="1" applyAlignment="1">
      <alignment horizontal="center" vertical="center"/>
    </xf>
    <xf numFmtId="0" fontId="14" fillId="0" borderId="38" xfId="3" applyFont="1" applyFill="1" applyBorder="1" applyAlignment="1">
      <alignment horizontal="left" vertical="center" wrapText="1"/>
    </xf>
    <xf numFmtId="0" fontId="14" fillId="0" borderId="46" xfId="3" applyFont="1" applyFill="1" applyBorder="1" applyAlignment="1">
      <alignment horizontal="left" vertical="center" wrapText="1"/>
    </xf>
    <xf numFmtId="3" fontId="14" fillId="0" borderId="32" xfId="3" applyNumberFormat="1" applyFont="1" applyFill="1" applyBorder="1" applyAlignment="1">
      <alignment horizontal="center" vertical="center"/>
    </xf>
    <xf numFmtId="3" fontId="14" fillId="0" borderId="28" xfId="3" applyNumberFormat="1" applyFont="1" applyFill="1" applyBorder="1" applyAlignment="1">
      <alignment horizontal="center" vertical="center"/>
    </xf>
    <xf numFmtId="0" fontId="14" fillId="0" borderId="10" xfId="3" applyFont="1" applyBorder="1" applyAlignment="1">
      <alignment horizontal="left" vertical="center"/>
    </xf>
    <xf numFmtId="0" fontId="14" fillId="0" borderId="11" xfId="3" applyFont="1" applyBorder="1" applyAlignment="1">
      <alignment horizontal="left" vertical="center"/>
    </xf>
    <xf numFmtId="0" fontId="14" fillId="0" borderId="15" xfId="3" applyFont="1" applyBorder="1" applyAlignment="1">
      <alignment horizontal="left" vertical="center" wrapText="1"/>
    </xf>
    <xf numFmtId="0" fontId="14" fillId="0" borderId="16" xfId="3" applyFont="1" applyBorder="1" applyAlignment="1">
      <alignment horizontal="left" vertical="center" wrapText="1"/>
    </xf>
    <xf numFmtId="0" fontId="12" fillId="0" borderId="0" xfId="3" applyFont="1" applyAlignment="1">
      <alignment horizontal="center" wrapText="1"/>
    </xf>
    <xf numFmtId="0" fontId="10" fillId="0" borderId="0" xfId="3" applyFont="1" applyAlignment="1">
      <alignment horizontal="center" wrapText="1"/>
    </xf>
    <xf numFmtId="0" fontId="15" fillId="0" borderId="10" xfId="3" applyFont="1" applyBorder="1" applyAlignment="1">
      <alignment horizontal="center" vertical="center"/>
    </xf>
    <xf numFmtId="0" fontId="15" fillId="0" borderId="15" xfId="3" applyFont="1" applyBorder="1" applyAlignment="1">
      <alignment horizontal="center" vertical="center"/>
    </xf>
    <xf numFmtId="0" fontId="15" fillId="0" borderId="11" xfId="3" applyFont="1" applyBorder="1" applyAlignment="1">
      <alignment horizontal="center" vertical="center" wrapText="1"/>
    </xf>
    <xf numFmtId="0" fontId="15" fillId="0" borderId="16" xfId="3" applyFont="1" applyBorder="1" applyAlignment="1">
      <alignment horizontal="center" vertical="center" wrapText="1"/>
    </xf>
    <xf numFmtId="0" fontId="11" fillId="0" borderId="6" xfId="1" applyFont="1" applyFill="1" applyBorder="1" applyAlignment="1">
      <alignment horizontal="center" vertical="center" wrapText="1"/>
    </xf>
    <xf numFmtId="0" fontId="11" fillId="0" borderId="79"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39" xfId="1" applyFont="1" applyFill="1" applyBorder="1" applyAlignment="1">
      <alignment horizontal="center" vertical="center" wrapText="1"/>
    </xf>
    <xf numFmtId="0" fontId="14" fillId="0" borderId="0" xfId="1" applyFont="1" applyFill="1" applyAlignment="1">
      <alignment horizontal="right" wrapText="1"/>
    </xf>
    <xf numFmtId="0" fontId="11" fillId="0" borderId="4" xfId="1" applyFont="1" applyFill="1" applyBorder="1" applyAlignment="1">
      <alignment horizontal="center" vertical="center" wrapText="1"/>
    </xf>
    <xf numFmtId="0" fontId="9" fillId="0" borderId="3" xfId="1" applyFont="1" applyFill="1" applyBorder="1" applyAlignment="1">
      <alignment horizontal="center" vertical="center"/>
    </xf>
    <xf numFmtId="0" fontId="9" fillId="0" borderId="78" xfId="1" applyFont="1" applyFill="1" applyBorder="1" applyAlignment="1">
      <alignment horizontal="center" vertical="center"/>
    </xf>
    <xf numFmtId="1" fontId="10" fillId="0" borderId="0" xfId="1" applyNumberFormat="1" applyFont="1" applyFill="1" applyAlignment="1">
      <alignment horizontal="center"/>
    </xf>
    <xf numFmtId="0" fontId="4" fillId="0" borderId="1"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5" xfId="1" applyFont="1" applyFill="1" applyBorder="1" applyAlignment="1">
      <alignment horizontal="center" vertical="center"/>
    </xf>
    <xf numFmtId="0" fontId="9" fillId="0" borderId="2" xfId="1" applyFont="1" applyFill="1" applyBorder="1" applyAlignment="1">
      <alignment horizontal="center" vertical="center" wrapText="1"/>
    </xf>
    <xf numFmtId="0" fontId="9" fillId="0" borderId="5" xfId="1" applyFont="1" applyFill="1" applyBorder="1" applyAlignment="1">
      <alignment horizontal="center" vertical="center" wrapText="1"/>
    </xf>
    <xf numFmtId="2" fontId="9" fillId="0" borderId="72" xfId="1" applyNumberFormat="1" applyFont="1" applyFill="1" applyBorder="1" applyAlignment="1">
      <alignment horizontal="center" vertical="center" wrapText="1"/>
    </xf>
    <xf numFmtId="2" fontId="9" fillId="0" borderId="27" xfId="1" applyNumberFormat="1" applyFont="1" applyFill="1" applyBorder="1" applyAlignment="1">
      <alignment horizontal="center" vertical="center" wrapText="1"/>
    </xf>
    <xf numFmtId="2" fontId="9" fillId="0" borderId="69" xfId="1" applyNumberFormat="1" applyFont="1" applyFill="1" applyBorder="1" applyAlignment="1">
      <alignment horizontal="center" vertical="center" wrapText="1"/>
    </xf>
    <xf numFmtId="0" fontId="26" fillId="0" borderId="0" xfId="28" applyFont="1" applyAlignment="1">
      <alignment horizontal="right" wrapText="1"/>
    </xf>
    <xf numFmtId="0" fontId="26" fillId="0" borderId="0" xfId="28" applyFont="1" applyAlignment="1">
      <alignment horizontal="right"/>
    </xf>
    <xf numFmtId="0" fontId="50" fillId="0" borderId="73" xfId="28" applyFont="1" applyBorder="1" applyAlignment="1">
      <alignment horizontal="center" vertical="center" wrapText="1"/>
    </xf>
    <xf numFmtId="0" fontId="50" fillId="0" borderId="76" xfId="28" applyFont="1" applyBorder="1" applyAlignment="1">
      <alignment horizontal="center" vertical="center" wrapText="1"/>
    </xf>
    <xf numFmtId="0" fontId="48" fillId="0" borderId="0" xfId="28" applyFont="1" applyAlignment="1">
      <alignment horizontal="center" vertical="center" wrapText="1"/>
    </xf>
    <xf numFmtId="0" fontId="50" fillId="0" borderId="57" xfId="28" applyFont="1" applyBorder="1" applyAlignment="1">
      <alignment vertical="center" wrapText="1"/>
    </xf>
    <xf numFmtId="0" fontId="50" fillId="0" borderId="75" xfId="28" applyFont="1" applyBorder="1" applyAlignment="1">
      <alignment vertical="center" wrapText="1"/>
    </xf>
    <xf numFmtId="0" fontId="14" fillId="0" borderId="37" xfId="21" applyFont="1" applyBorder="1" applyAlignment="1">
      <alignment horizontal="center" vertical="center" wrapText="1"/>
    </xf>
    <xf numFmtId="0" fontId="14" fillId="0" borderId="56" xfId="21" applyFont="1" applyBorder="1" applyAlignment="1">
      <alignment horizontal="center" vertical="center" wrapText="1"/>
    </xf>
    <xf numFmtId="0" fontId="14" fillId="0" borderId="37" xfId="21" applyFont="1" applyBorder="1" applyAlignment="1">
      <alignment horizontal="left" vertical="center" wrapText="1"/>
    </xf>
    <xf numFmtId="0" fontId="14" fillId="0" borderId="56" xfId="21" applyFont="1" applyBorder="1" applyAlignment="1">
      <alignment horizontal="left" vertical="center" wrapText="1"/>
    </xf>
    <xf numFmtId="0" fontId="14" fillId="0" borderId="37" xfId="21" applyFont="1" applyBorder="1" applyAlignment="1">
      <alignment horizontal="center" wrapText="1"/>
    </xf>
    <xf numFmtId="0" fontId="14" fillId="0" borderId="56" xfId="21" applyFont="1" applyBorder="1" applyAlignment="1">
      <alignment horizontal="center" wrapText="1"/>
    </xf>
    <xf numFmtId="0" fontId="15" fillId="0" borderId="37" xfId="21" applyFont="1" applyFill="1" applyBorder="1" applyAlignment="1">
      <alignment horizontal="right" wrapText="1"/>
    </xf>
    <xf numFmtId="0" fontId="15" fillId="0" borderId="56" xfId="21" applyFont="1" applyFill="1" applyBorder="1" applyAlignment="1">
      <alignment horizontal="right" wrapText="1"/>
    </xf>
    <xf numFmtId="0" fontId="14" fillId="0" borderId="37" xfId="21" applyFont="1" applyBorder="1" applyAlignment="1">
      <alignment horizontal="left" wrapText="1"/>
    </xf>
    <xf numFmtId="0" fontId="14" fillId="0" borderId="56" xfId="21" applyFont="1" applyBorder="1" applyAlignment="1">
      <alignment horizontal="left" wrapText="1"/>
    </xf>
    <xf numFmtId="0" fontId="14" fillId="0" borderId="37" xfId="21" applyFont="1" applyFill="1" applyBorder="1" applyAlignment="1">
      <alignment horizontal="left" wrapText="1"/>
    </xf>
    <xf numFmtId="0" fontId="14" fillId="0" borderId="56" xfId="21" applyFont="1" applyFill="1" applyBorder="1" applyAlignment="1">
      <alignment horizontal="left" wrapText="1"/>
    </xf>
    <xf numFmtId="0" fontId="15" fillId="0" borderId="39" xfId="21" applyFont="1" applyBorder="1" applyAlignment="1">
      <alignment horizontal="right" wrapText="1"/>
    </xf>
    <xf numFmtId="0" fontId="15" fillId="0" borderId="40" xfId="21" applyFont="1" applyBorder="1" applyAlignment="1">
      <alignment horizontal="right" wrapText="1"/>
    </xf>
    <xf numFmtId="0" fontId="14" fillId="0" borderId="45" xfId="21" applyFont="1" applyBorder="1" applyAlignment="1">
      <alignment horizontal="center" vertical="center" wrapText="1"/>
    </xf>
    <xf numFmtId="0" fontId="14" fillId="0" borderId="45" xfId="21" applyFont="1" applyBorder="1" applyAlignment="1">
      <alignment horizontal="left" vertical="center" wrapText="1"/>
    </xf>
    <xf numFmtId="0" fontId="14" fillId="0" borderId="0" xfId="21" applyFont="1" applyAlignment="1">
      <alignment horizontal="right" wrapText="1"/>
    </xf>
    <xf numFmtId="0" fontId="14" fillId="0" borderId="0" xfId="21" applyFont="1" applyAlignment="1">
      <alignment horizontal="right"/>
    </xf>
    <xf numFmtId="0" fontId="14" fillId="0" borderId="0" xfId="21" applyFont="1" applyAlignment="1">
      <alignment horizontal="left"/>
    </xf>
    <xf numFmtId="0" fontId="8" fillId="0" borderId="0" xfId="21" applyFont="1" applyAlignment="1">
      <alignment horizontal="center"/>
    </xf>
    <xf numFmtId="0" fontId="14" fillId="0" borderId="33" xfId="21" applyFont="1" applyBorder="1" applyAlignment="1">
      <alignment horizontal="center" vertical="center" wrapText="1"/>
    </xf>
    <xf numFmtId="0" fontId="14" fillId="0" borderId="47" xfId="21" applyFont="1" applyBorder="1" applyAlignment="1">
      <alignment horizontal="center" vertical="center" wrapText="1"/>
    </xf>
    <xf numFmtId="0" fontId="14" fillId="0" borderId="43" xfId="21" applyFont="1" applyBorder="1" applyAlignment="1">
      <alignment horizontal="center" vertical="center" wrapText="1"/>
    </xf>
    <xf numFmtId="0" fontId="14" fillId="0" borderId="34" xfId="21" applyFont="1" applyBorder="1" applyAlignment="1">
      <alignment horizontal="left" vertical="center" wrapText="1"/>
    </xf>
    <xf numFmtId="0" fontId="14" fillId="0" borderId="48" xfId="21" applyFont="1" applyBorder="1" applyAlignment="1">
      <alignment horizontal="left" vertical="center" wrapText="1"/>
    </xf>
    <xf numFmtId="0" fontId="14" fillId="0" borderId="31" xfId="21" applyFont="1" applyBorder="1" applyAlignment="1">
      <alignment horizontal="left" vertical="center" wrapText="1"/>
    </xf>
    <xf numFmtId="0" fontId="14" fillId="0" borderId="34" xfId="21" applyFont="1" applyBorder="1" applyAlignment="1">
      <alignment horizontal="center" vertical="center" wrapText="1"/>
    </xf>
    <xf numFmtId="0" fontId="14" fillId="0" borderId="31" xfId="21" applyFont="1" applyBorder="1" applyAlignment="1">
      <alignment horizontal="center" vertical="center" wrapText="1"/>
    </xf>
    <xf numFmtId="0" fontId="14" fillId="0" borderId="5" xfId="21" applyFont="1" applyBorder="1" applyAlignment="1">
      <alignment horizontal="center" vertical="center" wrapText="1"/>
    </xf>
    <xf numFmtId="0" fontId="14" fillId="0" borderId="0" xfId="4" applyFont="1" applyAlignment="1">
      <alignment horizontal="right" wrapText="1"/>
    </xf>
    <xf numFmtId="0" fontId="14" fillId="0" borderId="0" xfId="4" applyFont="1" applyAlignment="1">
      <alignment horizontal="right"/>
    </xf>
    <xf numFmtId="0" fontId="9" fillId="0" borderId="39" xfId="4" applyFont="1" applyBorder="1" applyAlignment="1">
      <alignment horizontal="right" wrapText="1"/>
    </xf>
    <xf numFmtId="0" fontId="9" fillId="0" borderId="40" xfId="4" applyFont="1" applyBorder="1" applyAlignment="1">
      <alignment horizontal="right" wrapText="1"/>
    </xf>
    <xf numFmtId="0" fontId="4" fillId="0" borderId="37" xfId="4" applyFont="1" applyBorder="1" applyAlignment="1">
      <alignment horizontal="center" vertical="center" wrapText="1"/>
    </xf>
    <xf numFmtId="0" fontId="4" fillId="0" borderId="45" xfId="4" applyFont="1" applyBorder="1" applyAlignment="1">
      <alignment horizontal="center" vertical="center" wrapText="1"/>
    </xf>
    <xf numFmtId="0" fontId="4" fillId="0" borderId="56" xfId="4" applyFont="1" applyBorder="1" applyAlignment="1">
      <alignment horizontal="center" vertical="center" wrapText="1"/>
    </xf>
    <xf numFmtId="0" fontId="4" fillId="0" borderId="37" xfId="4" applyFont="1" applyBorder="1" applyAlignment="1">
      <alignment horizontal="left" vertical="center" wrapText="1"/>
    </xf>
    <xf numFmtId="0" fontId="4" fillId="0" borderId="45" xfId="4" applyFont="1" applyBorder="1" applyAlignment="1">
      <alignment horizontal="left" vertical="center" wrapText="1"/>
    </xf>
    <xf numFmtId="0" fontId="4" fillId="0" borderId="56" xfId="4" applyFont="1" applyBorder="1" applyAlignment="1">
      <alignment horizontal="left" vertical="center" wrapText="1"/>
    </xf>
    <xf numFmtId="0" fontId="10" fillId="0" borderId="0" xfId="4" applyFont="1" applyAlignment="1">
      <alignment horizontal="center"/>
    </xf>
    <xf numFmtId="0" fontId="4" fillId="0" borderId="5" xfId="4" applyFont="1" applyBorder="1" applyAlignment="1">
      <alignment horizontal="center" vertical="center" wrapText="1"/>
    </xf>
    <xf numFmtId="0" fontId="23" fillId="0" borderId="0" xfId="4" applyFont="1" applyAlignment="1">
      <alignment horizontal="left" wrapText="1"/>
    </xf>
    <xf numFmtId="0" fontId="14" fillId="0" borderId="5" xfId="10" applyFont="1" applyFill="1" applyBorder="1" applyAlignment="1">
      <alignment horizontal="left" vertical="center" wrapText="1"/>
    </xf>
    <xf numFmtId="0" fontId="14" fillId="0" borderId="8" xfId="10" applyFont="1" applyFill="1" applyBorder="1" applyAlignment="1">
      <alignment horizontal="left" vertical="center" wrapText="1"/>
    </xf>
    <xf numFmtId="0" fontId="14" fillId="0" borderId="37" xfId="4" applyFont="1" applyBorder="1" applyAlignment="1">
      <alignment horizontal="left" vertical="center" wrapText="1"/>
    </xf>
    <xf numFmtId="0" fontId="14" fillId="0" borderId="45" xfId="4" applyFont="1" applyBorder="1" applyAlignment="1">
      <alignment horizontal="left" vertical="center" wrapText="1"/>
    </xf>
    <xf numFmtId="0" fontId="14" fillId="0" borderId="56" xfId="4" applyFont="1" applyBorder="1" applyAlignment="1">
      <alignment horizontal="left" vertical="center" wrapText="1"/>
    </xf>
    <xf numFmtId="0" fontId="14" fillId="0" borderId="32" xfId="4" applyFont="1" applyBorder="1" applyAlignment="1">
      <alignment horizontal="center" vertical="center"/>
    </xf>
    <xf numFmtId="0" fontId="14" fillId="0" borderId="25" xfId="4" applyFont="1" applyBorder="1" applyAlignment="1">
      <alignment horizontal="center" vertical="center"/>
    </xf>
    <xf numFmtId="0" fontId="14" fillId="0" borderId="28" xfId="4" applyFont="1" applyBorder="1" applyAlignment="1">
      <alignment horizontal="center" vertical="center"/>
    </xf>
    <xf numFmtId="0" fontId="14" fillId="0" borderId="32" xfId="4" applyFont="1" applyBorder="1" applyAlignment="1">
      <alignment horizontal="center" vertical="center" wrapText="1"/>
    </xf>
    <xf numFmtId="0" fontId="14" fillId="0" borderId="20" xfId="4" applyFont="1" applyBorder="1" applyAlignment="1">
      <alignment horizontal="center" vertical="center" wrapText="1"/>
    </xf>
    <xf numFmtId="0" fontId="14" fillId="0" borderId="4" xfId="4" applyFont="1" applyBorder="1" applyAlignment="1">
      <alignment horizontal="center" vertical="center" wrapText="1"/>
    </xf>
    <xf numFmtId="0" fontId="14" fillId="0" borderId="5" xfId="4" applyFont="1" applyBorder="1" applyAlignment="1">
      <alignment horizontal="left" vertical="center" wrapText="1"/>
    </xf>
    <xf numFmtId="0" fontId="15" fillId="0" borderId="28" xfId="4" applyFont="1" applyBorder="1" applyAlignment="1">
      <alignment horizontal="right" vertical="center" wrapText="1"/>
    </xf>
    <xf numFmtId="0" fontId="15" fillId="0" borderId="56" xfId="4" applyFont="1" applyBorder="1" applyAlignment="1">
      <alignment horizontal="right" vertical="center" wrapText="1"/>
    </xf>
    <xf numFmtId="0" fontId="23" fillId="0" borderId="0" xfId="4" applyFont="1" applyAlignment="1">
      <alignment horizontal="left"/>
    </xf>
    <xf numFmtId="0" fontId="14" fillId="0" borderId="0" xfId="4" applyFont="1" applyFill="1" applyBorder="1" applyAlignment="1">
      <alignment horizontal="left"/>
    </xf>
    <xf numFmtId="49" fontId="15" fillId="0" borderId="0" xfId="4" applyNumberFormat="1" applyFont="1" applyFill="1" applyBorder="1" applyAlignment="1">
      <alignment horizontal="left"/>
    </xf>
    <xf numFmtId="0" fontId="14" fillId="0" borderId="1" xfId="4" applyFont="1" applyBorder="1" applyAlignment="1">
      <alignment horizontal="center" vertical="center" wrapText="1"/>
    </xf>
    <xf numFmtId="0" fontId="14" fillId="0" borderId="7" xfId="4" applyFont="1" applyBorder="1" applyAlignment="1">
      <alignment horizontal="center" vertical="center" wrapText="1"/>
    </xf>
    <xf numFmtId="0" fontId="14" fillId="0" borderId="2" xfId="4" applyFont="1" applyBorder="1" applyAlignment="1">
      <alignment horizontal="center" vertical="center" wrapText="1"/>
    </xf>
    <xf numFmtId="0" fontId="14" fillId="0" borderId="8" xfId="4" applyFont="1" applyBorder="1" applyAlignment="1">
      <alignment horizontal="center" vertical="center" wrapText="1"/>
    </xf>
    <xf numFmtId="0" fontId="14" fillId="0" borderId="3" xfId="4" applyFont="1" applyBorder="1" applyAlignment="1">
      <alignment horizontal="center" vertical="center" wrapText="1"/>
    </xf>
    <xf numFmtId="0" fontId="14" fillId="0" borderId="9" xfId="4" applyFont="1" applyBorder="1" applyAlignment="1">
      <alignment horizontal="center" vertical="center" wrapText="1"/>
    </xf>
    <xf numFmtId="0" fontId="15" fillId="0" borderId="30" xfId="4" applyFont="1" applyBorder="1" applyAlignment="1">
      <alignment horizontal="right" vertical="center" wrapText="1"/>
    </xf>
    <xf numFmtId="0" fontId="15" fillId="0" borderId="31" xfId="4" applyFont="1" applyBorder="1" applyAlignment="1">
      <alignment horizontal="right" vertical="center" wrapText="1"/>
    </xf>
    <xf numFmtId="0" fontId="15" fillId="0" borderId="13" xfId="4" applyFont="1" applyBorder="1" applyAlignment="1">
      <alignment horizontal="right"/>
    </xf>
    <xf numFmtId="0" fontId="15" fillId="0" borderId="14" xfId="4" applyFont="1" applyBorder="1" applyAlignment="1">
      <alignment horizontal="right"/>
    </xf>
    <xf numFmtId="0" fontId="15" fillId="0" borderId="30" xfId="4" applyFont="1" applyBorder="1" applyAlignment="1">
      <alignment horizontal="right" wrapText="1"/>
    </xf>
    <xf numFmtId="0" fontId="15" fillId="0" borderId="31" xfId="4" applyFont="1" applyBorder="1" applyAlignment="1">
      <alignment horizontal="right" wrapText="1"/>
    </xf>
    <xf numFmtId="0" fontId="15" fillId="0" borderId="0" xfId="4" applyFont="1" applyBorder="1" applyAlignment="1">
      <alignment horizontal="left"/>
    </xf>
    <xf numFmtId="0" fontId="15" fillId="0" borderId="13" xfId="4" applyFont="1" applyFill="1" applyBorder="1" applyAlignment="1">
      <alignment horizontal="right"/>
    </xf>
    <xf numFmtId="0" fontId="15" fillId="0" borderId="14" xfId="4" applyFont="1" applyFill="1" applyBorder="1" applyAlignment="1">
      <alignment horizontal="right"/>
    </xf>
    <xf numFmtId="0" fontId="14" fillId="0" borderId="5" xfId="4" applyFont="1" applyFill="1" applyBorder="1" applyAlignment="1">
      <alignment horizontal="center" vertical="center" wrapText="1"/>
    </xf>
    <xf numFmtId="0" fontId="15" fillId="0" borderId="39" xfId="4" applyFont="1" applyFill="1" applyBorder="1" applyAlignment="1">
      <alignment horizontal="right" vertical="center" wrapText="1"/>
    </xf>
    <xf numFmtId="0" fontId="15" fillId="0" borderId="40" xfId="4" applyFont="1" applyFill="1" applyBorder="1" applyAlignment="1">
      <alignment horizontal="right" vertical="center" wrapText="1"/>
    </xf>
    <xf numFmtId="0" fontId="14" fillId="0" borderId="5" xfId="4" applyFont="1" applyFill="1" applyBorder="1" applyAlignment="1">
      <alignment horizontal="left" vertical="center" wrapText="1"/>
    </xf>
    <xf numFmtId="0" fontId="39" fillId="0" borderId="5" xfId="4" applyFont="1" applyFill="1" applyBorder="1" applyAlignment="1">
      <alignment horizontal="left" vertical="center" wrapText="1"/>
    </xf>
    <xf numFmtId="0" fontId="14" fillId="0" borderId="37" xfId="4" applyFont="1" applyFill="1" applyBorder="1" applyAlignment="1">
      <alignment horizontal="center" vertical="center" wrapText="1"/>
    </xf>
    <xf numFmtId="0" fontId="14" fillId="0" borderId="45" xfId="4" applyFont="1" applyFill="1" applyBorder="1" applyAlignment="1">
      <alignment horizontal="center" vertical="center" wrapText="1"/>
    </xf>
    <xf numFmtId="0" fontId="14" fillId="0" borderId="56" xfId="4" applyFont="1" applyFill="1" applyBorder="1" applyAlignment="1">
      <alignment horizontal="center" vertical="center" wrapText="1"/>
    </xf>
    <xf numFmtId="0" fontId="14" fillId="0" borderId="37" xfId="4" applyFont="1" applyFill="1" applyBorder="1" applyAlignment="1">
      <alignment horizontal="left" vertical="center" wrapText="1"/>
    </xf>
    <xf numFmtId="0" fontId="14" fillId="0" borderId="45" xfId="4" applyFont="1" applyFill="1" applyBorder="1" applyAlignment="1">
      <alignment horizontal="left" vertical="center" wrapText="1"/>
    </xf>
    <xf numFmtId="0" fontId="14" fillId="0" borderId="56" xfId="4" applyFont="1" applyFill="1" applyBorder="1" applyAlignment="1">
      <alignment horizontal="left" vertical="center" wrapText="1"/>
    </xf>
    <xf numFmtId="0" fontId="33" fillId="0" borderId="0" xfId="4" applyFont="1" applyFill="1" applyAlignment="1">
      <alignment horizontal="left"/>
    </xf>
    <xf numFmtId="0" fontId="14" fillId="0" borderId="0" xfId="4" applyFont="1" applyFill="1" applyAlignment="1">
      <alignment horizontal="right" wrapText="1"/>
    </xf>
    <xf numFmtId="0" fontId="14" fillId="0" borderId="0" xfId="4" applyFont="1" applyFill="1" applyAlignment="1">
      <alignment horizontal="right"/>
    </xf>
    <xf numFmtId="0" fontId="10" fillId="0" borderId="0" xfId="4" applyFont="1" applyFill="1" applyAlignment="1">
      <alignment horizontal="center"/>
    </xf>
    <xf numFmtId="0" fontId="23" fillId="0" borderId="0" xfId="4" applyFont="1" applyFill="1" applyAlignment="1">
      <alignment horizontal="left"/>
    </xf>
    <xf numFmtId="0" fontId="4" fillId="0" borderId="32" xfId="4" applyFont="1" applyBorder="1" applyAlignment="1">
      <alignment horizontal="center" vertical="center" wrapText="1"/>
    </xf>
    <xf numFmtId="0" fontId="4" fillId="0" borderId="28" xfId="4" applyFont="1" applyBorder="1" applyAlignment="1">
      <alignment horizontal="center" vertical="center" wrapText="1"/>
    </xf>
    <xf numFmtId="0" fontId="4" fillId="0" borderId="37" xfId="4" applyFont="1" applyBorder="1" applyAlignment="1">
      <alignment vertical="center" wrapText="1"/>
    </xf>
    <xf numFmtId="0" fontId="4" fillId="0" borderId="56" xfId="4" applyFont="1" applyBorder="1" applyAlignment="1">
      <alignment vertical="center" wrapText="1"/>
    </xf>
    <xf numFmtId="0" fontId="4" fillId="0" borderId="25" xfId="4" applyFont="1" applyBorder="1" applyAlignment="1">
      <alignment horizontal="center" vertical="center" wrapText="1"/>
    </xf>
    <xf numFmtId="0" fontId="14" fillId="0" borderId="38" xfId="4" applyFont="1" applyBorder="1" applyAlignment="1">
      <alignment horizontal="left" vertical="center" wrapText="1"/>
    </xf>
    <xf numFmtId="0" fontId="14" fillId="0" borderId="49" xfId="4" applyFont="1" applyBorder="1" applyAlignment="1">
      <alignment horizontal="left" vertical="center" wrapText="1"/>
    </xf>
    <xf numFmtId="0" fontId="14" fillId="0" borderId="46" xfId="4" applyFont="1" applyBorder="1" applyAlignment="1">
      <alignment horizontal="left" vertical="center" wrapText="1"/>
    </xf>
    <xf numFmtId="0" fontId="14" fillId="0" borderId="66" xfId="4" applyFont="1" applyBorder="1" applyAlignment="1">
      <alignment horizontal="center" vertical="center" wrapText="1"/>
    </xf>
    <xf numFmtId="0" fontId="14" fillId="0" borderId="49" xfId="4" applyFont="1" applyBorder="1" applyAlignment="1">
      <alignment horizontal="center" vertical="center" wrapText="1"/>
    </xf>
    <xf numFmtId="0" fontId="14" fillId="0" borderId="21" xfId="4" applyFont="1" applyBorder="1" applyAlignment="1">
      <alignment horizontal="center" vertical="center" wrapText="1"/>
    </xf>
    <xf numFmtId="0" fontId="14" fillId="0" borderId="37" xfId="4" applyFont="1" applyBorder="1" applyAlignment="1">
      <alignment horizontal="center" vertical="center" wrapText="1"/>
    </xf>
    <xf numFmtId="0" fontId="14" fillId="0" borderId="62" xfId="4" applyFont="1" applyBorder="1" applyAlignment="1">
      <alignment horizontal="center" vertical="center" wrapText="1"/>
    </xf>
    <xf numFmtId="0" fontId="14" fillId="0" borderId="0" xfId="4" applyFont="1" applyBorder="1" applyAlignment="1">
      <alignment horizontal="left"/>
    </xf>
    <xf numFmtId="0" fontId="9" fillId="0" borderId="0" xfId="4" applyFont="1" applyBorder="1" applyAlignment="1">
      <alignment horizontal="left"/>
    </xf>
    <xf numFmtId="0" fontId="14" fillId="0" borderId="10" xfId="4" applyFont="1" applyBorder="1" applyAlignment="1">
      <alignment horizontal="center" vertical="center" wrapText="1"/>
    </xf>
    <xf numFmtId="0" fontId="14" fillId="0" borderId="44" xfId="4" applyFont="1" applyBorder="1" applyAlignment="1">
      <alignment horizontal="center" vertical="center" wrapText="1"/>
    </xf>
    <xf numFmtId="0" fontId="14" fillId="0" borderId="15" xfId="4" applyFont="1" applyBorder="1" applyAlignment="1">
      <alignment horizontal="center" vertical="center" wrapText="1"/>
    </xf>
    <xf numFmtId="0" fontId="14" fillId="0" borderId="65" xfId="4" applyFont="1" applyBorder="1" applyAlignment="1">
      <alignment horizontal="center" vertical="center" wrapText="1"/>
    </xf>
    <xf numFmtId="0" fontId="14" fillId="0" borderId="48" xfId="4" applyFont="1" applyBorder="1" applyAlignment="1">
      <alignment horizontal="center" vertical="center" wrapText="1"/>
    </xf>
    <xf numFmtId="0" fontId="14" fillId="0" borderId="67" xfId="4" applyFont="1" applyBorder="1" applyAlignment="1">
      <alignment horizontal="center" vertical="center" wrapText="1"/>
    </xf>
    <xf numFmtId="0" fontId="14" fillId="0" borderId="64" xfId="4" applyFont="1" applyBorder="1" applyAlignment="1">
      <alignment horizontal="center" vertical="center" wrapText="1"/>
    </xf>
    <xf numFmtId="0" fontId="14" fillId="0" borderId="43" xfId="4" applyFont="1" applyBorder="1" applyAlignment="1">
      <alignment horizontal="center" vertical="center" wrapText="1"/>
    </xf>
    <xf numFmtId="0" fontId="14" fillId="0" borderId="31" xfId="4" applyFont="1" applyBorder="1" applyAlignment="1">
      <alignment horizontal="center" vertical="center" wrapText="1"/>
    </xf>
    <xf numFmtId="0" fontId="14" fillId="0" borderId="50" xfId="4" applyFont="1" applyBorder="1" applyAlignment="1">
      <alignment horizontal="left" vertical="center" wrapText="1"/>
    </xf>
    <xf numFmtId="0" fontId="14" fillId="0" borderId="52" xfId="4" applyFont="1" applyBorder="1" applyAlignment="1">
      <alignment horizontal="left" vertical="center" wrapText="1"/>
    </xf>
    <xf numFmtId="0" fontId="14" fillId="0" borderId="54" xfId="4" applyFont="1" applyBorder="1" applyAlignment="1">
      <alignment horizontal="left" vertical="center" wrapText="1"/>
    </xf>
    <xf numFmtId="0" fontId="14" fillId="0" borderId="18" xfId="4" applyFont="1" applyBorder="1" applyAlignment="1">
      <alignment horizontal="center" vertical="center" wrapText="1"/>
    </xf>
    <xf numFmtId="0" fontId="14" fillId="0" borderId="22" xfId="4" applyFont="1" applyBorder="1" applyAlignment="1">
      <alignment horizontal="center" vertical="center" wrapText="1"/>
    </xf>
    <xf numFmtId="0" fontId="14" fillId="0" borderId="26" xfId="4" applyFont="1" applyBorder="1" applyAlignment="1">
      <alignment horizontal="center" vertical="center" wrapText="1"/>
    </xf>
    <xf numFmtId="0" fontId="15" fillId="0" borderId="28" xfId="4" applyFont="1" applyBorder="1" applyAlignment="1">
      <alignment horizontal="right" wrapText="1"/>
    </xf>
    <xf numFmtId="0" fontId="15" fillId="0" borderId="56" xfId="4" applyFont="1" applyBorder="1" applyAlignment="1">
      <alignment horizontal="right" wrapText="1"/>
    </xf>
    <xf numFmtId="3" fontId="15" fillId="0" borderId="43" xfId="4" applyNumberFormat="1" applyFont="1" applyBorder="1" applyAlignment="1">
      <alignment horizontal="center" wrapText="1"/>
    </xf>
    <xf numFmtId="3" fontId="15" fillId="0" borderId="59" xfId="4" applyNumberFormat="1" applyFont="1" applyBorder="1" applyAlignment="1">
      <alignment horizontal="center" wrapText="1"/>
    </xf>
    <xf numFmtId="3" fontId="15" fillId="0" borderId="60" xfId="4" applyNumberFormat="1" applyFont="1" applyBorder="1" applyAlignment="1">
      <alignment horizontal="center" wrapText="1"/>
    </xf>
    <xf numFmtId="0" fontId="4" fillId="0" borderId="4" xfId="4" applyFont="1" applyBorder="1" applyAlignment="1">
      <alignment horizontal="center" vertical="center" wrapText="1"/>
    </xf>
    <xf numFmtId="0" fontId="4" fillId="0" borderId="5" xfId="4" applyFont="1" applyBorder="1" applyAlignment="1">
      <alignment horizontal="left" vertical="center" wrapText="1"/>
    </xf>
    <xf numFmtId="0" fontId="14" fillId="0" borderId="33" xfId="4" applyFont="1" applyBorder="1" applyAlignment="1">
      <alignment horizontal="center"/>
    </xf>
    <xf numFmtId="0" fontId="14" fillId="0" borderId="35" xfId="4" applyFont="1" applyBorder="1" applyAlignment="1">
      <alignment horizontal="center"/>
    </xf>
    <xf numFmtId="0" fontId="14" fillId="0" borderId="58" xfId="4" applyFont="1" applyBorder="1" applyAlignment="1">
      <alignment horizontal="center"/>
    </xf>
    <xf numFmtId="0" fontId="14" fillId="0" borderId="47" xfId="30" applyFont="1" applyBorder="1" applyAlignment="1">
      <alignment horizontal="center" vertical="center" wrapText="1"/>
    </xf>
    <xf numFmtId="0" fontId="14" fillId="0" borderId="0" xfId="30" applyFont="1" applyBorder="1" applyAlignment="1">
      <alignment horizontal="center" vertical="center" wrapText="1"/>
    </xf>
    <xf numFmtId="0" fontId="14" fillId="0" borderId="61" xfId="30" applyFont="1" applyBorder="1" applyAlignment="1">
      <alignment horizontal="center" vertical="center" wrapText="1"/>
    </xf>
    <xf numFmtId="0" fontId="14" fillId="0" borderId="47" xfId="30" applyFont="1" applyBorder="1" applyAlignment="1">
      <alignment horizontal="left" vertical="center" wrapText="1"/>
    </xf>
    <xf numFmtId="0" fontId="14" fillId="0" borderId="0" xfId="30" applyFont="1" applyBorder="1" applyAlignment="1">
      <alignment horizontal="left" vertical="center" wrapText="1"/>
    </xf>
    <xf numFmtId="0" fontId="14" fillId="0" borderId="61" xfId="30" applyFont="1" applyBorder="1" applyAlignment="1">
      <alignment horizontal="left" vertical="center" wrapText="1"/>
    </xf>
    <xf numFmtId="0" fontId="14" fillId="0" borderId="43" xfId="30" applyFont="1" applyBorder="1" applyAlignment="1">
      <alignment horizontal="center" vertical="center" wrapText="1"/>
    </xf>
    <xf numFmtId="0" fontId="14" fillId="0" borderId="59" xfId="30" applyFont="1" applyBorder="1" applyAlignment="1">
      <alignment horizontal="center" vertical="center" wrapText="1"/>
    </xf>
    <xf numFmtId="0" fontId="14" fillId="0" borderId="60" xfId="30" applyFont="1" applyBorder="1" applyAlignment="1">
      <alignment horizontal="center" vertical="center" wrapText="1"/>
    </xf>
    <xf numFmtId="0" fontId="8" fillId="0" borderId="0" xfId="4" applyFont="1" applyAlignment="1">
      <alignment horizontal="center"/>
    </xf>
    <xf numFmtId="1" fontId="14" fillId="0" borderId="2" xfId="4" applyNumberFormat="1" applyFont="1" applyBorder="1" applyAlignment="1">
      <alignment horizontal="center" vertical="center" wrapText="1"/>
    </xf>
    <xf numFmtId="1" fontId="14" fillId="0" borderId="8" xfId="4" applyNumberFormat="1" applyFont="1" applyBorder="1" applyAlignment="1">
      <alignment horizontal="center" vertical="center" wrapText="1"/>
    </xf>
    <xf numFmtId="0" fontId="14" fillId="0" borderId="11" xfId="4" applyFont="1" applyBorder="1" applyAlignment="1">
      <alignment horizontal="center" vertical="center" wrapText="1"/>
    </xf>
    <xf numFmtId="0" fontId="14" fillId="0" borderId="24" xfId="4" applyFont="1" applyBorder="1" applyAlignment="1">
      <alignment horizontal="center" vertical="center" wrapText="1"/>
    </xf>
    <xf numFmtId="0" fontId="14" fillId="0" borderId="63" xfId="4" applyFont="1" applyBorder="1" applyAlignment="1">
      <alignment horizontal="center" vertical="center" wrapText="1"/>
    </xf>
    <xf numFmtId="0" fontId="14" fillId="0" borderId="16" xfId="4" applyFont="1" applyBorder="1" applyAlignment="1">
      <alignment horizontal="center" vertical="center" wrapText="1"/>
    </xf>
    <xf numFmtId="0" fontId="14" fillId="0" borderId="17" xfId="4" applyFont="1" applyBorder="1" applyAlignment="1">
      <alignment horizontal="center" vertical="center" wrapText="1"/>
    </xf>
    <xf numFmtId="0" fontId="14" fillId="0" borderId="5" xfId="4" applyFont="1" applyBorder="1" applyAlignment="1">
      <alignment horizontal="center" vertical="center" wrapText="1"/>
    </xf>
    <xf numFmtId="0" fontId="15" fillId="0" borderId="39" xfId="4" applyFont="1" applyBorder="1" applyAlignment="1">
      <alignment horizontal="right" wrapText="1"/>
    </xf>
    <xf numFmtId="0" fontId="15" fillId="0" borderId="40" xfId="4" applyFont="1" applyBorder="1" applyAlignment="1">
      <alignment horizontal="right" wrapText="1"/>
    </xf>
    <xf numFmtId="0" fontId="9" fillId="0" borderId="13" xfId="4" applyFont="1" applyBorder="1" applyAlignment="1">
      <alignment horizontal="right"/>
    </xf>
    <xf numFmtId="0" fontId="9" fillId="0" borderId="14" xfId="4" applyFont="1" applyBorder="1" applyAlignment="1">
      <alignment horizontal="right"/>
    </xf>
    <xf numFmtId="0" fontId="4" fillId="0" borderId="37" xfId="4" applyFont="1" applyFill="1" applyBorder="1" applyAlignment="1">
      <alignment horizontal="center" vertical="center"/>
    </xf>
    <xf numFmtId="0" fontId="4" fillId="0" borderId="56" xfId="4" applyFont="1" applyFill="1" applyBorder="1" applyAlignment="1">
      <alignment horizontal="center" vertical="center"/>
    </xf>
    <xf numFmtId="0" fontId="4" fillId="0" borderId="37" xfId="4" applyFont="1" applyFill="1" applyBorder="1" applyAlignment="1">
      <alignment horizontal="left" vertical="center" wrapText="1"/>
    </xf>
    <xf numFmtId="0" fontId="4" fillId="0" borderId="56" xfId="4" applyFont="1" applyFill="1" applyBorder="1" applyAlignment="1">
      <alignment horizontal="left" vertical="center" wrapText="1"/>
    </xf>
    <xf numFmtId="0" fontId="4" fillId="0" borderId="5" xfId="4" applyFont="1" applyFill="1" applyBorder="1" applyAlignment="1">
      <alignment horizontal="center" vertical="center" wrapText="1"/>
    </xf>
    <xf numFmtId="0" fontId="4" fillId="0" borderId="5" xfId="4" applyFont="1" applyFill="1" applyBorder="1" applyAlignment="1">
      <alignment horizontal="left" vertical="center" wrapText="1"/>
    </xf>
    <xf numFmtId="49" fontId="4" fillId="0" borderId="5" xfId="4" applyNumberFormat="1" applyFont="1" applyFill="1" applyBorder="1" applyAlignment="1">
      <alignment horizontal="center" vertical="center"/>
    </xf>
    <xf numFmtId="0" fontId="4" fillId="0" borderId="0" xfId="4" applyFont="1" applyFill="1" applyBorder="1" applyAlignment="1">
      <alignment horizontal="left"/>
    </xf>
    <xf numFmtId="0" fontId="4" fillId="0" borderId="0" xfId="4" applyFont="1" applyBorder="1" applyAlignment="1">
      <alignment horizontal="left"/>
    </xf>
    <xf numFmtId="49" fontId="4" fillId="0" borderId="37" xfId="4" applyNumberFormat="1" applyFont="1" applyFill="1" applyBorder="1" applyAlignment="1">
      <alignment horizontal="center" vertical="center"/>
    </xf>
    <xf numFmtId="49" fontId="4" fillId="0" borderId="56" xfId="4" applyNumberFormat="1" applyFont="1" applyFill="1" applyBorder="1" applyAlignment="1">
      <alignment horizontal="center" vertical="center"/>
    </xf>
    <xf numFmtId="49" fontId="4" fillId="0" borderId="45" xfId="4" applyNumberFormat="1" applyFont="1" applyFill="1" applyBorder="1" applyAlignment="1">
      <alignment horizontal="center" vertical="center"/>
    </xf>
    <xf numFmtId="0" fontId="4" fillId="0" borderId="45" xfId="4" applyFont="1" applyFill="1" applyBorder="1" applyAlignment="1">
      <alignment horizontal="left" vertical="center" wrapText="1"/>
    </xf>
    <xf numFmtId="0" fontId="4" fillId="0" borderId="37" xfId="4" applyFont="1" applyBorder="1" applyAlignment="1">
      <alignment horizontal="center" vertical="center"/>
    </xf>
    <xf numFmtId="0" fontId="4" fillId="0" borderId="56" xfId="4" applyFont="1" applyBorder="1" applyAlignment="1">
      <alignment horizontal="center" vertical="center"/>
    </xf>
    <xf numFmtId="0" fontId="9" fillId="0" borderId="5" xfId="4" applyFont="1" applyBorder="1" applyAlignment="1">
      <alignment horizontal="right" wrapText="1"/>
    </xf>
    <xf numFmtId="0" fontId="15" fillId="0" borderId="0" xfId="4" applyFont="1" applyFill="1" applyBorder="1" applyAlignment="1">
      <alignment horizontal="left"/>
    </xf>
    <xf numFmtId="0" fontId="15" fillId="0" borderId="5" xfId="4" applyFont="1" applyFill="1" applyBorder="1" applyAlignment="1">
      <alignment horizontal="right" wrapText="1"/>
    </xf>
    <xf numFmtId="0" fontId="14" fillId="0" borderId="37" xfId="4" applyFont="1" applyBorder="1" applyAlignment="1">
      <alignment horizontal="left" wrapText="1"/>
    </xf>
    <xf numFmtId="0" fontId="14" fillId="0" borderId="45" xfId="4" applyFont="1" applyBorder="1" applyAlignment="1">
      <alignment horizontal="left" wrapText="1"/>
    </xf>
    <xf numFmtId="0" fontId="14" fillId="0" borderId="37" xfId="4" applyFont="1" applyFill="1" applyBorder="1" applyAlignment="1">
      <alignment horizontal="center" vertical="center"/>
    </xf>
    <xf numFmtId="0" fontId="14" fillId="0" borderId="56" xfId="4" applyFont="1" applyFill="1" applyBorder="1" applyAlignment="1">
      <alignment horizontal="center" vertical="center"/>
    </xf>
    <xf numFmtId="2" fontId="14" fillId="0" borderId="37" xfId="4" applyNumberFormat="1" applyFont="1" applyFill="1" applyBorder="1" applyAlignment="1" applyProtection="1">
      <alignment horizontal="left" vertical="center" wrapText="1"/>
    </xf>
    <xf numFmtId="2" fontId="14" fillId="0" borderId="56" xfId="4" applyNumberFormat="1" applyFont="1" applyFill="1" applyBorder="1" applyAlignment="1" applyProtection="1">
      <alignment horizontal="left" vertical="center" wrapText="1"/>
    </xf>
    <xf numFmtId="0" fontId="14" fillId="0" borderId="2" xfId="4" applyFont="1" applyFill="1" applyBorder="1" applyAlignment="1">
      <alignment horizontal="center" vertical="center" wrapText="1"/>
    </xf>
    <xf numFmtId="0" fontId="14" fillId="0" borderId="8" xfId="4" applyFont="1" applyFill="1" applyBorder="1" applyAlignment="1">
      <alignment horizontal="center" vertical="center" wrapText="1"/>
    </xf>
    <xf numFmtId="0" fontId="15" fillId="0" borderId="28" xfId="4" applyFont="1" applyFill="1" applyBorder="1" applyAlignment="1">
      <alignment horizontal="right" wrapText="1"/>
    </xf>
    <xf numFmtId="0" fontId="15" fillId="0" borderId="56" xfId="4" applyFont="1" applyFill="1" applyBorder="1" applyAlignment="1">
      <alignment horizontal="right" wrapText="1"/>
    </xf>
    <xf numFmtId="0" fontId="15" fillId="0" borderId="32" xfId="4" applyFont="1" applyFill="1" applyBorder="1" applyAlignment="1">
      <alignment horizontal="center" vertical="center" wrapText="1"/>
    </xf>
    <xf numFmtId="0" fontId="15" fillId="0" borderId="28" xfId="4" applyFont="1" applyFill="1" applyBorder="1" applyAlignment="1">
      <alignment horizontal="center" vertical="center" wrapText="1"/>
    </xf>
    <xf numFmtId="0" fontId="15" fillId="0" borderId="37" xfId="4" applyFont="1" applyFill="1" applyBorder="1" applyAlignment="1">
      <alignment horizontal="left" vertical="center" wrapText="1"/>
    </xf>
    <xf numFmtId="0" fontId="15" fillId="0" borderId="56" xfId="4" applyFont="1" applyFill="1" applyBorder="1" applyAlignment="1">
      <alignment horizontal="left" vertical="center" wrapText="1"/>
    </xf>
    <xf numFmtId="0" fontId="14" fillId="0" borderId="38" xfId="4" applyFont="1" applyBorder="1" applyAlignment="1">
      <alignment horizontal="left" wrapText="1"/>
    </xf>
    <xf numFmtId="0" fontId="14" fillId="0" borderId="46" xfId="4" applyFont="1" applyBorder="1" applyAlignment="1">
      <alignment horizontal="left" wrapText="1"/>
    </xf>
    <xf numFmtId="0" fontId="15" fillId="0" borderId="4" xfId="4" applyFont="1" applyBorder="1" applyAlignment="1">
      <alignment horizontal="center" vertical="center" wrapText="1"/>
    </xf>
    <xf numFmtId="0" fontId="15" fillId="0" borderId="5" xfId="4" applyFont="1" applyBorder="1" applyAlignment="1">
      <alignment horizontal="left" vertical="center"/>
    </xf>
    <xf numFmtId="0" fontId="15" fillId="0" borderId="4" xfId="4" applyFont="1" applyFill="1" applyBorder="1" applyAlignment="1">
      <alignment horizontal="center" vertical="center"/>
    </xf>
    <xf numFmtId="0" fontId="15" fillId="0" borderId="5" xfId="4" applyFont="1" applyFill="1" applyBorder="1" applyAlignment="1">
      <alignment horizontal="left" vertical="center" wrapText="1"/>
    </xf>
    <xf numFmtId="0" fontId="14" fillId="0" borderId="6" xfId="4" applyFont="1" applyFill="1" applyBorder="1" applyAlignment="1">
      <alignment horizontal="left" wrapText="1"/>
    </xf>
    <xf numFmtId="0" fontId="14" fillId="0" borderId="5" xfId="4" applyFont="1" applyFill="1" applyBorder="1" applyAlignment="1">
      <alignment horizontal="left" wrapText="1"/>
    </xf>
    <xf numFmtId="0" fontId="14" fillId="0" borderId="32" xfId="4" applyFont="1" applyFill="1" applyBorder="1" applyAlignment="1">
      <alignment horizontal="center" vertical="center" wrapText="1"/>
    </xf>
    <xf numFmtId="0" fontId="14" fillId="0" borderId="25" xfId="4" applyFont="1" applyFill="1" applyBorder="1" applyAlignment="1">
      <alignment horizontal="center" vertical="center" wrapText="1"/>
    </xf>
    <xf numFmtId="0" fontId="14" fillId="0" borderId="38" xfId="4" applyFont="1" applyFill="1" applyBorder="1" applyAlignment="1">
      <alignment horizontal="left" wrapText="1"/>
    </xf>
    <xf numFmtId="0" fontId="14" fillId="0" borderId="46" xfId="4" applyFont="1" applyFill="1" applyBorder="1" applyAlignment="1">
      <alignment horizontal="left" wrapText="1"/>
    </xf>
    <xf numFmtId="0" fontId="14" fillId="0" borderId="36" xfId="4" applyFont="1" applyBorder="1" applyAlignment="1">
      <alignment horizontal="center" vertical="center" wrapText="1"/>
    </xf>
    <xf numFmtId="0" fontId="14" fillId="0" borderId="30" xfId="4" applyFont="1" applyBorder="1" applyAlignment="1">
      <alignment horizontal="center" vertical="center" wrapText="1"/>
    </xf>
    <xf numFmtId="0" fontId="14" fillId="0" borderId="35" xfId="4" applyFont="1" applyBorder="1" applyAlignment="1">
      <alignment horizontal="left" vertical="center" wrapText="1"/>
    </xf>
    <xf numFmtId="0" fontId="14" fillId="0" borderId="59" xfId="4" applyFont="1" applyBorder="1" applyAlignment="1">
      <alignment horizontal="left" vertical="center" wrapText="1"/>
    </xf>
    <xf numFmtId="0" fontId="15" fillId="0" borderId="42" xfId="4" applyFont="1" applyBorder="1" applyAlignment="1">
      <alignment horizontal="right" wrapText="1"/>
    </xf>
    <xf numFmtId="0" fontId="14" fillId="0" borderId="6" xfId="4" applyFont="1" applyBorder="1" applyAlignment="1">
      <alignment horizontal="center" vertical="center" wrapText="1"/>
    </xf>
    <xf numFmtId="0" fontId="17" fillId="0" borderId="0" xfId="23" applyAlignment="1">
      <alignment horizontal="right" wrapText="1"/>
    </xf>
    <xf numFmtId="0" fontId="15" fillId="0" borderId="5" xfId="4" applyFont="1" applyBorder="1" applyAlignment="1">
      <alignment horizontal="right" wrapText="1"/>
    </xf>
    <xf numFmtId="0" fontId="26" fillId="0" borderId="5" xfId="28" applyFont="1" applyBorder="1" applyAlignment="1">
      <alignment horizontal="center" vertical="center"/>
    </xf>
    <xf numFmtId="0" fontId="14" fillId="0" borderId="5" xfId="28" applyFont="1" applyBorder="1" applyAlignment="1">
      <alignment horizontal="left" vertical="center" wrapText="1"/>
    </xf>
    <xf numFmtId="0" fontId="14" fillId="0" borderId="37" xfId="28" applyFont="1" applyBorder="1" applyAlignment="1">
      <alignment horizontal="center" vertical="center" wrapText="1"/>
    </xf>
    <xf numFmtId="0" fontId="14" fillId="0" borderId="56" xfId="28" applyFont="1" applyBorder="1" applyAlignment="1">
      <alignment horizontal="center" vertical="center" wrapText="1"/>
    </xf>
    <xf numFmtId="0" fontId="17" fillId="0" borderId="37" xfId="23" applyBorder="1" applyAlignment="1">
      <alignment horizontal="center" vertical="center"/>
    </xf>
    <xf numFmtId="0" fontId="17" fillId="0" borderId="45" xfId="23" applyBorder="1" applyAlignment="1">
      <alignment horizontal="center" vertical="center"/>
    </xf>
    <xf numFmtId="0" fontId="17" fillId="0" borderId="56" xfId="23" applyBorder="1" applyAlignment="1">
      <alignment horizontal="center" vertical="center"/>
    </xf>
    <xf numFmtId="0" fontId="14" fillId="0" borderId="37" xfId="28" applyFont="1" applyBorder="1" applyAlignment="1">
      <alignment horizontal="center"/>
    </xf>
    <xf numFmtId="0" fontId="14" fillId="0" borderId="56" xfId="28" applyFont="1" applyBorder="1" applyAlignment="1">
      <alignment horizontal="center"/>
    </xf>
    <xf numFmtId="0" fontId="14" fillId="0" borderId="37" xfId="28" applyFont="1" applyFill="1" applyBorder="1" applyAlignment="1">
      <alignment horizontal="left" vertical="center" wrapText="1"/>
    </xf>
    <xf numFmtId="0" fontId="14" fillId="0" borderId="56" xfId="28" applyFont="1" applyFill="1" applyBorder="1" applyAlignment="1">
      <alignment horizontal="left" vertical="center" wrapText="1"/>
    </xf>
    <xf numFmtId="0" fontId="14" fillId="0" borderId="0" xfId="12" applyFont="1" applyFill="1" applyAlignment="1">
      <alignment horizontal="right" wrapText="1"/>
    </xf>
    <xf numFmtId="0" fontId="14" fillId="0" borderId="0" xfId="12" applyFont="1" applyFill="1" applyAlignment="1">
      <alignment horizontal="right"/>
    </xf>
    <xf numFmtId="0" fontId="14" fillId="0" borderId="5" xfId="12" applyFont="1" applyFill="1" applyBorder="1" applyAlignment="1">
      <alignment horizontal="center" vertical="center" wrapText="1"/>
    </xf>
    <xf numFmtId="0" fontId="15" fillId="0" borderId="5" xfId="12" applyFont="1" applyFill="1" applyBorder="1" applyAlignment="1">
      <alignment horizontal="right" vertical="center" wrapText="1"/>
    </xf>
    <xf numFmtId="0" fontId="8" fillId="0" borderId="0" xfId="12" applyFont="1" applyFill="1" applyAlignment="1">
      <alignment horizontal="center"/>
    </xf>
    <xf numFmtId="0" fontId="14" fillId="0" borderId="0" xfId="12" applyFont="1" applyFill="1" applyBorder="1" applyAlignment="1">
      <alignment horizontal="left"/>
    </xf>
    <xf numFmtId="0" fontId="15" fillId="0" borderId="0" xfId="12" applyFont="1" applyFill="1" applyBorder="1" applyAlignment="1">
      <alignment horizontal="left"/>
    </xf>
    <xf numFmtId="0" fontId="23" fillId="0" borderId="0" xfId="12" applyFont="1" applyFill="1" applyAlignment="1">
      <alignment horizontal="left" wrapText="1"/>
    </xf>
    <xf numFmtId="0" fontId="15" fillId="0" borderId="28" xfId="12" applyFont="1" applyFill="1" applyBorder="1" applyAlignment="1">
      <alignment horizontal="right" vertical="center" wrapText="1"/>
    </xf>
    <xf numFmtId="0" fontId="15" fillId="0" borderId="56" xfId="12" applyFont="1" applyFill="1" applyBorder="1" applyAlignment="1">
      <alignment horizontal="right" vertical="center" wrapText="1"/>
    </xf>
    <xf numFmtId="0" fontId="14" fillId="0" borderId="32" xfId="28" applyFont="1" applyFill="1" applyBorder="1" applyAlignment="1">
      <alignment horizontal="center" vertical="center"/>
    </xf>
    <xf numFmtId="0" fontId="14" fillId="0" borderId="25" xfId="28" applyFont="1" applyFill="1" applyBorder="1" applyAlignment="1">
      <alignment horizontal="center" vertical="center"/>
    </xf>
    <xf numFmtId="0" fontId="14" fillId="0" borderId="28" xfId="28" applyFont="1" applyFill="1" applyBorder="1" applyAlignment="1">
      <alignment horizontal="center" vertical="center"/>
    </xf>
    <xf numFmtId="0" fontId="14" fillId="0" borderId="37" xfId="10" applyFont="1" applyFill="1" applyBorder="1" applyAlignment="1">
      <alignment horizontal="left" vertical="center" wrapText="1"/>
    </xf>
    <xf numFmtId="0" fontId="14" fillId="0" borderId="45" xfId="10" applyFont="1" applyFill="1" applyBorder="1" applyAlignment="1">
      <alignment horizontal="left" vertical="center" wrapText="1"/>
    </xf>
    <xf numFmtId="0" fontId="14" fillId="0" borderId="56" xfId="10" applyFont="1" applyFill="1" applyBorder="1" applyAlignment="1">
      <alignment horizontal="left" vertical="center" wrapText="1"/>
    </xf>
    <xf numFmtId="0" fontId="26" fillId="0" borderId="38" xfId="23" applyFont="1" applyFill="1" applyBorder="1" applyAlignment="1">
      <alignment horizontal="left" vertical="center" wrapText="1"/>
    </xf>
    <xf numFmtId="0" fontId="26" fillId="0" borderId="49" xfId="23" applyFont="1" applyFill="1" applyBorder="1" applyAlignment="1">
      <alignment horizontal="left" vertical="center" wrapText="1"/>
    </xf>
    <xf numFmtId="0" fontId="26" fillId="0" borderId="46" xfId="23" applyFont="1" applyFill="1" applyBorder="1" applyAlignment="1">
      <alignment horizontal="left" vertical="center" wrapText="1"/>
    </xf>
    <xf numFmtId="0" fontId="14" fillId="0" borderId="1" xfId="12" applyFont="1" applyFill="1" applyBorder="1" applyAlignment="1">
      <alignment horizontal="center" vertical="center" wrapText="1"/>
    </xf>
    <xf numFmtId="0" fontId="14" fillId="0" borderId="7" xfId="12" applyFont="1" applyFill="1" applyBorder="1" applyAlignment="1">
      <alignment horizontal="center" vertical="center" wrapText="1"/>
    </xf>
    <xf numFmtId="0" fontId="14" fillId="0" borderId="2" xfId="12" applyFont="1" applyFill="1" applyBorder="1" applyAlignment="1">
      <alignment horizontal="center" vertical="center" wrapText="1"/>
    </xf>
    <xf numFmtId="0" fontId="14" fillId="0" borderId="8" xfId="12" applyFont="1" applyFill="1" applyBorder="1" applyAlignment="1">
      <alignment horizontal="center" vertical="center" wrapText="1"/>
    </xf>
    <xf numFmtId="0" fontId="14" fillId="0" borderId="3" xfId="12" applyFont="1" applyFill="1" applyBorder="1" applyAlignment="1">
      <alignment horizontal="center" vertical="center" wrapText="1"/>
    </xf>
    <xf numFmtId="0" fontId="14" fillId="0" borderId="9" xfId="12" applyFont="1" applyFill="1" applyBorder="1" applyAlignment="1">
      <alignment horizontal="center" vertical="center" wrapText="1"/>
    </xf>
    <xf numFmtId="0" fontId="17" fillId="0" borderId="0" xfId="23" applyFill="1" applyAlignment="1">
      <alignment horizontal="right" wrapText="1"/>
    </xf>
    <xf numFmtId="0" fontId="14" fillId="0" borderId="4" xfId="28" applyFont="1" applyFill="1" applyBorder="1" applyAlignment="1">
      <alignment horizontal="center" vertical="center" wrapText="1"/>
    </xf>
    <xf numFmtId="0" fontId="14" fillId="0" borderId="5" xfId="10" applyFont="1" applyFill="1" applyBorder="1" applyAlignment="1" applyProtection="1">
      <alignment horizontal="left" vertical="center" wrapText="1"/>
      <protection locked="0"/>
    </xf>
    <xf numFmtId="0" fontId="14" fillId="0" borderId="4" xfId="28" applyFont="1" applyFill="1" applyBorder="1" applyAlignment="1">
      <alignment horizontal="center" vertical="center"/>
    </xf>
    <xf numFmtId="0" fontId="15" fillId="0" borderId="13" xfId="12" applyFont="1" applyBorder="1" applyAlignment="1">
      <alignment horizontal="right"/>
    </xf>
    <xf numFmtId="0" fontId="15" fillId="0" borderId="14" xfId="12" applyFont="1" applyBorder="1" applyAlignment="1">
      <alignment horizontal="right"/>
    </xf>
    <xf numFmtId="0" fontId="28" fillId="0" borderId="32" xfId="28" applyFont="1" applyFill="1" applyBorder="1" applyAlignment="1">
      <alignment horizontal="center" vertical="center" wrapText="1"/>
    </xf>
    <xf numFmtId="0" fontId="28" fillId="0" borderId="25" xfId="28" applyFont="1" applyFill="1" applyBorder="1" applyAlignment="1">
      <alignment horizontal="center" vertical="center" wrapText="1"/>
    </xf>
    <xf numFmtId="0" fontId="28" fillId="0" borderId="28" xfId="28" applyFont="1" applyFill="1" applyBorder="1" applyAlignment="1">
      <alignment horizontal="center" vertical="center" wrapText="1"/>
    </xf>
    <xf numFmtId="0" fontId="28" fillId="0" borderId="37" xfId="28" applyFont="1" applyFill="1" applyBorder="1" applyAlignment="1">
      <alignment horizontal="left" vertical="center" wrapText="1"/>
    </xf>
    <xf numFmtId="0" fontId="28" fillId="0" borderId="45" xfId="28" applyFont="1" applyFill="1" applyBorder="1" applyAlignment="1">
      <alignment horizontal="left" vertical="center" wrapText="1"/>
    </xf>
    <xf numFmtId="0" fontId="28" fillId="0" borderId="56" xfId="28" applyFont="1" applyFill="1" applyBorder="1" applyAlignment="1">
      <alignment horizontal="left" vertical="center" wrapText="1"/>
    </xf>
    <xf numFmtId="0" fontId="12" fillId="0" borderId="4" xfId="4" applyFont="1" applyFill="1" applyBorder="1" applyAlignment="1">
      <alignment horizontal="center" vertical="center" wrapText="1"/>
    </xf>
    <xf numFmtId="0" fontId="12" fillId="0" borderId="5" xfId="4" applyFont="1" applyFill="1" applyBorder="1" applyAlignment="1">
      <alignment vertical="center" wrapText="1"/>
    </xf>
    <xf numFmtId="3" fontId="12" fillId="0" borderId="5" xfId="4" applyNumberFormat="1" applyFont="1" applyFill="1" applyBorder="1" applyAlignment="1">
      <alignment horizontal="right" vertical="center" wrapText="1"/>
    </xf>
    <xf numFmtId="3" fontId="12" fillId="0" borderId="5" xfId="4" applyNumberFormat="1" applyFont="1" applyFill="1" applyBorder="1" applyAlignment="1">
      <alignment horizontal="right" vertical="center"/>
    </xf>
    <xf numFmtId="0" fontId="12" fillId="0" borderId="32" xfId="4" applyFont="1" applyFill="1" applyBorder="1" applyAlignment="1">
      <alignment horizontal="center" vertical="center"/>
    </xf>
    <xf numFmtId="0" fontId="12" fillId="0" borderId="28" xfId="4" applyFont="1" applyFill="1" applyBorder="1" applyAlignment="1">
      <alignment horizontal="center" vertical="center"/>
    </xf>
    <xf numFmtId="0" fontId="12" fillId="0" borderId="37" xfId="4" applyFont="1" applyFill="1" applyBorder="1" applyAlignment="1">
      <alignment horizontal="left" vertical="center" wrapText="1"/>
    </xf>
    <xf numFmtId="0" fontId="12" fillId="0" borderId="56" xfId="4" applyFont="1" applyFill="1" applyBorder="1" applyAlignment="1">
      <alignment horizontal="left" vertical="center" wrapText="1"/>
    </xf>
    <xf numFmtId="0" fontId="12" fillId="0" borderId="4" xfId="4" applyFont="1" applyFill="1" applyBorder="1" applyAlignment="1">
      <alignment horizontal="center" vertical="center"/>
    </xf>
    <xf numFmtId="0" fontId="12" fillId="0" borderId="5" xfId="4" applyFont="1" applyFill="1" applyBorder="1" applyAlignment="1">
      <alignment horizontal="left" vertical="center" wrapText="1"/>
    </xf>
    <xf numFmtId="0" fontId="12" fillId="0" borderId="5" xfId="4" applyFont="1" applyFill="1" applyBorder="1" applyAlignment="1">
      <alignment horizontal="right" vertical="center"/>
    </xf>
    <xf numFmtId="3" fontId="12" fillId="0" borderId="5" xfId="4" applyNumberFormat="1" applyFont="1" applyFill="1" applyBorder="1" applyAlignment="1">
      <alignment vertical="center" wrapText="1"/>
    </xf>
    <xf numFmtId="3" fontId="12" fillId="0" borderId="5" xfId="4" applyNumberFormat="1" applyFont="1" applyFill="1" applyBorder="1" applyAlignment="1">
      <alignment vertical="center"/>
    </xf>
    <xf numFmtId="0" fontId="25" fillId="0" borderId="4" xfId="4" applyFont="1" applyFill="1" applyBorder="1" applyAlignment="1">
      <alignment horizontal="left" vertical="center" wrapText="1"/>
    </xf>
    <xf numFmtId="0" fontId="25" fillId="0" borderId="5" xfId="4" applyFont="1" applyFill="1" applyBorder="1" applyAlignment="1">
      <alignment horizontal="left" vertical="center" wrapText="1"/>
    </xf>
    <xf numFmtId="0" fontId="12" fillId="0" borderId="5" xfId="4" applyFont="1" applyFill="1" applyBorder="1" applyAlignment="1">
      <alignment horizontal="right" vertical="center" wrapText="1"/>
    </xf>
    <xf numFmtId="3" fontId="12" fillId="0" borderId="5" xfId="25" applyNumberFormat="1" applyFont="1" applyFill="1" applyBorder="1" applyAlignment="1">
      <alignment horizontal="right" vertical="center" wrapText="1"/>
    </xf>
    <xf numFmtId="0" fontId="25" fillId="0" borderId="5" xfId="4" applyFont="1" applyFill="1" applyBorder="1" applyAlignment="1">
      <alignment horizontal="right" vertical="center"/>
    </xf>
    <xf numFmtId="0" fontId="25" fillId="0" borderId="28" xfId="4" applyFont="1" applyFill="1" applyBorder="1" applyAlignment="1">
      <alignment horizontal="center" vertical="center" wrapText="1"/>
    </xf>
    <xf numFmtId="0" fontId="25" fillId="0" borderId="56" xfId="4" applyFont="1" applyFill="1" applyBorder="1" applyAlignment="1">
      <alignment horizontal="center" vertical="center" wrapText="1"/>
    </xf>
    <xf numFmtId="0" fontId="8" fillId="0" borderId="0" xfId="4" applyFont="1" applyFill="1" applyAlignment="1">
      <alignment horizontal="center"/>
    </xf>
    <xf numFmtId="0" fontId="12" fillId="0" borderId="1" xfId="4" applyFont="1" applyFill="1" applyBorder="1" applyAlignment="1">
      <alignment horizontal="center" vertical="center" wrapText="1"/>
    </xf>
    <xf numFmtId="0" fontId="12" fillId="0" borderId="7" xfId="4" applyFont="1" applyFill="1" applyBorder="1" applyAlignment="1">
      <alignment horizontal="center" vertical="center" wrapText="1"/>
    </xf>
    <xf numFmtId="0" fontId="12" fillId="0" borderId="2" xfId="4" applyFont="1" applyFill="1" applyBorder="1" applyAlignment="1">
      <alignment horizontal="center" vertical="center" wrapText="1"/>
    </xf>
    <xf numFmtId="0" fontId="12" fillId="0" borderId="8" xfId="4" applyFont="1" applyFill="1" applyBorder="1" applyAlignment="1">
      <alignment horizontal="center" vertical="center" wrapText="1"/>
    </xf>
    <xf numFmtId="0" fontId="12" fillId="0" borderId="3" xfId="4" applyFont="1" applyFill="1" applyBorder="1" applyAlignment="1">
      <alignment horizontal="center" vertical="center" wrapText="1"/>
    </xf>
    <xf numFmtId="0" fontId="12" fillId="0" borderId="9" xfId="4" applyFont="1" applyFill="1" applyBorder="1" applyAlignment="1">
      <alignment horizontal="center" vertical="center" wrapText="1"/>
    </xf>
    <xf numFmtId="0" fontId="14" fillId="0" borderId="0" xfId="0" applyFont="1" applyAlignment="1">
      <alignment horizontal="right" wrapText="1"/>
    </xf>
    <xf numFmtId="0" fontId="14" fillId="0" borderId="0" xfId="0" applyFont="1" applyAlignment="1">
      <alignment horizontal="right"/>
    </xf>
    <xf numFmtId="0" fontId="15" fillId="0" borderId="39" xfId="0" applyFont="1" applyBorder="1" applyAlignment="1">
      <alignment horizontal="right" wrapText="1"/>
    </xf>
    <xf numFmtId="0" fontId="15" fillId="0" borderId="40" xfId="0" applyFont="1" applyBorder="1" applyAlignment="1">
      <alignment horizontal="right" wrapText="1"/>
    </xf>
    <xf numFmtId="0" fontId="15" fillId="0" borderId="13" xfId="0" applyFont="1" applyBorder="1" applyAlignment="1">
      <alignment horizontal="right"/>
    </xf>
    <xf numFmtId="0" fontId="15" fillId="0" borderId="14" xfId="0" applyFont="1" applyBorder="1" applyAlignment="1">
      <alignment horizontal="right"/>
    </xf>
    <xf numFmtId="0" fontId="14" fillId="0" borderId="0" xfId="0" applyFont="1" applyAlignment="1">
      <alignment horizontal="center"/>
    </xf>
    <xf numFmtId="0" fontId="8" fillId="0" borderId="0" xfId="0" applyFont="1" applyAlignment="1">
      <alignment horizontal="center"/>
    </xf>
    <xf numFmtId="0" fontId="23" fillId="0" borderId="0" xfId="0" applyFont="1" applyAlignment="1">
      <alignment horizontal="left"/>
    </xf>
    <xf numFmtId="0" fontId="14" fillId="0" borderId="0" xfId="0" applyFont="1" applyBorder="1" applyAlignment="1">
      <alignment horizontal="left"/>
    </xf>
    <xf numFmtId="0" fontId="15" fillId="0" borderId="59" xfId="0" applyFont="1" applyBorder="1" applyAlignment="1">
      <alignment horizontal="left"/>
    </xf>
    <xf numFmtId="0" fontId="14" fillId="0" borderId="37" xfId="0" applyFont="1" applyBorder="1" applyAlignment="1">
      <alignment horizontal="left" vertical="center" wrapText="1"/>
    </xf>
    <xf numFmtId="0" fontId="14" fillId="0" borderId="45" xfId="0" applyFont="1" applyBorder="1" applyAlignment="1">
      <alignment horizontal="left" vertical="center" wrapText="1"/>
    </xf>
    <xf numFmtId="0" fontId="14" fillId="0" borderId="56" xfId="0" applyFont="1" applyBorder="1" applyAlignment="1">
      <alignment horizontal="left" vertical="center" wrapText="1"/>
    </xf>
    <xf numFmtId="0" fontId="14" fillId="0" borderId="37"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56" xfId="0" applyFont="1" applyBorder="1" applyAlignment="1">
      <alignment horizontal="center" vertical="center" wrapText="1"/>
    </xf>
    <xf numFmtId="0" fontId="15" fillId="0" borderId="13" xfId="12" applyFont="1" applyFill="1" applyBorder="1" applyAlignment="1">
      <alignment horizontal="right"/>
    </xf>
    <xf numFmtId="0" fontId="15" fillId="0" borderId="14" xfId="12" applyFont="1" applyFill="1" applyBorder="1" applyAlignment="1">
      <alignment horizontal="right"/>
    </xf>
    <xf numFmtId="168" fontId="14" fillId="0" borderId="32" xfId="10" applyNumberFormat="1" applyFont="1" applyFill="1" applyBorder="1" applyAlignment="1">
      <alignment horizontal="center" vertical="center" wrapText="1"/>
    </xf>
    <xf numFmtId="168" fontId="14" fillId="0" borderId="28" xfId="10" applyNumberFormat="1" applyFont="1" applyFill="1" applyBorder="1" applyAlignment="1">
      <alignment horizontal="center" vertical="center" wrapText="1"/>
    </xf>
    <xf numFmtId="167" fontId="14" fillId="0" borderId="37" xfId="10" applyNumberFormat="1" applyFont="1" applyFill="1" applyBorder="1" applyAlignment="1">
      <alignment horizontal="left" vertical="center" wrapText="1"/>
    </xf>
    <xf numFmtId="167" fontId="14" fillId="0" borderId="56" xfId="10" applyNumberFormat="1" applyFont="1" applyFill="1" applyBorder="1" applyAlignment="1">
      <alignment horizontal="left" vertical="center" wrapText="1"/>
    </xf>
    <xf numFmtId="168" fontId="14" fillId="0" borderId="32" xfId="10" applyNumberFormat="1" applyFont="1" applyFill="1" applyBorder="1" applyAlignment="1">
      <alignment horizontal="center" wrapText="1"/>
    </xf>
    <xf numFmtId="168" fontId="14" fillId="0" borderId="28" xfId="10" applyNumberFormat="1" applyFont="1" applyFill="1" applyBorder="1" applyAlignment="1">
      <alignment horizontal="center" wrapText="1"/>
    </xf>
    <xf numFmtId="167" fontId="14" fillId="0" borderId="37" xfId="10" applyNumberFormat="1" applyFont="1" applyFill="1" applyBorder="1" applyAlignment="1">
      <alignment horizontal="left" wrapText="1"/>
    </xf>
    <xf numFmtId="167" fontId="14" fillId="0" borderId="56" xfId="10" applyNumberFormat="1" applyFont="1" applyFill="1" applyBorder="1" applyAlignment="1">
      <alignment horizontal="left" wrapText="1"/>
    </xf>
    <xf numFmtId="168" fontId="14" fillId="0" borderId="4" xfId="10" applyNumberFormat="1" applyFont="1" applyFill="1" applyBorder="1" applyAlignment="1">
      <alignment horizontal="center" vertical="center" wrapText="1"/>
    </xf>
    <xf numFmtId="167" fontId="14" fillId="0" borderId="5" xfId="10" applyNumberFormat="1" applyFont="1" applyFill="1" applyBorder="1" applyAlignment="1">
      <alignment horizontal="left" vertical="center" wrapText="1"/>
    </xf>
    <xf numFmtId="169" fontId="14" fillId="0" borderId="4" xfId="10" applyNumberFormat="1" applyFont="1" applyFill="1" applyBorder="1" applyAlignment="1">
      <alignment horizontal="center" vertical="center" wrapText="1"/>
    </xf>
    <xf numFmtId="168" fontId="14" fillId="0" borderId="25" xfId="10" applyNumberFormat="1" applyFont="1" applyFill="1" applyBorder="1" applyAlignment="1">
      <alignment horizontal="center" vertical="center" wrapText="1"/>
    </xf>
    <xf numFmtId="167" fontId="14" fillId="0" borderId="45" xfId="10" applyNumberFormat="1" applyFont="1" applyFill="1" applyBorder="1" applyAlignment="1">
      <alignment horizontal="left" vertical="center" wrapText="1"/>
    </xf>
    <xf numFmtId="49" fontId="14" fillId="0" borderId="4" xfId="24" applyNumberFormat="1" applyFont="1" applyFill="1" applyBorder="1" applyAlignment="1">
      <alignment horizontal="center" vertical="center" wrapText="1"/>
    </xf>
    <xf numFmtId="0" fontId="14" fillId="0" borderId="5" xfId="24" applyFont="1" applyFill="1" applyBorder="1" applyAlignment="1">
      <alignment vertical="center" wrapText="1"/>
    </xf>
    <xf numFmtId="49" fontId="14" fillId="0" borderId="32" xfId="24" applyNumberFormat="1" applyFont="1" applyFill="1" applyBorder="1" applyAlignment="1">
      <alignment horizontal="center" vertical="center" wrapText="1"/>
    </xf>
    <xf numFmtId="49" fontId="14" fillId="0" borderId="28" xfId="24" applyNumberFormat="1" applyFont="1" applyFill="1" applyBorder="1" applyAlignment="1">
      <alignment horizontal="center" vertical="center" wrapText="1"/>
    </xf>
    <xf numFmtId="0" fontId="14" fillId="0" borderId="37" xfId="24" applyFont="1" applyFill="1" applyBorder="1" applyAlignment="1">
      <alignment horizontal="left" wrapText="1"/>
    </xf>
    <xf numFmtId="0" fontId="14" fillId="0" borderId="45" xfId="24" applyFont="1" applyFill="1" applyBorder="1" applyAlignment="1">
      <alignment horizontal="left" wrapText="1"/>
    </xf>
    <xf numFmtId="0" fontId="14" fillId="0" borderId="5" xfId="24" applyFont="1" applyFill="1" applyBorder="1" applyAlignment="1">
      <alignment horizontal="left" vertical="center" wrapText="1"/>
    </xf>
    <xf numFmtId="49" fontId="14" fillId="0" borderId="4" xfId="10" applyNumberFormat="1" applyFont="1" applyFill="1" applyBorder="1" applyAlignment="1">
      <alignment horizontal="center" vertical="center" wrapText="1"/>
    </xf>
    <xf numFmtId="0" fontId="14" fillId="0" borderId="5" xfId="10" applyFont="1" applyFill="1" applyBorder="1" applyAlignment="1">
      <alignment vertical="center" wrapText="1"/>
    </xf>
    <xf numFmtId="0" fontId="14" fillId="0" borderId="56" xfId="24" applyFont="1" applyFill="1" applyBorder="1" applyAlignment="1">
      <alignment vertical="center" wrapText="1"/>
    </xf>
    <xf numFmtId="49" fontId="14" fillId="0" borderId="32" xfId="10" applyNumberFormat="1" applyFont="1" applyFill="1" applyBorder="1" applyAlignment="1">
      <alignment horizontal="center" vertical="center" wrapText="1"/>
    </xf>
    <xf numFmtId="0" fontId="14" fillId="0" borderId="37" xfId="10" applyFont="1" applyFill="1" applyBorder="1" applyAlignment="1">
      <alignment vertical="center" wrapText="1"/>
    </xf>
    <xf numFmtId="49" fontId="14" fillId="0" borderId="25" xfId="24" applyNumberFormat="1" applyFont="1" applyFill="1" applyBorder="1" applyAlignment="1">
      <alignment horizontal="center" vertical="center" wrapText="1"/>
    </xf>
    <xf numFmtId="169" fontId="14" fillId="0" borderId="32" xfId="10" applyNumberFormat="1" applyFont="1" applyFill="1" applyBorder="1" applyAlignment="1">
      <alignment horizontal="center" vertical="center" wrapText="1"/>
    </xf>
    <xf numFmtId="169" fontId="14" fillId="0" borderId="25" xfId="10" applyNumberFormat="1" applyFont="1" applyFill="1" applyBorder="1" applyAlignment="1">
      <alignment horizontal="center" vertical="center" wrapText="1"/>
    </xf>
    <xf numFmtId="169" fontId="14" fillId="0" borderId="28" xfId="10" applyNumberFormat="1" applyFont="1" applyFill="1" applyBorder="1" applyAlignment="1">
      <alignment horizontal="center" vertical="center" wrapText="1"/>
    </xf>
    <xf numFmtId="169" fontId="14" fillId="0" borderId="32" xfId="10" applyNumberFormat="1" applyFont="1" applyFill="1" applyBorder="1" applyAlignment="1">
      <alignment horizontal="center" wrapText="1"/>
    </xf>
    <xf numFmtId="169" fontId="14" fillId="0" borderId="28" xfId="10" applyNumberFormat="1" applyFont="1" applyFill="1" applyBorder="1" applyAlignment="1">
      <alignment horizontal="center" wrapText="1"/>
    </xf>
    <xf numFmtId="167" fontId="14" fillId="0" borderId="5" xfId="10" applyNumberFormat="1" applyFont="1" applyFill="1" applyBorder="1" applyAlignment="1">
      <alignment vertical="center" wrapText="1"/>
    </xf>
    <xf numFmtId="0" fontId="14" fillId="0" borderId="37" xfId="24" applyFont="1" applyFill="1" applyBorder="1" applyAlignment="1">
      <alignment horizontal="left" vertical="center" wrapText="1"/>
    </xf>
    <xf numFmtId="0" fontId="14" fillId="0" borderId="45" xfId="24" applyFont="1" applyFill="1" applyBorder="1" applyAlignment="1">
      <alignment horizontal="left" vertical="center" wrapText="1"/>
    </xf>
    <xf numFmtId="0" fontId="14" fillId="0" borderId="56" xfId="24" applyFont="1" applyFill="1" applyBorder="1" applyAlignment="1">
      <alignment horizontal="left" vertical="center" wrapText="1"/>
    </xf>
    <xf numFmtId="49" fontId="14" fillId="0" borderId="28" xfId="10" applyNumberFormat="1" applyFont="1" applyFill="1" applyBorder="1" applyAlignment="1">
      <alignment horizontal="center" vertical="center" wrapText="1"/>
    </xf>
    <xf numFmtId="0" fontId="14" fillId="0" borderId="5" xfId="29" applyFont="1" applyFill="1" applyBorder="1" applyAlignment="1">
      <alignment vertical="center" wrapText="1"/>
    </xf>
    <xf numFmtId="0" fontId="14" fillId="0" borderId="5" xfId="29" applyFont="1" applyFill="1" applyBorder="1" applyAlignment="1">
      <alignment horizontal="left" vertical="center" wrapText="1"/>
    </xf>
    <xf numFmtId="49" fontId="14" fillId="0" borderId="32" xfId="24" applyNumberFormat="1" applyFont="1" applyFill="1" applyBorder="1" applyAlignment="1">
      <alignment horizontal="center" wrapText="1"/>
    </xf>
    <xf numFmtId="49" fontId="14" fillId="0" borderId="25" xfId="24" applyNumberFormat="1" applyFont="1" applyFill="1" applyBorder="1" applyAlignment="1">
      <alignment horizontal="center" wrapText="1"/>
    </xf>
    <xf numFmtId="49" fontId="14" fillId="0" borderId="28" xfId="24" applyNumberFormat="1" applyFont="1" applyFill="1" applyBorder="1" applyAlignment="1">
      <alignment horizontal="center" wrapText="1"/>
    </xf>
    <xf numFmtId="0" fontId="14" fillId="0" borderId="37" xfId="10" applyFont="1" applyFill="1" applyBorder="1" applyAlignment="1">
      <alignment horizontal="left" wrapText="1"/>
    </xf>
    <xf numFmtId="0" fontId="14" fillId="0" borderId="45" xfId="10" applyFont="1" applyFill="1" applyBorder="1" applyAlignment="1">
      <alignment horizontal="left" wrapText="1"/>
    </xf>
    <xf numFmtId="0" fontId="14" fillId="0" borderId="56" xfId="10" applyFont="1" applyFill="1" applyBorder="1" applyAlignment="1">
      <alignment horizontal="left" wrapText="1"/>
    </xf>
    <xf numFmtId="0" fontId="14" fillId="0" borderId="37" xfId="24" applyFont="1" applyFill="1" applyBorder="1" applyAlignment="1">
      <alignment vertical="center" wrapText="1"/>
    </xf>
    <xf numFmtId="0" fontId="14" fillId="0" borderId="56" xfId="24" applyFont="1" applyFill="1" applyBorder="1" applyAlignment="1">
      <alignment horizontal="left" wrapText="1"/>
    </xf>
    <xf numFmtId="167" fontId="14" fillId="0" borderId="45" xfId="10" applyNumberFormat="1" applyFont="1" applyFill="1" applyBorder="1" applyAlignment="1">
      <alignment horizontal="left" wrapText="1"/>
    </xf>
    <xf numFmtId="43" fontId="14" fillId="0" borderId="44" xfId="22" applyFont="1" applyFill="1" applyBorder="1" applyAlignment="1">
      <alignment horizontal="center" wrapText="1"/>
    </xf>
    <xf numFmtId="43" fontId="14" fillId="0" borderId="30" xfId="22" applyFont="1" applyFill="1" applyBorder="1" applyAlignment="1">
      <alignment horizontal="center" wrapText="1"/>
    </xf>
    <xf numFmtId="43" fontId="14" fillId="0" borderId="48" xfId="22" applyFont="1" applyFill="1" applyBorder="1" applyAlignment="1">
      <alignment horizontal="left" wrapText="1"/>
    </xf>
    <xf numFmtId="43" fontId="14" fillId="0" borderId="31" xfId="22" applyFont="1" applyFill="1" applyBorder="1" applyAlignment="1">
      <alignment horizontal="left" wrapText="1"/>
    </xf>
    <xf numFmtId="49" fontId="14" fillId="0" borderId="32" xfId="10" applyNumberFormat="1" applyFont="1" applyFill="1" applyBorder="1" applyAlignment="1">
      <alignment horizontal="center" wrapText="1"/>
    </xf>
    <xf numFmtId="49" fontId="14" fillId="0" borderId="25" xfId="10" applyNumberFormat="1" applyFont="1" applyFill="1" applyBorder="1" applyAlignment="1">
      <alignment horizontal="center" wrapText="1"/>
    </xf>
    <xf numFmtId="49" fontId="14" fillId="0" borderId="28" xfId="10" applyNumberFormat="1" applyFont="1" applyFill="1" applyBorder="1" applyAlignment="1">
      <alignment horizontal="center" wrapText="1"/>
    </xf>
    <xf numFmtId="0" fontId="10" fillId="0" borderId="0" xfId="12" applyFont="1" applyFill="1" applyAlignment="1">
      <alignment horizontal="center"/>
    </xf>
    <xf numFmtId="0" fontId="23" fillId="0" borderId="0" xfId="12" applyFont="1" applyFill="1" applyAlignment="1">
      <alignment horizontal="left"/>
    </xf>
    <xf numFmtId="0" fontId="26" fillId="0" borderId="0" xfId="12" applyFont="1" applyFill="1" applyAlignment="1">
      <alignment horizontal="right" wrapText="1"/>
    </xf>
    <xf numFmtId="0" fontId="26" fillId="0" borderId="0" xfId="12" applyFont="1" applyFill="1" applyAlignment="1">
      <alignment horizontal="right"/>
    </xf>
    <xf numFmtId="0" fontId="8" fillId="0" borderId="0" xfId="16" applyFont="1" applyAlignment="1">
      <alignment horizontal="center"/>
    </xf>
    <xf numFmtId="0" fontId="14" fillId="0" borderId="0" xfId="31" applyFont="1" applyAlignment="1">
      <alignment horizontal="left"/>
    </xf>
    <xf numFmtId="0" fontId="14" fillId="0" borderId="37" xfId="31" applyFont="1" applyBorder="1" applyAlignment="1">
      <alignment horizontal="center" vertical="center" wrapText="1"/>
    </xf>
    <xf numFmtId="0" fontId="14" fillId="0" borderId="56" xfId="31" applyFont="1" applyBorder="1" applyAlignment="1">
      <alignment horizontal="center" vertical="center" wrapText="1"/>
    </xf>
    <xf numFmtId="0" fontId="15" fillId="0" borderId="5" xfId="31" applyFont="1" applyBorder="1" applyAlignment="1">
      <alignment horizontal="right" wrapText="1"/>
    </xf>
    <xf numFmtId="0" fontId="15" fillId="0" borderId="37" xfId="31" applyFont="1" applyBorder="1" applyAlignment="1">
      <alignment horizontal="right" wrapText="1"/>
    </xf>
    <xf numFmtId="0" fontId="10" fillId="0" borderId="0" xfId="31" applyFont="1" applyAlignment="1">
      <alignment horizontal="center"/>
    </xf>
    <xf numFmtId="0" fontId="14" fillId="0" borderId="0" xfId="16" applyFont="1" applyAlignment="1">
      <alignment horizontal="right" wrapText="1"/>
    </xf>
    <xf numFmtId="0" fontId="14" fillId="0" borderId="0" xfId="16" applyFont="1" applyAlignment="1">
      <alignment horizontal="right"/>
    </xf>
    <xf numFmtId="0" fontId="15" fillId="0" borderId="39" xfId="31" applyFont="1" applyBorder="1" applyAlignment="1">
      <alignment horizontal="right" wrapText="1"/>
    </xf>
    <xf numFmtId="0" fontId="15" fillId="0" borderId="34" xfId="31" applyFont="1" applyBorder="1" applyAlignment="1">
      <alignment horizontal="right" wrapText="1"/>
    </xf>
    <xf numFmtId="0" fontId="14" fillId="0" borderId="45" xfId="4" applyFont="1" applyBorder="1" applyAlignment="1">
      <alignment horizontal="center" vertical="center" wrapText="1"/>
    </xf>
    <xf numFmtId="0" fontId="15" fillId="0" borderId="13" xfId="31" applyFont="1" applyBorder="1" applyAlignment="1">
      <alignment horizontal="right"/>
    </xf>
    <xf numFmtId="0" fontId="15" fillId="0" borderId="14" xfId="31" applyFont="1" applyBorder="1" applyAlignment="1">
      <alignment horizontal="right"/>
    </xf>
    <xf numFmtId="0" fontId="14" fillId="0" borderId="45" xfId="31" applyFont="1" applyBorder="1" applyAlignment="1">
      <alignment horizontal="center" vertical="center" wrapText="1"/>
    </xf>
    <xf numFmtId="0" fontId="14" fillId="0" borderId="62" xfId="31" applyFont="1" applyBorder="1" applyAlignment="1">
      <alignment horizontal="center" vertical="center" wrapText="1"/>
    </xf>
    <xf numFmtId="0" fontId="2" fillId="0" borderId="0" xfId="16" applyAlignment="1">
      <alignment horizontal="right"/>
    </xf>
    <xf numFmtId="0" fontId="4" fillId="0" borderId="37" xfId="31" applyFont="1" applyBorder="1" applyAlignment="1">
      <alignment horizontal="center" vertical="center" wrapText="1"/>
    </xf>
    <xf numFmtId="0" fontId="4" fillId="0" borderId="56" xfId="31" applyFont="1" applyBorder="1" applyAlignment="1">
      <alignment horizontal="center" vertical="center" wrapText="1"/>
    </xf>
    <xf numFmtId="0" fontId="10" fillId="0" borderId="0" xfId="16" applyFont="1" applyAlignment="1">
      <alignment horizontal="left"/>
    </xf>
    <xf numFmtId="0" fontId="14" fillId="0" borderId="0" xfId="16" applyFont="1" applyBorder="1" applyAlignment="1">
      <alignment horizontal="left"/>
    </xf>
    <xf numFmtId="0" fontId="9" fillId="0" borderId="5" xfId="31" applyFont="1" applyBorder="1" applyAlignment="1">
      <alignment horizontal="right" wrapText="1"/>
    </xf>
    <xf numFmtId="0" fontId="9" fillId="0" borderId="37" xfId="31" applyFont="1" applyBorder="1" applyAlignment="1">
      <alignment horizontal="right" wrapText="1"/>
    </xf>
    <xf numFmtId="0" fontId="9" fillId="0" borderId="39" xfId="31" applyFont="1" applyBorder="1" applyAlignment="1">
      <alignment horizontal="right" wrapText="1"/>
    </xf>
    <xf numFmtId="0" fontId="9" fillId="0" borderId="34" xfId="31" applyFont="1" applyBorder="1" applyAlignment="1">
      <alignment horizontal="right" wrapText="1"/>
    </xf>
    <xf numFmtId="0" fontId="4" fillId="0" borderId="45" xfId="31" applyFont="1" applyBorder="1" applyAlignment="1">
      <alignment horizontal="center" vertical="center" wrapText="1"/>
    </xf>
    <xf numFmtId="0" fontId="4" fillId="0" borderId="0" xfId="31" applyFont="1" applyBorder="1" applyAlignment="1">
      <alignment horizontal="left" vertical="center" wrapText="1"/>
    </xf>
    <xf numFmtId="0" fontId="4" fillId="0" borderId="5" xfId="31" applyFont="1" applyBorder="1" applyAlignment="1">
      <alignment horizontal="center" vertical="center" wrapText="1"/>
    </xf>
    <xf numFmtId="3" fontId="4" fillId="0" borderId="37" xfId="31" applyNumberFormat="1" applyFont="1" applyFill="1" applyBorder="1" applyAlignment="1">
      <alignment horizontal="left" vertical="center" wrapText="1"/>
    </xf>
    <xf numFmtId="3" fontId="4" fillId="0" borderId="45" xfId="31" applyNumberFormat="1" applyFont="1" applyFill="1" applyBorder="1" applyAlignment="1">
      <alignment horizontal="left" vertical="center" wrapText="1"/>
    </xf>
    <xf numFmtId="3" fontId="4" fillId="0" borderId="56" xfId="31" applyNumberFormat="1" applyFont="1" applyFill="1" applyBorder="1" applyAlignment="1">
      <alignment horizontal="left" vertical="center" wrapText="1"/>
    </xf>
    <xf numFmtId="0" fontId="9" fillId="0" borderId="57" xfId="31" applyFont="1" applyBorder="1" applyAlignment="1">
      <alignment horizontal="right"/>
    </xf>
    <xf numFmtId="171" fontId="14" fillId="0" borderId="23" xfId="4" applyNumberFormat="1" applyFont="1" applyFill="1" applyBorder="1" applyAlignment="1">
      <alignment horizontal="right" vertical="top"/>
    </xf>
    <xf numFmtId="171" fontId="14" fillId="0" borderId="25" xfId="4" applyNumberFormat="1" applyFont="1" applyFill="1" applyBorder="1" applyAlignment="1">
      <alignment horizontal="right" vertical="top"/>
    </xf>
    <xf numFmtId="171" fontId="14" fillId="0" borderId="28" xfId="4" applyNumberFormat="1" applyFont="1" applyFill="1" applyBorder="1" applyAlignment="1">
      <alignment horizontal="right" vertical="top"/>
    </xf>
    <xf numFmtId="171" fontId="14" fillId="0" borderId="32" xfId="4" applyNumberFormat="1" applyFont="1" applyFill="1" applyBorder="1" applyAlignment="1">
      <alignment horizontal="right" vertical="top"/>
    </xf>
    <xf numFmtId="171" fontId="14" fillId="0" borderId="20" xfId="4" applyNumberFormat="1" applyFont="1" applyFill="1" applyBorder="1" applyAlignment="1">
      <alignment horizontal="right" vertical="top"/>
    </xf>
    <xf numFmtId="1" fontId="12" fillId="0" borderId="0" xfId="4" applyNumberFormat="1" applyFont="1" applyBorder="1" applyAlignment="1">
      <alignment horizontal="left"/>
    </xf>
    <xf numFmtId="0" fontId="8" fillId="0" borderId="0" xfId="4" applyFont="1" applyBorder="1" applyAlignment="1">
      <alignment horizontal="center" vertical="center"/>
    </xf>
    <xf numFmtId="0" fontId="8" fillId="0" borderId="0" xfId="4" applyFont="1" applyBorder="1" applyAlignment="1">
      <alignment horizontal="left" vertical="center"/>
    </xf>
    <xf numFmtId="0" fontId="14" fillId="7" borderId="73" xfId="4" applyFont="1" applyFill="1" applyBorder="1" applyAlignment="1">
      <alignment horizontal="right" vertical="top" wrapText="1"/>
    </xf>
    <xf numFmtId="0" fontId="14" fillId="7" borderId="74" xfId="4" applyFont="1" applyFill="1" applyBorder="1" applyAlignment="1">
      <alignment horizontal="right" vertical="top" wrapText="1"/>
    </xf>
    <xf numFmtId="0" fontId="14" fillId="7" borderId="73" xfId="16" applyFont="1" applyFill="1" applyBorder="1" applyAlignment="1">
      <alignment horizontal="left" vertical="top" wrapText="1"/>
    </xf>
    <xf numFmtId="0" fontId="14" fillId="7" borderId="74" xfId="16" applyFont="1" applyFill="1" applyBorder="1" applyAlignment="1">
      <alignment horizontal="left" vertical="top" wrapText="1"/>
    </xf>
    <xf numFmtId="0" fontId="14" fillId="7" borderId="4" xfId="4" applyFont="1" applyFill="1" applyBorder="1" applyAlignment="1">
      <alignment horizontal="right" vertical="top" wrapText="1"/>
    </xf>
    <xf numFmtId="0" fontId="14" fillId="7" borderId="6" xfId="4" applyFont="1" applyFill="1" applyBorder="1" applyAlignment="1">
      <alignment horizontal="left" vertical="top" wrapText="1"/>
    </xf>
    <xf numFmtId="0" fontId="14" fillId="0" borderId="4" xfId="4" applyFont="1" applyFill="1" applyBorder="1" applyAlignment="1">
      <alignment horizontal="right" vertical="top" wrapText="1"/>
    </xf>
    <xf numFmtId="0" fontId="14" fillId="0" borderId="66" xfId="4" applyFont="1" applyBorder="1" applyAlignment="1">
      <alignment horizontal="left" vertical="center" wrapText="1"/>
    </xf>
    <xf numFmtId="0" fontId="14" fillId="0" borderId="49" xfId="4" applyFont="1" applyFill="1" applyBorder="1" applyAlignment="1">
      <alignment horizontal="left" vertical="top" wrapText="1"/>
    </xf>
    <xf numFmtId="0" fontId="14" fillId="0" borderId="21" xfId="4" applyFont="1" applyFill="1" applyBorder="1" applyAlignment="1">
      <alignment horizontal="left" vertical="top" wrapText="1"/>
    </xf>
    <xf numFmtId="0" fontId="14" fillId="7" borderId="23" xfId="4" applyFont="1" applyFill="1" applyBorder="1" applyAlignment="1">
      <alignment horizontal="right" vertical="top" wrapText="1"/>
    </xf>
    <xf numFmtId="0" fontId="14" fillId="7" borderId="25" xfId="4" applyFont="1" applyFill="1" applyBorder="1" applyAlignment="1">
      <alignment horizontal="right" vertical="top" wrapText="1"/>
    </xf>
    <xf numFmtId="0" fontId="14" fillId="7" borderId="20" xfId="4" applyFont="1" applyFill="1" applyBorder="1" applyAlignment="1">
      <alignment horizontal="right" vertical="top" wrapText="1"/>
    </xf>
    <xf numFmtId="0" fontId="14" fillId="0" borderId="66" xfId="4" applyFont="1" applyFill="1" applyBorder="1" applyAlignment="1">
      <alignment horizontal="left" vertical="top" wrapText="1"/>
    </xf>
    <xf numFmtId="0" fontId="14" fillId="0" borderId="24" xfId="4" applyFont="1" applyFill="1" applyBorder="1" applyAlignment="1">
      <alignment horizontal="left" vertical="top" wrapText="1"/>
    </xf>
    <xf numFmtId="0" fontId="14" fillId="0" borderId="61" xfId="4" applyFont="1" applyFill="1" applyBorder="1" applyAlignment="1">
      <alignment horizontal="left" vertical="top" wrapText="1"/>
    </xf>
    <xf numFmtId="0" fontId="14" fillId="0" borderId="17" xfId="4" applyFont="1" applyFill="1" applyBorder="1" applyAlignment="1">
      <alignment horizontal="left" vertical="top" wrapText="1"/>
    </xf>
    <xf numFmtId="2" fontId="14" fillId="7" borderId="23" xfId="4" applyNumberFormat="1" applyFont="1" applyFill="1" applyBorder="1" applyAlignment="1">
      <alignment horizontal="right" vertical="top" wrapText="1"/>
    </xf>
    <xf numFmtId="2" fontId="14" fillId="7" borderId="25" xfId="4" applyNumberFormat="1" applyFont="1" applyFill="1" applyBorder="1" applyAlignment="1">
      <alignment horizontal="right" vertical="top" wrapText="1"/>
    </xf>
    <xf numFmtId="2" fontId="14" fillId="7" borderId="20" xfId="4" applyNumberFormat="1" applyFont="1" applyFill="1" applyBorder="1" applyAlignment="1">
      <alignment horizontal="right" vertical="top" wrapText="1"/>
    </xf>
    <xf numFmtId="0" fontId="14" fillId="0" borderId="66" xfId="16" applyFont="1" applyFill="1" applyBorder="1" applyAlignment="1">
      <alignment horizontal="left" vertical="top" wrapText="1"/>
    </xf>
    <xf numFmtId="0" fontId="14" fillId="0" borderId="49" xfId="16" applyFont="1" applyFill="1" applyBorder="1" applyAlignment="1">
      <alignment horizontal="left" vertical="top" wrapText="1"/>
    </xf>
    <xf numFmtId="0" fontId="14" fillId="0" borderId="21" xfId="16" applyFont="1" applyFill="1" applyBorder="1" applyAlignment="1">
      <alignment horizontal="left" vertical="top" wrapText="1"/>
    </xf>
    <xf numFmtId="0" fontId="14" fillId="0" borderId="3" xfId="16" applyFont="1" applyFill="1" applyBorder="1" applyAlignment="1">
      <alignment horizontal="left" vertical="top" wrapText="1"/>
    </xf>
    <xf numFmtId="0" fontId="14" fillId="0" borderId="6" xfId="16" quotePrefix="1" applyFont="1" applyFill="1" applyBorder="1" applyAlignment="1">
      <alignment horizontal="left" vertical="top" wrapText="1"/>
    </xf>
    <xf numFmtId="0" fontId="14" fillId="0" borderId="38" xfId="16" quotePrefix="1" applyFont="1" applyFill="1" applyBorder="1" applyAlignment="1">
      <alignment horizontal="left" vertical="top" wrapText="1"/>
    </xf>
    <xf numFmtId="0" fontId="14" fillId="7" borderId="66" xfId="16" applyFont="1" applyFill="1" applyBorder="1" applyAlignment="1">
      <alignment horizontal="left" vertical="top" wrapText="1"/>
    </xf>
    <xf numFmtId="0" fontId="14" fillId="7" borderId="49" xfId="16" applyFont="1" applyFill="1" applyBorder="1" applyAlignment="1">
      <alignment horizontal="left" vertical="top" wrapText="1"/>
    </xf>
    <xf numFmtId="0" fontId="14" fillId="7" borderId="47" xfId="16" applyFont="1" applyFill="1" applyBorder="1" applyAlignment="1">
      <alignment horizontal="left" vertical="top" wrapText="1"/>
    </xf>
    <xf numFmtId="0" fontId="14" fillId="7" borderId="21" xfId="16" applyFont="1" applyFill="1" applyBorder="1" applyAlignment="1">
      <alignment horizontal="left" vertical="top" wrapText="1"/>
    </xf>
    <xf numFmtId="0" fontId="14" fillId="7" borderId="66" xfId="4" applyFont="1" applyFill="1" applyBorder="1" applyAlignment="1">
      <alignment horizontal="left" vertical="top" wrapText="1"/>
    </xf>
    <xf numFmtId="0" fontId="14" fillId="7" borderId="49" xfId="4" applyFont="1" applyFill="1" applyBorder="1" applyAlignment="1">
      <alignment horizontal="left" vertical="top" wrapText="1"/>
    </xf>
    <xf numFmtId="0" fontId="14" fillId="7" borderId="21" xfId="4" applyFont="1" applyFill="1" applyBorder="1" applyAlignment="1">
      <alignment horizontal="left" vertical="top" wrapText="1"/>
    </xf>
    <xf numFmtId="17" fontId="14" fillId="0" borderId="4" xfId="4" applyNumberFormat="1" applyFont="1" applyFill="1" applyBorder="1" applyAlignment="1">
      <alignment horizontal="right" vertical="top"/>
    </xf>
    <xf numFmtId="0" fontId="14" fillId="0" borderId="4" xfId="4" applyFont="1" applyFill="1" applyBorder="1" applyAlignment="1">
      <alignment horizontal="right" vertical="top"/>
    </xf>
    <xf numFmtId="0" fontId="14" fillId="0" borderId="6" xfId="4" applyFont="1" applyBorder="1" applyAlignment="1">
      <alignment horizontal="left" vertical="center"/>
    </xf>
    <xf numFmtId="0" fontId="14" fillId="0" borderId="66" xfId="4" applyFont="1" applyBorder="1" applyAlignment="1">
      <alignment horizontal="left" vertical="center"/>
    </xf>
    <xf numFmtId="0" fontId="14" fillId="0" borderId="49" xfId="4" applyFont="1" applyBorder="1" applyAlignment="1">
      <alignment horizontal="left" vertical="center"/>
    </xf>
    <xf numFmtId="0" fontId="14" fillId="0" borderId="61" xfId="4" applyFont="1" applyBorder="1" applyAlignment="1">
      <alignment horizontal="left" vertical="center"/>
    </xf>
    <xf numFmtId="0" fontId="14" fillId="0" borderId="60" xfId="4" applyFont="1" applyBorder="1" applyAlignment="1">
      <alignment horizontal="left" vertical="center"/>
    </xf>
    <xf numFmtId="0" fontId="14" fillId="0" borderId="38" xfId="4" applyFont="1" applyBorder="1" applyAlignment="1">
      <alignment horizontal="left" vertical="top" wrapText="1"/>
    </xf>
    <xf numFmtId="0" fontId="14" fillId="0" borderId="49" xfId="4" applyFont="1" applyBorder="1" applyAlignment="1">
      <alignment horizontal="left" vertical="top" wrapText="1"/>
    </xf>
    <xf numFmtId="0" fontId="14" fillId="0" borderId="23" xfId="4" applyFont="1" applyFill="1" applyBorder="1" applyAlignment="1">
      <alignment horizontal="right" vertical="top"/>
    </xf>
    <xf numFmtId="0" fontId="14" fillId="0" borderId="25" xfId="4" applyFont="1" applyFill="1" applyBorder="1" applyAlignment="1">
      <alignment horizontal="right" vertical="top"/>
    </xf>
    <xf numFmtId="0" fontId="14" fillId="0" borderId="32" xfId="4" applyFont="1" applyFill="1" applyBorder="1" applyAlignment="1">
      <alignment horizontal="right" vertical="top"/>
    </xf>
    <xf numFmtId="0" fontId="14" fillId="0" borderId="28" xfId="4" applyFont="1" applyFill="1" applyBorder="1" applyAlignment="1">
      <alignment horizontal="right" vertical="top"/>
    </xf>
    <xf numFmtId="17" fontId="14" fillId="0" borderId="25" xfId="4" applyNumberFormat="1" applyFont="1" applyFill="1" applyBorder="1" applyAlignment="1">
      <alignment horizontal="right" vertical="top"/>
    </xf>
    <xf numFmtId="17" fontId="14" fillId="0" borderId="28" xfId="4" applyNumberFormat="1" applyFont="1" applyFill="1" applyBorder="1" applyAlignment="1">
      <alignment horizontal="right" vertical="top"/>
    </xf>
    <xf numFmtId="0" fontId="14" fillId="0" borderId="23" xfId="4" applyFont="1" applyFill="1" applyBorder="1" applyAlignment="1">
      <alignment horizontal="right" vertical="top" wrapText="1"/>
    </xf>
    <xf numFmtId="0" fontId="14" fillId="0" borderId="25" xfId="4" applyFont="1" applyFill="1" applyBorder="1" applyAlignment="1">
      <alignment horizontal="right" vertical="top" wrapText="1"/>
    </xf>
    <xf numFmtId="0" fontId="14" fillId="0" borderId="20" xfId="4" applyFont="1" applyFill="1" applyBorder="1" applyAlignment="1">
      <alignment horizontal="right" vertical="top" wrapText="1"/>
    </xf>
    <xf numFmtId="0" fontId="14" fillId="7" borderId="64" xfId="4" applyFont="1" applyFill="1" applyBorder="1" applyAlignment="1">
      <alignment horizontal="left" vertical="top" wrapText="1"/>
    </xf>
    <xf numFmtId="0" fontId="14" fillId="7" borderId="47" xfId="4" applyFont="1" applyFill="1" applyBorder="1" applyAlignment="1">
      <alignment horizontal="left" vertical="top" wrapText="1"/>
    </xf>
    <xf numFmtId="0" fontId="14" fillId="7" borderId="63" xfId="4" applyFont="1" applyFill="1" applyBorder="1" applyAlignment="1">
      <alignment horizontal="left" vertical="top" wrapText="1"/>
    </xf>
    <xf numFmtId="0" fontId="14" fillId="7" borderId="23" xfId="4" applyFont="1" applyFill="1" applyBorder="1" applyAlignment="1">
      <alignment horizontal="right" vertical="top"/>
    </xf>
    <xf numFmtId="0" fontId="14" fillId="7" borderId="25" xfId="4" applyFont="1" applyFill="1" applyBorder="1" applyAlignment="1">
      <alignment horizontal="right" vertical="top"/>
    </xf>
    <xf numFmtId="0" fontId="14" fillId="7" borderId="20" xfId="4" applyFont="1" applyFill="1" applyBorder="1" applyAlignment="1">
      <alignment horizontal="right" vertical="top"/>
    </xf>
    <xf numFmtId="2" fontId="14" fillId="7" borderId="23" xfId="4" applyNumberFormat="1" applyFont="1" applyFill="1" applyBorder="1" applyAlignment="1">
      <alignment horizontal="right" vertical="top"/>
    </xf>
    <xf numFmtId="2" fontId="14" fillId="7" borderId="25" xfId="4" applyNumberFormat="1" applyFont="1" applyFill="1" applyBorder="1" applyAlignment="1">
      <alignment horizontal="right" vertical="top"/>
    </xf>
    <xf numFmtId="2" fontId="14" fillId="7" borderId="20" xfId="4" applyNumberFormat="1" applyFont="1" applyFill="1" applyBorder="1" applyAlignment="1">
      <alignment horizontal="right" vertical="top"/>
    </xf>
    <xf numFmtId="2" fontId="14" fillId="0" borderId="23" xfId="4" applyNumberFormat="1" applyFont="1" applyFill="1" applyBorder="1" applyAlignment="1">
      <alignment horizontal="right" vertical="top" wrapText="1"/>
    </xf>
    <xf numFmtId="2" fontId="14" fillId="0" borderId="25" xfId="4" applyNumberFormat="1" applyFont="1" applyFill="1" applyBorder="1" applyAlignment="1">
      <alignment horizontal="right" vertical="top" wrapText="1"/>
    </xf>
    <xf numFmtId="2" fontId="14" fillId="0" borderId="20" xfId="4" applyNumberFormat="1" applyFont="1" applyFill="1" applyBorder="1" applyAlignment="1">
      <alignment horizontal="right" vertical="top" wrapText="1"/>
    </xf>
    <xf numFmtId="0" fontId="14" fillId="0" borderId="64" xfId="4" applyFont="1" applyFill="1" applyBorder="1" applyAlignment="1">
      <alignment horizontal="left" vertical="top" wrapText="1"/>
    </xf>
    <xf numFmtId="0" fontId="14" fillId="0" borderId="47" xfId="4" applyFont="1" applyFill="1" applyBorder="1" applyAlignment="1">
      <alignment horizontal="left" vertical="top" wrapText="1"/>
    </xf>
    <xf numFmtId="0" fontId="14" fillId="0" borderId="63" xfId="4" applyFont="1" applyFill="1" applyBorder="1" applyAlignment="1">
      <alignment horizontal="left" vertical="top" wrapText="1"/>
    </xf>
    <xf numFmtId="0" fontId="14" fillId="7" borderId="66" xfId="4" quotePrefix="1" applyFont="1" applyFill="1" applyBorder="1" applyAlignment="1">
      <alignment horizontal="left" vertical="top" wrapText="1"/>
    </xf>
    <xf numFmtId="0" fontId="14" fillId="7" borderId="49" xfId="4" quotePrefix="1" applyFont="1" applyFill="1" applyBorder="1" applyAlignment="1">
      <alignment horizontal="left" vertical="top" wrapText="1"/>
    </xf>
    <xf numFmtId="0" fontId="14" fillId="7" borderId="21" xfId="4" quotePrefix="1" applyFont="1" applyFill="1" applyBorder="1" applyAlignment="1">
      <alignment horizontal="left" vertical="top" wrapText="1"/>
    </xf>
    <xf numFmtId="0" fontId="14" fillId="0" borderId="73" xfId="4" applyFont="1" applyBorder="1" applyAlignment="1">
      <alignment horizontal="right" vertical="top" wrapText="1"/>
    </xf>
    <xf numFmtId="0" fontId="14" fillId="0" borderId="74" xfId="4" applyFont="1" applyBorder="1" applyAlignment="1">
      <alignment horizontal="right" vertical="top" wrapText="1"/>
    </xf>
    <xf numFmtId="0" fontId="14" fillId="0" borderId="71" xfId="4" applyFont="1" applyBorder="1" applyAlignment="1">
      <alignment horizontal="right" vertical="top" wrapText="1"/>
    </xf>
    <xf numFmtId="0" fontId="15" fillId="0" borderId="73" xfId="4" applyFont="1" applyBorder="1" applyAlignment="1">
      <alignment horizontal="center" vertical="top" wrapText="1"/>
    </xf>
    <xf numFmtId="0" fontId="15" fillId="0" borderId="74" xfId="4" applyFont="1" applyBorder="1" applyAlignment="1">
      <alignment horizontal="center" vertical="top" wrapText="1"/>
    </xf>
    <xf numFmtId="0" fontId="15" fillId="0" borderId="71" xfId="4" applyFont="1" applyBorder="1" applyAlignment="1">
      <alignment horizontal="center" vertical="top" wrapText="1"/>
    </xf>
    <xf numFmtId="0" fontId="14" fillId="0" borderId="38" xfId="16" applyFont="1" applyFill="1" applyBorder="1" applyAlignment="1">
      <alignment horizontal="left" vertical="top" wrapText="1"/>
    </xf>
    <xf numFmtId="0" fontId="14" fillId="0" borderId="46" xfId="16" applyFont="1" applyFill="1" applyBorder="1" applyAlignment="1">
      <alignment horizontal="left" vertical="top" wrapText="1"/>
    </xf>
    <xf numFmtId="0" fontId="20" fillId="0" borderId="37" xfId="4" applyFont="1" applyBorder="1" applyAlignment="1">
      <alignment horizontal="center" vertical="center" wrapText="1"/>
    </xf>
    <xf numFmtId="0" fontId="20" fillId="0" borderId="56" xfId="4" applyFont="1" applyBorder="1" applyAlignment="1">
      <alignment horizontal="center" vertical="center" wrapText="1"/>
    </xf>
    <xf numFmtId="0" fontId="14" fillId="0" borderId="39" xfId="4" applyFont="1" applyFill="1" applyBorder="1" applyAlignment="1">
      <alignment horizontal="center" vertical="center" wrapText="1"/>
    </xf>
    <xf numFmtId="0" fontId="14" fillId="0" borderId="40" xfId="4" applyFont="1" applyFill="1" applyBorder="1" applyAlignment="1">
      <alignment horizontal="center" vertical="center" wrapText="1"/>
    </xf>
    <xf numFmtId="0" fontId="14" fillId="0" borderId="39" xfId="4" applyFont="1" applyBorder="1" applyAlignment="1">
      <alignment horizontal="center" vertical="center" wrapText="1"/>
    </xf>
    <xf numFmtId="0" fontId="14" fillId="0" borderId="68" xfId="4" applyFont="1" applyBorder="1" applyAlignment="1">
      <alignment horizontal="center" vertical="center" wrapText="1"/>
    </xf>
    <xf numFmtId="0" fontId="15" fillId="0" borderId="36" xfId="4" applyFont="1" applyBorder="1" applyAlignment="1">
      <alignment horizontal="right" wrapText="1"/>
    </xf>
    <xf numFmtId="0" fontId="15" fillId="0" borderId="34" xfId="4" applyFont="1" applyBorder="1" applyAlignment="1">
      <alignment horizontal="right" wrapText="1"/>
    </xf>
    <xf numFmtId="0" fontId="8" fillId="0" borderId="0" xfId="4" applyFont="1" applyBorder="1" applyAlignment="1">
      <alignment horizontal="left"/>
    </xf>
    <xf numFmtId="0" fontId="14" fillId="0" borderId="0" xfId="4" applyFont="1" applyBorder="1" applyAlignment="1">
      <alignment horizontal="left" vertical="center"/>
    </xf>
    <xf numFmtId="49" fontId="14" fillId="0" borderId="59" xfId="4" applyNumberFormat="1" applyFont="1" applyBorder="1" applyAlignment="1">
      <alignment horizontal="left"/>
    </xf>
    <xf numFmtId="49" fontId="14" fillId="0" borderId="31" xfId="4" applyNumberFormat="1" applyFont="1" applyBorder="1" applyAlignment="1">
      <alignment horizontal="left"/>
    </xf>
    <xf numFmtId="0" fontId="14" fillId="0" borderId="28" xfId="4" applyFont="1" applyBorder="1" applyAlignment="1">
      <alignment horizontal="center" vertical="center" wrapText="1"/>
    </xf>
    <xf numFmtId="0" fontId="14" fillId="0" borderId="56" xfId="4" applyFont="1" applyBorder="1" applyAlignment="1">
      <alignment horizontal="center" vertical="center" wrapText="1"/>
    </xf>
    <xf numFmtId="0" fontId="14" fillId="0" borderId="33" xfId="4" applyFont="1" applyBorder="1" applyAlignment="1">
      <alignment horizontal="center" vertical="center" wrapText="1"/>
    </xf>
    <xf numFmtId="0" fontId="14" fillId="0" borderId="34" xfId="4" applyFont="1" applyBorder="1" applyAlignment="1">
      <alignment horizontal="center" vertical="center" wrapText="1"/>
    </xf>
    <xf numFmtId="0" fontId="14" fillId="0" borderId="0" xfId="33" applyFont="1" applyAlignment="1">
      <alignment horizontal="right" wrapText="1"/>
    </xf>
    <xf numFmtId="0" fontId="14" fillId="0" borderId="0" xfId="33" applyFont="1" applyAlignment="1">
      <alignment horizontal="right"/>
    </xf>
    <xf numFmtId="0" fontId="15" fillId="0" borderId="13" xfId="33" applyFont="1" applyBorder="1" applyAlignment="1">
      <alignment horizontal="right"/>
    </xf>
    <xf numFmtId="0" fontId="15" fillId="0" borderId="14" xfId="33" applyFont="1" applyBorder="1" applyAlignment="1">
      <alignment horizontal="right"/>
    </xf>
    <xf numFmtId="0" fontId="15" fillId="0" borderId="0" xfId="33" applyFont="1" applyBorder="1" applyAlignment="1">
      <alignment horizontal="left"/>
    </xf>
    <xf numFmtId="0" fontId="14" fillId="0" borderId="0" xfId="33" applyFont="1" applyBorder="1" applyAlignment="1">
      <alignment horizontal="center"/>
    </xf>
    <xf numFmtId="0" fontId="8" fillId="0" borderId="0" xfId="33" applyFont="1" applyBorder="1" applyAlignment="1">
      <alignment horizontal="center"/>
    </xf>
    <xf numFmtId="0" fontId="14" fillId="0" borderId="0" xfId="33" applyFont="1" applyBorder="1" applyAlignment="1">
      <alignment horizontal="left"/>
    </xf>
    <xf numFmtId="0" fontId="5" fillId="0" borderId="0" xfId="33" applyFont="1" applyBorder="1" applyAlignment="1">
      <alignment horizontal="left"/>
    </xf>
    <xf numFmtId="0" fontId="14" fillId="0" borderId="59" xfId="33" applyFont="1" applyBorder="1" applyAlignment="1">
      <alignment horizontal="left"/>
    </xf>
    <xf numFmtId="0" fontId="15" fillId="0" borderId="39" xfId="33" applyFont="1" applyBorder="1" applyAlignment="1">
      <alignment horizontal="right" wrapText="1"/>
    </xf>
    <xf numFmtId="0" fontId="15" fillId="0" borderId="40" xfId="33" applyFont="1" applyBorder="1" applyAlignment="1">
      <alignment horizontal="right" wrapText="1"/>
    </xf>
    <xf numFmtId="0" fontId="14" fillId="0" borderId="0" xfId="32" applyFont="1" applyAlignment="1">
      <alignment horizontal="right" wrapText="1"/>
    </xf>
    <xf numFmtId="0" fontId="14" fillId="0" borderId="0" xfId="32" applyFont="1" applyAlignment="1">
      <alignment horizontal="right"/>
    </xf>
    <xf numFmtId="0" fontId="14" fillId="0" borderId="59" xfId="32" applyFont="1" applyBorder="1" applyAlignment="1">
      <alignment horizontal="left"/>
    </xf>
    <xf numFmtId="0" fontId="15" fillId="0" borderId="39" xfId="32" applyFont="1" applyBorder="1" applyAlignment="1">
      <alignment horizontal="right" wrapText="1"/>
    </xf>
    <xf numFmtId="0" fontId="15" fillId="0" borderId="40" xfId="32" applyFont="1" applyBorder="1" applyAlignment="1">
      <alignment horizontal="right" wrapText="1"/>
    </xf>
    <xf numFmtId="0" fontId="15" fillId="0" borderId="13" xfId="32" applyFont="1" applyBorder="1" applyAlignment="1">
      <alignment horizontal="right"/>
    </xf>
    <xf numFmtId="0" fontId="15" fillId="0" borderId="14" xfId="32" applyFont="1" applyBorder="1" applyAlignment="1">
      <alignment horizontal="right"/>
    </xf>
    <xf numFmtId="0" fontId="14" fillId="0" borderId="0" xfId="32" applyFont="1" applyAlignment="1">
      <alignment horizontal="left"/>
    </xf>
    <xf numFmtId="0" fontId="14" fillId="0" borderId="0" xfId="32" applyFont="1" applyAlignment="1">
      <alignment horizontal="center"/>
    </xf>
    <xf numFmtId="0" fontId="8" fillId="0" borderId="0" xfId="32" applyFont="1" applyAlignment="1">
      <alignment horizontal="center"/>
    </xf>
    <xf numFmtId="0" fontId="14" fillId="0" borderId="0" xfId="4" applyFont="1" applyAlignment="1">
      <alignment horizontal="left"/>
    </xf>
    <xf numFmtId="0" fontId="8" fillId="0" borderId="0" xfId="4" applyFont="1" applyAlignment="1">
      <alignment horizontal="center" vertical="center" wrapText="1"/>
    </xf>
    <xf numFmtId="0" fontId="15" fillId="0" borderId="39" xfId="34" applyFont="1" applyBorder="1" applyAlignment="1">
      <alignment horizontal="right" wrapText="1"/>
    </xf>
    <xf numFmtId="0" fontId="15" fillId="0" borderId="40" xfId="34" applyFont="1" applyBorder="1" applyAlignment="1">
      <alignment horizontal="right" wrapText="1"/>
    </xf>
    <xf numFmtId="0" fontId="14" fillId="0" borderId="0" xfId="34" applyFont="1" applyBorder="1" applyAlignment="1">
      <alignment horizontal="left"/>
    </xf>
    <xf numFmtId="0" fontId="14" fillId="0" borderId="59" xfId="34" applyFont="1" applyBorder="1" applyAlignment="1">
      <alignment horizontal="left"/>
    </xf>
    <xf numFmtId="0" fontId="15" fillId="0" borderId="13" xfId="34" applyFont="1" applyBorder="1" applyAlignment="1">
      <alignment horizontal="right"/>
    </xf>
    <xf numFmtId="0" fontId="15" fillId="0" borderId="14" xfId="34" applyFont="1" applyBorder="1" applyAlignment="1">
      <alignment horizontal="right"/>
    </xf>
    <xf numFmtId="0" fontId="14" fillId="0" borderId="0" xfId="34" applyFont="1" applyAlignment="1">
      <alignment horizontal="right" wrapText="1"/>
    </xf>
    <xf numFmtId="0" fontId="14" fillId="0" borderId="0" xfId="34" applyFont="1" applyAlignment="1">
      <alignment horizontal="right"/>
    </xf>
    <xf numFmtId="0" fontId="4" fillId="0" borderId="0" xfId="34" applyFont="1" applyAlignment="1">
      <alignment horizontal="left"/>
    </xf>
    <xf numFmtId="0" fontId="8" fillId="0" borderId="0" xfId="34" applyFont="1" applyAlignment="1">
      <alignment horizontal="center"/>
    </xf>
    <xf numFmtId="0" fontId="14" fillId="0" borderId="0" xfId="34" applyFont="1" applyAlignment="1">
      <alignment horizontal="left"/>
    </xf>
  </cellXfs>
  <cellStyles count="35">
    <cellStyle name="Comma 2" xfId="5"/>
    <cellStyle name="Comma 2 2" xfId="26"/>
    <cellStyle name="Comma 3" xfId="22"/>
    <cellStyle name="Currency 2" xfId="6"/>
    <cellStyle name="Currency 2 2" xfId="27"/>
    <cellStyle name="Currency 3" xfId="7"/>
    <cellStyle name="Hyperlink" xfId="30" builtinId="8"/>
    <cellStyle name="Hyperlink 2" xfId="8"/>
    <cellStyle name="Normal" xfId="0" builtinId="0"/>
    <cellStyle name="Normal 10" xfId="33"/>
    <cellStyle name="Normal 11" xfId="34"/>
    <cellStyle name="Normal 2" xfId="4"/>
    <cellStyle name="Normal 2 2" xfId="9"/>
    <cellStyle name="Normal 2 2 2" xfId="28"/>
    <cellStyle name="Normal 2 3" xfId="10"/>
    <cellStyle name="Normal 3" xfId="11"/>
    <cellStyle name="Normal 3 2" xfId="12"/>
    <cellStyle name="Normal 3 2 2" xfId="3"/>
    <cellStyle name="Normal 3 2 2 2" xfId="29"/>
    <cellStyle name="Normal 3 3" xfId="23"/>
    <cellStyle name="Normal 4" xfId="13"/>
    <cellStyle name="Normal 4 2" xfId="14"/>
    <cellStyle name="Normal 5" xfId="1"/>
    <cellStyle name="Normal 5 2" xfId="15"/>
    <cellStyle name="Normal 6" xfId="16"/>
    <cellStyle name="Normal 7" xfId="2"/>
    <cellStyle name="Normal 8" xfId="21"/>
    <cellStyle name="Normal 9" xfId="32"/>
    <cellStyle name="Normal_09.510_Izgl nod konkursi nometnes 2010" xfId="24"/>
    <cellStyle name="Normal_budžeta nod.2" xfId="31"/>
    <cellStyle name="Percent 2" xfId="17"/>
    <cellStyle name="Percent 2 2" xfId="25"/>
    <cellStyle name="Percent 3" xfId="18"/>
    <cellStyle name="Percent 4" xfId="19"/>
    <cellStyle name="Percent 5" xfId="20"/>
  </cellStyles>
  <dxfs count="0"/>
  <tableStyles count="0" defaultTableStyle="TableStyleMedium2" defaultPivotStyle="PivotStyleLight16"/>
  <colors>
    <mruColors>
      <color rgb="FFE4D2F2"/>
      <color rgb="FFAB2591"/>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52"/>
  <sheetViews>
    <sheetView zoomScaleNormal="100" zoomScaleSheetLayoutView="100" workbookViewId="0">
      <selection activeCell="B23" sqref="B23"/>
    </sheetView>
  </sheetViews>
  <sheetFormatPr defaultRowHeight="15.75" x14ac:dyDescent="0.25"/>
  <cols>
    <col min="1" max="1" width="7.28515625" style="179" customWidth="1"/>
    <col min="2" max="2" width="38" style="41" customWidth="1"/>
    <col min="3" max="3" width="9.7109375" style="41" customWidth="1"/>
    <col min="4" max="4" width="10.42578125" style="42" customWidth="1"/>
    <col min="5" max="5" width="8.28515625" style="42" customWidth="1"/>
    <col min="6" max="6" width="8.140625" style="42" customWidth="1"/>
    <col min="7" max="7" width="8.28515625" style="42" hidden="1" customWidth="1"/>
    <col min="8" max="9" width="8.140625" style="42" customWidth="1"/>
    <col min="10" max="10" width="8" style="42" customWidth="1"/>
    <col min="11" max="11" width="8.28515625" style="41" hidden="1" customWidth="1"/>
    <col min="12" max="12" width="8.140625" style="41" customWidth="1"/>
    <col min="13" max="13" width="8.42578125" style="41" hidden="1" customWidth="1"/>
    <col min="14" max="14" width="7.85546875" style="41" customWidth="1"/>
    <col min="15" max="15" width="10" style="41" customWidth="1"/>
    <col min="16" max="16" width="9.7109375" style="41" customWidth="1"/>
    <col min="17" max="17" width="9.85546875" style="41" customWidth="1"/>
    <col min="18" max="18" width="10.140625" style="41" customWidth="1"/>
    <col min="19" max="16384" width="9.140625" style="41"/>
  </cols>
  <sheetData>
    <row r="1" spans="1:18" ht="13.5" customHeight="1" x14ac:dyDescent="0.25">
      <c r="O1" s="1900" t="s">
        <v>2188</v>
      </c>
      <c r="P1" s="1901"/>
      <c r="Q1" s="1901"/>
      <c r="R1" s="1901"/>
    </row>
    <row r="2" spans="1:18" ht="13.5" customHeight="1" x14ac:dyDescent="0.25">
      <c r="O2" s="1901"/>
      <c r="P2" s="1901"/>
      <c r="Q2" s="1901"/>
      <c r="R2" s="1901"/>
    </row>
    <row r="3" spans="1:18" ht="21" customHeight="1" x14ac:dyDescent="0.25">
      <c r="O3" s="1901"/>
      <c r="P3" s="1901"/>
      <c r="Q3" s="1901"/>
      <c r="R3" s="1901"/>
    </row>
    <row r="4" spans="1:18" ht="21" customHeight="1" x14ac:dyDescent="0.25">
      <c r="O4" s="1866"/>
      <c r="P4" s="1866"/>
      <c r="Q4" s="1866"/>
      <c r="R4" s="1866"/>
    </row>
    <row r="5" spans="1:18" ht="21" customHeight="1" x14ac:dyDescent="0.25">
      <c r="O5" s="1866"/>
      <c r="P5" s="1866"/>
      <c r="Q5" s="1866"/>
      <c r="R5" s="1866"/>
    </row>
    <row r="6" spans="1:18" ht="13.5" customHeight="1" x14ac:dyDescent="0.25">
      <c r="A6" s="1918"/>
      <c r="Q6" s="43"/>
    </row>
    <row r="7" spans="1:18" ht="15.75" customHeight="1" x14ac:dyDescent="0.3">
      <c r="A7" s="1918"/>
      <c r="B7" s="44"/>
      <c r="C7" s="1919" t="s">
        <v>46</v>
      </c>
      <c r="D7" s="1919"/>
      <c r="E7" s="1919"/>
      <c r="F7" s="1919"/>
      <c r="G7" s="1919"/>
      <c r="H7" s="1919"/>
      <c r="I7" s="1919"/>
      <c r="J7" s="1919"/>
      <c r="K7" s="1919"/>
      <c r="L7" s="1919"/>
      <c r="M7" s="1919"/>
      <c r="N7" s="1919"/>
      <c r="O7" s="1919"/>
      <c r="P7" s="1919"/>
      <c r="Q7" s="1919"/>
    </row>
    <row r="8" spans="1:18" ht="14.25" customHeight="1" x14ac:dyDescent="0.25">
      <c r="B8" s="45"/>
      <c r="C8" s="46"/>
      <c r="D8" s="47"/>
      <c r="E8" s="47"/>
      <c r="F8" s="47"/>
      <c r="G8" s="48"/>
      <c r="H8" s="48"/>
      <c r="I8" s="48"/>
      <c r="J8" s="48"/>
      <c r="K8" s="45"/>
      <c r="L8" s="45"/>
      <c r="M8" s="49"/>
      <c r="N8" s="49"/>
      <c r="O8" s="50"/>
      <c r="P8" s="50"/>
      <c r="Q8" s="50"/>
      <c r="R8" s="50"/>
    </row>
    <row r="9" spans="1:18" s="143" customFormat="1" ht="29.25" customHeight="1" x14ac:dyDescent="0.2">
      <c r="A9" s="1920" t="s">
        <v>47</v>
      </c>
      <c r="B9" s="1922" t="s">
        <v>48</v>
      </c>
      <c r="C9" s="182"/>
      <c r="D9" s="142"/>
      <c r="E9" s="1897" t="s">
        <v>102</v>
      </c>
      <c r="F9" s="1898"/>
      <c r="G9" s="1898"/>
      <c r="H9" s="1899"/>
      <c r="I9" s="1897" t="s">
        <v>104</v>
      </c>
      <c r="J9" s="1898"/>
      <c r="K9" s="1898"/>
      <c r="L9" s="1899"/>
      <c r="M9" s="1895" t="s">
        <v>106</v>
      </c>
      <c r="N9" s="1896"/>
      <c r="O9" s="1895" t="s">
        <v>49</v>
      </c>
      <c r="P9" s="1896"/>
      <c r="Q9" s="1895" t="s">
        <v>50</v>
      </c>
      <c r="R9" s="1896"/>
    </row>
    <row r="10" spans="1:18" s="143" customFormat="1" ht="49.5" customHeight="1" x14ac:dyDescent="0.2">
      <c r="A10" s="1921"/>
      <c r="B10" s="1923"/>
      <c r="C10" s="183" t="s">
        <v>53</v>
      </c>
      <c r="D10" s="144" t="s">
        <v>111</v>
      </c>
      <c r="E10" s="145" t="s">
        <v>51</v>
      </c>
      <c r="F10" s="146" t="s">
        <v>52</v>
      </c>
      <c r="G10" s="1670" t="s">
        <v>103</v>
      </c>
      <c r="H10" s="1671" t="s">
        <v>2163</v>
      </c>
      <c r="I10" s="145" t="s">
        <v>51</v>
      </c>
      <c r="J10" s="146" t="s">
        <v>52</v>
      </c>
      <c r="K10" s="1670" t="s">
        <v>103</v>
      </c>
      <c r="L10" s="1671" t="s">
        <v>2163</v>
      </c>
      <c r="M10" s="148" t="s">
        <v>103</v>
      </c>
      <c r="N10" s="1671" t="s">
        <v>2163</v>
      </c>
      <c r="O10" s="149" t="s">
        <v>53</v>
      </c>
      <c r="P10" s="150" t="s">
        <v>105</v>
      </c>
      <c r="Q10" s="149" t="s">
        <v>53</v>
      </c>
      <c r="R10" s="150" t="s">
        <v>105</v>
      </c>
    </row>
    <row r="11" spans="1:18" s="143" customFormat="1" ht="15" customHeight="1" x14ac:dyDescent="0.2">
      <c r="A11" s="151"/>
      <c r="B11" s="152"/>
      <c r="C11" s="1906" t="s">
        <v>54</v>
      </c>
      <c r="D11" s="1907"/>
      <c r="E11" s="153">
        <f t="shared" ref="E11:R11" si="0">SUM(E13,E41)</f>
        <v>856422</v>
      </c>
      <c r="F11" s="154">
        <f t="shared" si="0"/>
        <v>837880</v>
      </c>
      <c r="G11" s="1672">
        <f>SUM(G13,G41)</f>
        <v>932545</v>
      </c>
      <c r="H11" s="1672">
        <f t="shared" si="0"/>
        <v>1326894.3221894014</v>
      </c>
      <c r="I11" s="155">
        <f t="shared" si="0"/>
        <v>1923125</v>
      </c>
      <c r="J11" s="154">
        <f t="shared" si="0"/>
        <v>1914286</v>
      </c>
      <c r="K11" s="1672">
        <f t="shared" si="0"/>
        <v>1905922</v>
      </c>
      <c r="L11" s="1888">
        <f t="shared" si="0"/>
        <v>2711886</v>
      </c>
      <c r="M11" s="153">
        <f t="shared" si="0"/>
        <v>0</v>
      </c>
      <c r="N11" s="156">
        <f t="shared" si="0"/>
        <v>0</v>
      </c>
      <c r="O11" s="153"/>
      <c r="P11" s="157">
        <f t="shared" si="0"/>
        <v>4143851.8475250565</v>
      </c>
      <c r="Q11" s="153"/>
      <c r="R11" s="158">
        <f t="shared" si="0"/>
        <v>4314596</v>
      </c>
    </row>
    <row r="12" spans="1:18" s="143" customFormat="1" ht="12" x14ac:dyDescent="0.2">
      <c r="A12" s="1914" t="s">
        <v>107</v>
      </c>
      <c r="B12" s="1915"/>
      <c r="C12" s="159"/>
      <c r="D12" s="160"/>
      <c r="E12" s="161"/>
      <c r="F12" s="162"/>
      <c r="G12" s="163"/>
      <c r="H12" s="163"/>
      <c r="I12" s="164"/>
      <c r="J12" s="163"/>
      <c r="K12" s="1679"/>
      <c r="L12" s="1671"/>
      <c r="M12" s="165"/>
      <c r="N12" s="166"/>
      <c r="O12" s="162"/>
      <c r="P12" s="162"/>
      <c r="Q12" s="162"/>
      <c r="R12" s="147"/>
    </row>
    <row r="13" spans="1:18" s="143" customFormat="1" ht="18" customHeight="1" x14ac:dyDescent="0.2">
      <c r="A13" s="1916" t="s">
        <v>108</v>
      </c>
      <c r="B13" s="1917"/>
      <c r="C13" s="51"/>
      <c r="D13" s="52" t="s">
        <v>55</v>
      </c>
      <c r="E13" s="53">
        <f t="shared" ref="E13:H13" si="1">SUM(E14,E21,E26,E31,E38)</f>
        <v>566500</v>
      </c>
      <c r="F13" s="54">
        <f t="shared" si="1"/>
        <v>555118</v>
      </c>
      <c r="G13" s="1672">
        <f>SUM(G14,G21,G26,G31,G38)</f>
        <v>348147</v>
      </c>
      <c r="H13" s="1672">
        <f t="shared" si="1"/>
        <v>495370.88179919292</v>
      </c>
      <c r="I13" s="53">
        <f>SUM(I14,I21,I26,I31,I38)</f>
        <v>1012275</v>
      </c>
      <c r="J13" s="54">
        <f t="shared" ref="J13:N13" si="2">SUM(J14,J21,J26,J31,J38)</f>
        <v>1009882</v>
      </c>
      <c r="K13" s="1672">
        <f t="shared" si="2"/>
        <v>1283600</v>
      </c>
      <c r="L13" s="1888">
        <f>SUM(L14,L21,L26,L31,L38)</f>
        <v>1826401</v>
      </c>
      <c r="M13" s="56">
        <f t="shared" si="2"/>
        <v>0</v>
      </c>
      <c r="N13" s="136">
        <f t="shared" si="2"/>
        <v>0</v>
      </c>
      <c r="O13" s="56"/>
      <c r="P13" s="55">
        <f>SUM(P14,P21,P26,P31,P38)</f>
        <v>2426843.8475250565</v>
      </c>
      <c r="Q13" s="56"/>
      <c r="R13" s="57">
        <f t="shared" ref="R13" si="3">SUM(R14,R21,R26,R31,R38)</f>
        <v>2597588</v>
      </c>
    </row>
    <row r="14" spans="1:18" s="143" customFormat="1" ht="12" x14ac:dyDescent="0.2">
      <c r="A14" s="58">
        <v>1</v>
      </c>
      <c r="B14" s="59" t="s">
        <v>56</v>
      </c>
      <c r="C14" s="60"/>
      <c r="D14" s="61"/>
      <c r="E14" s="62">
        <f t="shared" ref="E14:R14" si="4">SUM(E15:E20)</f>
        <v>11000</v>
      </c>
      <c r="F14" s="63">
        <f t="shared" si="4"/>
        <v>9194</v>
      </c>
      <c r="G14" s="1673">
        <f t="shared" si="4"/>
        <v>4647</v>
      </c>
      <c r="H14" s="1673">
        <f>SUM(H15:H20)</f>
        <v>6612.0853040107913</v>
      </c>
      <c r="I14" s="64">
        <f t="shared" si="4"/>
        <v>260449</v>
      </c>
      <c r="J14" s="65">
        <f t="shared" si="4"/>
        <v>260417</v>
      </c>
      <c r="K14" s="65">
        <f t="shared" si="4"/>
        <v>20000</v>
      </c>
      <c r="L14" s="133">
        <f>SUM(L15:L20)</f>
        <v>28458</v>
      </c>
      <c r="M14" s="62">
        <f t="shared" si="4"/>
        <v>0</v>
      </c>
      <c r="N14" s="133">
        <f t="shared" si="4"/>
        <v>0</v>
      </c>
      <c r="O14" s="66"/>
      <c r="P14" s="67">
        <f t="shared" si="4"/>
        <v>142288</v>
      </c>
      <c r="Q14" s="66"/>
      <c r="R14" s="67">
        <f t="shared" si="4"/>
        <v>184972</v>
      </c>
    </row>
    <row r="15" spans="1:18" s="143" customFormat="1" ht="12" x14ac:dyDescent="0.2">
      <c r="A15" s="105">
        <v>1.1000000000000001</v>
      </c>
      <c r="B15" s="68" t="s">
        <v>57</v>
      </c>
      <c r="C15" s="69"/>
      <c r="D15" s="70" t="s">
        <v>58</v>
      </c>
      <c r="E15" s="71"/>
      <c r="F15" s="72"/>
      <c r="G15" s="74"/>
      <c r="H15" s="1674">
        <f>SUM(G15/0.702804)</f>
        <v>0</v>
      </c>
      <c r="I15" s="73"/>
      <c r="J15" s="74"/>
      <c r="K15" s="74"/>
      <c r="L15" s="75">
        <f>SUM(K15/0.702804)</f>
        <v>0</v>
      </c>
      <c r="M15" s="89"/>
      <c r="N15" s="75">
        <f>SUM(M15)</f>
        <v>0</v>
      </c>
      <c r="O15" s="72"/>
      <c r="P15" s="75"/>
      <c r="Q15" s="71"/>
      <c r="R15" s="75"/>
    </row>
    <row r="16" spans="1:18" s="143" customFormat="1" ht="12" x14ac:dyDescent="0.2">
      <c r="A16" s="105">
        <v>1.2</v>
      </c>
      <c r="B16" s="68" t="s">
        <v>59</v>
      </c>
      <c r="C16" s="69"/>
      <c r="D16" s="70" t="s">
        <v>58</v>
      </c>
      <c r="E16" s="71"/>
      <c r="F16" s="72"/>
      <c r="G16" s="74"/>
      <c r="H16" s="1674">
        <f t="shared" ref="H16:H39" si="5">SUM(G16/0.702804)</f>
        <v>0</v>
      </c>
      <c r="I16" s="73">
        <v>190000</v>
      </c>
      <c r="J16" s="74">
        <v>190000</v>
      </c>
      <c r="K16" s="74"/>
      <c r="L16" s="75">
        <f t="shared" ref="L16:L39" si="6">SUM(K16/0.702804)</f>
        <v>0</v>
      </c>
      <c r="M16" s="89"/>
      <c r="N16" s="75">
        <f t="shared" ref="N16:N39" si="7">SUM(M16)</f>
        <v>0</v>
      </c>
      <c r="O16" s="72"/>
      <c r="P16" s="75"/>
      <c r="Q16" s="71"/>
      <c r="R16" s="75"/>
    </row>
    <row r="17" spans="1:18" s="143" customFormat="1" ht="12" x14ac:dyDescent="0.2">
      <c r="A17" s="105">
        <v>1.3</v>
      </c>
      <c r="B17" s="68" t="s">
        <v>60</v>
      </c>
      <c r="C17" s="69" t="s">
        <v>2157</v>
      </c>
      <c r="D17" s="70" t="s">
        <v>62</v>
      </c>
      <c r="E17" s="71"/>
      <c r="F17" s="72"/>
      <c r="G17" s="74"/>
      <c r="H17" s="1674">
        <f t="shared" si="5"/>
        <v>0</v>
      </c>
      <c r="I17" s="73">
        <v>28405</v>
      </c>
      <c r="J17" s="74">
        <v>28405</v>
      </c>
      <c r="K17" s="74">
        <v>20000</v>
      </c>
      <c r="L17" s="75">
        <v>28458</v>
      </c>
      <c r="M17" s="89"/>
      <c r="N17" s="75">
        <f t="shared" si="7"/>
        <v>0</v>
      </c>
      <c r="O17" s="138" t="s">
        <v>63</v>
      </c>
      <c r="P17" s="75">
        <v>71144</v>
      </c>
      <c r="Q17" s="69" t="s">
        <v>63</v>
      </c>
      <c r="R17" s="75">
        <v>99600</v>
      </c>
    </row>
    <row r="18" spans="1:18" s="143" customFormat="1" ht="12" x14ac:dyDescent="0.2">
      <c r="A18" s="105">
        <v>1.4</v>
      </c>
      <c r="B18" s="68" t="s">
        <v>64</v>
      </c>
      <c r="C18" s="69"/>
      <c r="D18" s="70" t="s">
        <v>62</v>
      </c>
      <c r="E18" s="71"/>
      <c r="F18" s="72"/>
      <c r="G18" s="74"/>
      <c r="H18" s="1674">
        <f t="shared" si="5"/>
        <v>0</v>
      </c>
      <c r="I18" s="73">
        <v>38544</v>
      </c>
      <c r="J18" s="74">
        <v>38543</v>
      </c>
      <c r="K18" s="74"/>
      <c r="L18" s="75">
        <f t="shared" si="6"/>
        <v>0</v>
      </c>
      <c r="M18" s="89"/>
      <c r="N18" s="75">
        <f t="shared" si="7"/>
        <v>0</v>
      </c>
      <c r="O18" s="139" t="s">
        <v>65</v>
      </c>
      <c r="P18" s="75">
        <v>71144</v>
      </c>
      <c r="Q18" s="76" t="s">
        <v>65</v>
      </c>
      <c r="R18" s="75">
        <v>85372</v>
      </c>
    </row>
    <row r="19" spans="1:18" s="143" customFormat="1" ht="12" x14ac:dyDescent="0.2">
      <c r="A19" s="105">
        <v>1.5</v>
      </c>
      <c r="B19" s="68" t="s">
        <v>66</v>
      </c>
      <c r="C19" s="69"/>
      <c r="D19" s="70" t="s">
        <v>58</v>
      </c>
      <c r="E19" s="71">
        <v>11000</v>
      </c>
      <c r="F19" s="72">
        <v>9194</v>
      </c>
      <c r="G19" s="74">
        <v>4647</v>
      </c>
      <c r="H19" s="1674">
        <f t="shared" si="5"/>
        <v>6612.0853040107913</v>
      </c>
      <c r="I19" s="73"/>
      <c r="J19" s="74"/>
      <c r="K19" s="74"/>
      <c r="L19" s="75">
        <f t="shared" si="6"/>
        <v>0</v>
      </c>
      <c r="M19" s="89"/>
      <c r="N19" s="75">
        <f t="shared" si="7"/>
        <v>0</v>
      </c>
      <c r="O19" s="139"/>
      <c r="P19" s="75"/>
      <c r="Q19" s="76"/>
      <c r="R19" s="75"/>
    </row>
    <row r="20" spans="1:18" s="143" customFormat="1" ht="16.5" customHeight="1" x14ac:dyDescent="0.2">
      <c r="A20" s="105">
        <v>1.6</v>
      </c>
      <c r="B20" s="68" t="s">
        <v>67</v>
      </c>
      <c r="C20" s="69"/>
      <c r="D20" s="70" t="s">
        <v>68</v>
      </c>
      <c r="E20" s="71"/>
      <c r="F20" s="72"/>
      <c r="G20" s="74"/>
      <c r="H20" s="1674">
        <f t="shared" si="5"/>
        <v>0</v>
      </c>
      <c r="I20" s="73">
        <v>3500</v>
      </c>
      <c r="J20" s="74">
        <v>3469</v>
      </c>
      <c r="K20" s="74"/>
      <c r="L20" s="75">
        <f t="shared" si="6"/>
        <v>0</v>
      </c>
      <c r="M20" s="71"/>
      <c r="N20" s="75">
        <f t="shared" si="7"/>
        <v>0</v>
      </c>
      <c r="O20" s="139"/>
      <c r="P20" s="75"/>
      <c r="Q20" s="76"/>
      <c r="R20" s="75"/>
    </row>
    <row r="21" spans="1:18" s="143" customFormat="1" ht="12" x14ac:dyDescent="0.2">
      <c r="A21" s="77">
        <v>2</v>
      </c>
      <c r="B21" s="78" t="s">
        <v>69</v>
      </c>
      <c r="C21" s="79"/>
      <c r="D21" s="80"/>
      <c r="E21" s="81">
        <f t="shared" ref="E21:F21" si="8">SUM(E22,E24)</f>
        <v>322500</v>
      </c>
      <c r="F21" s="82">
        <f t="shared" si="8"/>
        <v>322254</v>
      </c>
      <c r="G21" s="84">
        <f>SUM(G22:G24)</f>
        <v>50000</v>
      </c>
      <c r="H21" s="84">
        <f>SUM(H22:H24)</f>
        <v>71143</v>
      </c>
      <c r="I21" s="83">
        <f t="shared" ref="I21:J21" si="9">SUM(I22,I24)</f>
        <v>491785</v>
      </c>
      <c r="J21" s="84">
        <f t="shared" si="9"/>
        <v>491785</v>
      </c>
      <c r="K21" s="84">
        <f>SUM(K22:K24)</f>
        <v>1098600</v>
      </c>
      <c r="L21" s="85">
        <f>SUM(L22,L24)</f>
        <v>1563168</v>
      </c>
      <c r="M21" s="81">
        <f>SUM(M22,M24)</f>
        <v>0</v>
      </c>
      <c r="N21" s="85">
        <f>SUM(N22,N24)</f>
        <v>0</v>
      </c>
      <c r="O21" s="82"/>
      <c r="P21" s="85">
        <f>SUM(P22,P24)</f>
        <v>1563167</v>
      </c>
      <c r="Q21" s="81"/>
      <c r="R21" s="85">
        <f>SUM(R22,R24)</f>
        <v>1563167</v>
      </c>
    </row>
    <row r="22" spans="1:18" s="143" customFormat="1" ht="12" x14ac:dyDescent="0.2">
      <c r="A22" s="105">
        <v>2.1</v>
      </c>
      <c r="B22" s="68" t="s">
        <v>70</v>
      </c>
      <c r="C22" s="69" t="s">
        <v>2158</v>
      </c>
      <c r="D22" s="70" t="s">
        <v>58</v>
      </c>
      <c r="E22" s="71">
        <v>242500</v>
      </c>
      <c r="F22" s="72">
        <v>242386</v>
      </c>
      <c r="G22" s="74"/>
      <c r="H22" s="1674">
        <f t="shared" si="5"/>
        <v>0</v>
      </c>
      <c r="I22" s="73">
        <v>467285</v>
      </c>
      <c r="J22" s="74">
        <v>467285</v>
      </c>
      <c r="K22" s="74">
        <f>768300+330300</f>
        <v>1098600</v>
      </c>
      <c r="L22" s="75">
        <v>1563168</v>
      </c>
      <c r="M22" s="89"/>
      <c r="N22" s="109">
        <f t="shared" si="7"/>
        <v>0</v>
      </c>
      <c r="O22" s="138" t="s">
        <v>71</v>
      </c>
      <c r="P22" s="75">
        <v>1563167</v>
      </c>
      <c r="Q22" s="69" t="s">
        <v>71</v>
      </c>
      <c r="R22" s="75">
        <v>1563167</v>
      </c>
    </row>
    <row r="23" spans="1:18" s="143" customFormat="1" ht="12" x14ac:dyDescent="0.2">
      <c r="A23" s="1239">
        <v>2.2000000000000002</v>
      </c>
      <c r="B23" s="68" t="s">
        <v>1963</v>
      </c>
      <c r="C23" s="69" t="s">
        <v>61</v>
      </c>
      <c r="D23" s="70" t="s">
        <v>58</v>
      </c>
      <c r="E23" s="71">
        <v>0</v>
      </c>
      <c r="F23" s="72">
        <v>0</v>
      </c>
      <c r="G23" s="74">
        <f>100000-50000</f>
        <v>50000</v>
      </c>
      <c r="H23" s="1674">
        <v>71143</v>
      </c>
      <c r="I23" s="73"/>
      <c r="J23" s="74"/>
      <c r="K23" s="74"/>
      <c r="L23" s="75">
        <f t="shared" si="6"/>
        <v>0</v>
      </c>
      <c r="M23" s="89"/>
      <c r="N23" s="109"/>
      <c r="O23" s="138"/>
      <c r="P23" s="75">
        <v>284574</v>
      </c>
      <c r="Q23" s="69"/>
      <c r="R23" s="75">
        <v>412633</v>
      </c>
    </row>
    <row r="24" spans="1:18" s="143" customFormat="1" ht="12" x14ac:dyDescent="0.2">
      <c r="A24" s="105">
        <v>2.2999999999999998</v>
      </c>
      <c r="B24" s="68" t="s">
        <v>72</v>
      </c>
      <c r="C24" s="69" t="s">
        <v>73</v>
      </c>
      <c r="D24" s="70" t="s">
        <v>58</v>
      </c>
      <c r="E24" s="71">
        <v>80000</v>
      </c>
      <c r="F24" s="72">
        <v>79868</v>
      </c>
      <c r="G24" s="74"/>
      <c r="H24" s="1674">
        <f t="shared" si="5"/>
        <v>0</v>
      </c>
      <c r="I24" s="73">
        <v>24500</v>
      </c>
      <c r="J24" s="74">
        <v>24500</v>
      </c>
      <c r="K24" s="74"/>
      <c r="L24" s="75">
        <f t="shared" si="6"/>
        <v>0</v>
      </c>
      <c r="M24" s="89"/>
      <c r="N24" s="109">
        <f t="shared" si="7"/>
        <v>0</v>
      </c>
      <c r="O24" s="138" t="s">
        <v>74</v>
      </c>
      <c r="P24" s="75"/>
      <c r="Q24" s="69" t="s">
        <v>74</v>
      </c>
      <c r="R24" s="75"/>
    </row>
    <row r="25" spans="1:18" s="143" customFormat="1" ht="12" x14ac:dyDescent="0.2">
      <c r="A25" s="105"/>
      <c r="B25" s="68"/>
      <c r="C25" s="69"/>
      <c r="D25" s="70"/>
      <c r="E25" s="71"/>
      <c r="F25" s="72"/>
      <c r="G25" s="74"/>
      <c r="H25" s="1674">
        <f t="shared" si="5"/>
        <v>0</v>
      </c>
      <c r="I25" s="73"/>
      <c r="J25" s="74"/>
      <c r="K25" s="74"/>
      <c r="L25" s="75">
        <f t="shared" si="6"/>
        <v>0</v>
      </c>
      <c r="M25" s="89"/>
      <c r="N25" s="109">
        <f t="shared" si="7"/>
        <v>0</v>
      </c>
      <c r="O25" s="72"/>
      <c r="P25" s="75"/>
      <c r="Q25" s="71"/>
      <c r="R25" s="75"/>
    </row>
    <row r="26" spans="1:18" s="143" customFormat="1" ht="12" x14ac:dyDescent="0.2">
      <c r="A26" s="77">
        <v>3</v>
      </c>
      <c r="B26" s="78" t="s">
        <v>75</v>
      </c>
      <c r="C26" s="79"/>
      <c r="D26" s="80"/>
      <c r="E26" s="81">
        <f t="shared" ref="E26:F26" si="10">SUM(E27:E29)</f>
        <v>145000</v>
      </c>
      <c r="F26" s="82">
        <f t="shared" si="10"/>
        <v>145000</v>
      </c>
      <c r="G26" s="84">
        <f>SUM(G27:G29)</f>
        <v>200000</v>
      </c>
      <c r="H26" s="84">
        <f>SUM(H27:H29)</f>
        <v>284575.18106328364</v>
      </c>
      <c r="I26" s="83">
        <f t="shared" ref="I26:J26" si="11">SUM(I27:I29)</f>
        <v>226665</v>
      </c>
      <c r="J26" s="84">
        <f t="shared" si="11"/>
        <v>224313</v>
      </c>
      <c r="K26" s="84">
        <f>SUM(K27:K29)</f>
        <v>165000</v>
      </c>
      <c r="L26" s="85">
        <f>SUM(L27:L29)</f>
        <v>234775</v>
      </c>
      <c r="M26" s="101">
        <f t="shared" ref="M26:R26" si="12">SUM(M27:M29)</f>
        <v>0</v>
      </c>
      <c r="N26" s="102">
        <f t="shared" si="12"/>
        <v>0</v>
      </c>
      <c r="O26" s="82"/>
      <c r="P26" s="85">
        <f t="shared" si="12"/>
        <v>547798.59053164185</v>
      </c>
      <c r="Q26" s="81"/>
      <c r="R26" s="85">
        <f t="shared" si="12"/>
        <v>661629</v>
      </c>
    </row>
    <row r="27" spans="1:18" s="143" customFormat="1" ht="12" x14ac:dyDescent="0.2">
      <c r="A27" s="86">
        <v>3.1</v>
      </c>
      <c r="B27" s="87" t="s">
        <v>76</v>
      </c>
      <c r="C27" s="69" t="s">
        <v>77</v>
      </c>
      <c r="D27" s="88" t="s">
        <v>78</v>
      </c>
      <c r="E27" s="89">
        <v>30000</v>
      </c>
      <c r="F27" s="90">
        <v>30000</v>
      </c>
      <c r="G27" s="92">
        <v>100000</v>
      </c>
      <c r="H27" s="1675">
        <v>142288</v>
      </c>
      <c r="I27" s="91">
        <v>70000</v>
      </c>
      <c r="J27" s="92">
        <v>70000</v>
      </c>
      <c r="K27" s="74"/>
      <c r="L27" s="75">
        <f t="shared" si="6"/>
        <v>0</v>
      </c>
      <c r="M27" s="89"/>
      <c r="N27" s="109">
        <f t="shared" si="7"/>
        <v>0</v>
      </c>
      <c r="O27" s="138" t="s">
        <v>77</v>
      </c>
      <c r="P27" s="75">
        <v>142280</v>
      </c>
      <c r="Q27" s="69" t="s">
        <v>77</v>
      </c>
      <c r="R27" s="75">
        <v>142280</v>
      </c>
    </row>
    <row r="28" spans="1:18" s="143" customFormat="1" ht="12" x14ac:dyDescent="0.2">
      <c r="A28" s="106">
        <v>3.2</v>
      </c>
      <c r="B28" s="93" t="s">
        <v>79</v>
      </c>
      <c r="C28" s="69" t="s">
        <v>2155</v>
      </c>
      <c r="D28" s="94" t="s">
        <v>78</v>
      </c>
      <c r="E28" s="95">
        <v>115000</v>
      </c>
      <c r="F28" s="96">
        <v>115000</v>
      </c>
      <c r="G28" s="1676">
        <v>100000</v>
      </c>
      <c r="H28" s="1675">
        <f t="shared" si="5"/>
        <v>142287.18106328364</v>
      </c>
      <c r="I28" s="97">
        <v>120403</v>
      </c>
      <c r="J28" s="98">
        <v>118052</v>
      </c>
      <c r="K28" s="74">
        <v>135000</v>
      </c>
      <c r="L28" s="75">
        <v>192088</v>
      </c>
      <c r="M28" s="89"/>
      <c r="N28" s="109">
        <f t="shared" si="7"/>
        <v>0</v>
      </c>
      <c r="O28" s="138" t="s">
        <v>80</v>
      </c>
      <c r="P28" s="75">
        <v>334375</v>
      </c>
      <c r="Q28" s="69" t="s">
        <v>80</v>
      </c>
      <c r="R28" s="75">
        <v>448205</v>
      </c>
    </row>
    <row r="29" spans="1:18" s="143" customFormat="1" ht="12" x14ac:dyDescent="0.2">
      <c r="A29" s="105">
        <v>3.3</v>
      </c>
      <c r="B29" s="68" t="s">
        <v>81</v>
      </c>
      <c r="C29" s="69" t="s">
        <v>2159</v>
      </c>
      <c r="D29" s="70" t="s">
        <v>78</v>
      </c>
      <c r="E29" s="71"/>
      <c r="F29" s="72"/>
      <c r="G29" s="74"/>
      <c r="H29" s="1675">
        <f t="shared" si="5"/>
        <v>0</v>
      </c>
      <c r="I29" s="73">
        <v>36262</v>
      </c>
      <c r="J29" s="74">
        <v>36261</v>
      </c>
      <c r="K29" s="74">
        <v>30000</v>
      </c>
      <c r="L29" s="75">
        <v>42687</v>
      </c>
      <c r="M29" s="89"/>
      <c r="N29" s="109">
        <f t="shared" si="7"/>
        <v>0</v>
      </c>
      <c r="O29" s="138" t="s">
        <v>82</v>
      </c>
      <c r="P29" s="75">
        <f>50000/0.702804</f>
        <v>71143.590531641821</v>
      </c>
      <c r="Q29" s="69" t="s">
        <v>82</v>
      </c>
      <c r="R29" s="75">
        <v>71144</v>
      </c>
    </row>
    <row r="30" spans="1:18" s="143" customFormat="1" ht="12" x14ac:dyDescent="0.2">
      <c r="A30" s="105"/>
      <c r="B30" s="68"/>
      <c r="C30" s="99"/>
      <c r="D30" s="70"/>
      <c r="E30" s="71"/>
      <c r="F30" s="72"/>
      <c r="G30" s="74"/>
      <c r="H30" s="1675">
        <f t="shared" si="5"/>
        <v>0</v>
      </c>
      <c r="I30" s="73"/>
      <c r="J30" s="74"/>
      <c r="K30" s="74"/>
      <c r="L30" s="75">
        <f t="shared" si="6"/>
        <v>0</v>
      </c>
      <c r="M30" s="89"/>
      <c r="N30" s="109">
        <f t="shared" si="7"/>
        <v>0</v>
      </c>
      <c r="O30" s="72"/>
      <c r="P30" s="75"/>
      <c r="Q30" s="71"/>
      <c r="R30" s="75"/>
    </row>
    <row r="31" spans="1:18" s="143" customFormat="1" ht="12" x14ac:dyDescent="0.2">
      <c r="A31" s="77">
        <v>4</v>
      </c>
      <c r="B31" s="78" t="s">
        <v>83</v>
      </c>
      <c r="C31" s="79"/>
      <c r="D31" s="100"/>
      <c r="E31" s="82">
        <f>SUM(E32:E37)</f>
        <v>88000</v>
      </c>
      <c r="F31" s="82">
        <f>SUM(F32:F37)</f>
        <v>78670</v>
      </c>
      <c r="G31" s="84">
        <f>SUM(G32:G37)</f>
        <v>93500</v>
      </c>
      <c r="H31" s="84">
        <f>SUM(H32:H37)</f>
        <v>133040.61543189851</v>
      </c>
      <c r="I31" s="83">
        <f t="shared" ref="I31:J31" si="13">SUM(I32:I37)</f>
        <v>3100</v>
      </c>
      <c r="J31" s="84">
        <f t="shared" si="13"/>
        <v>3100</v>
      </c>
      <c r="K31" s="84">
        <f>SUM(K32:K37)</f>
        <v>0</v>
      </c>
      <c r="L31" s="85">
        <f>SUM(L32:L37)</f>
        <v>0</v>
      </c>
      <c r="M31" s="81">
        <f>SUM(M32:M37)</f>
        <v>0</v>
      </c>
      <c r="N31" s="85">
        <f>SUM(N32:N37)</f>
        <v>0</v>
      </c>
      <c r="O31" s="137"/>
      <c r="P31" s="82">
        <f>SUM(P32:P37)</f>
        <v>116675.25699341495</v>
      </c>
      <c r="Q31" s="101"/>
      <c r="R31" s="102">
        <f>SUM(R32:R37)</f>
        <v>116676</v>
      </c>
    </row>
    <row r="32" spans="1:18" s="143" customFormat="1" ht="12" x14ac:dyDescent="0.2">
      <c r="A32" s="86">
        <v>4.0999999999999996</v>
      </c>
      <c r="B32" s="87" t="s">
        <v>84</v>
      </c>
      <c r="C32" s="103" t="s">
        <v>85</v>
      </c>
      <c r="D32" s="88" t="s">
        <v>78</v>
      </c>
      <c r="E32" s="89">
        <v>25000</v>
      </c>
      <c r="F32" s="90">
        <v>20067</v>
      </c>
      <c r="G32" s="92">
        <v>25000</v>
      </c>
      <c r="H32" s="1674">
        <v>35572</v>
      </c>
      <c r="I32" s="73"/>
      <c r="J32" s="74"/>
      <c r="K32" s="74"/>
      <c r="L32" s="75">
        <f t="shared" si="6"/>
        <v>0</v>
      </c>
      <c r="M32" s="89"/>
      <c r="N32" s="75">
        <f t="shared" si="7"/>
        <v>0</v>
      </c>
      <c r="O32" s="139" t="s">
        <v>85</v>
      </c>
      <c r="P32" s="75">
        <f>25000/0.702804</f>
        <v>35571.795265820911</v>
      </c>
      <c r="Q32" s="76" t="s">
        <v>85</v>
      </c>
      <c r="R32" s="75">
        <v>35572</v>
      </c>
    </row>
    <row r="33" spans="1:18" s="143" customFormat="1" ht="12" x14ac:dyDescent="0.2">
      <c r="A33" s="86">
        <v>4.2</v>
      </c>
      <c r="B33" s="104" t="s">
        <v>86</v>
      </c>
      <c r="C33" s="103" t="s">
        <v>2160</v>
      </c>
      <c r="D33" s="88" t="s">
        <v>78</v>
      </c>
      <c r="E33" s="89">
        <v>42500</v>
      </c>
      <c r="F33" s="90">
        <v>42369</v>
      </c>
      <c r="G33" s="92">
        <v>45000</v>
      </c>
      <c r="H33" s="1674">
        <v>64030</v>
      </c>
      <c r="I33" s="73"/>
      <c r="J33" s="74"/>
      <c r="K33" s="74"/>
      <c r="L33" s="75">
        <f t="shared" si="6"/>
        <v>0</v>
      </c>
      <c r="M33" s="89"/>
      <c r="N33" s="75">
        <f t="shared" si="7"/>
        <v>0</v>
      </c>
      <c r="O33" s="140" t="s">
        <v>87</v>
      </c>
      <c r="P33" s="75">
        <v>64029</v>
      </c>
      <c r="Q33" s="103" t="s">
        <v>87</v>
      </c>
      <c r="R33" s="75">
        <v>64029</v>
      </c>
    </row>
    <row r="34" spans="1:18" s="143" customFormat="1" ht="12" x14ac:dyDescent="0.2">
      <c r="A34" s="1908">
        <v>4.3</v>
      </c>
      <c r="B34" s="1910" t="s">
        <v>88</v>
      </c>
      <c r="C34" s="1912" t="s">
        <v>2156</v>
      </c>
      <c r="D34" s="88" t="s">
        <v>78</v>
      </c>
      <c r="E34" s="89">
        <v>300</v>
      </c>
      <c r="F34" s="90">
        <v>34</v>
      </c>
      <c r="G34" s="92">
        <v>500</v>
      </c>
      <c r="H34" s="1674">
        <v>712</v>
      </c>
      <c r="I34" s="73"/>
      <c r="J34" s="74"/>
      <c r="K34" s="74"/>
      <c r="L34" s="75">
        <f t="shared" si="6"/>
        <v>0</v>
      </c>
      <c r="M34" s="89"/>
      <c r="N34" s="75">
        <f t="shared" si="7"/>
        <v>0</v>
      </c>
      <c r="O34" s="138" t="s">
        <v>89</v>
      </c>
      <c r="P34" s="75">
        <f>2000/0.702804</f>
        <v>2845.743621265673</v>
      </c>
      <c r="Q34" s="69" t="s">
        <v>89</v>
      </c>
      <c r="R34" s="75">
        <v>2846</v>
      </c>
    </row>
    <row r="35" spans="1:18" s="143" customFormat="1" ht="13.5" customHeight="1" x14ac:dyDescent="0.2">
      <c r="A35" s="1909"/>
      <c r="B35" s="1911"/>
      <c r="C35" s="1913"/>
      <c r="D35" s="88" t="s">
        <v>90</v>
      </c>
      <c r="E35" s="89">
        <v>920</v>
      </c>
      <c r="F35" s="90">
        <v>920</v>
      </c>
      <c r="G35" s="92"/>
      <c r="H35" s="1674">
        <f t="shared" si="5"/>
        <v>0</v>
      </c>
      <c r="I35" s="73"/>
      <c r="J35" s="74"/>
      <c r="K35" s="74"/>
      <c r="L35" s="75">
        <f t="shared" si="6"/>
        <v>0</v>
      </c>
      <c r="M35" s="89"/>
      <c r="N35" s="75">
        <f t="shared" si="7"/>
        <v>0</v>
      </c>
      <c r="O35" s="138"/>
      <c r="P35" s="75"/>
      <c r="Q35" s="69"/>
      <c r="R35" s="75"/>
    </row>
    <row r="36" spans="1:18" s="143" customFormat="1" ht="13.5" customHeight="1" x14ac:dyDescent="0.2">
      <c r="A36" s="106">
        <v>4.4000000000000004</v>
      </c>
      <c r="B36" s="107" t="s">
        <v>91</v>
      </c>
      <c r="C36" s="108"/>
      <c r="D36" s="88" t="s">
        <v>90</v>
      </c>
      <c r="E36" s="89">
        <v>280</v>
      </c>
      <c r="F36" s="90">
        <v>280</v>
      </c>
      <c r="G36" s="92">
        <v>3000</v>
      </c>
      <c r="H36" s="1674">
        <f t="shared" si="5"/>
        <v>4268.6154318985091</v>
      </c>
      <c r="I36" s="73">
        <v>2100</v>
      </c>
      <c r="J36" s="74">
        <v>2100</v>
      </c>
      <c r="K36" s="74"/>
      <c r="L36" s="75">
        <f t="shared" si="6"/>
        <v>0</v>
      </c>
      <c r="M36" s="89"/>
      <c r="N36" s="75">
        <f t="shared" si="7"/>
        <v>0</v>
      </c>
      <c r="O36" s="138"/>
      <c r="P36" s="75"/>
      <c r="Q36" s="69"/>
      <c r="R36" s="75"/>
    </row>
    <row r="37" spans="1:18" s="143" customFormat="1" ht="12" x14ac:dyDescent="0.2">
      <c r="A37" s="86">
        <v>4.5</v>
      </c>
      <c r="B37" s="104" t="s">
        <v>92</v>
      </c>
      <c r="C37" s="69" t="s">
        <v>93</v>
      </c>
      <c r="D37" s="88" t="s">
        <v>94</v>
      </c>
      <c r="E37" s="89">
        <v>19000</v>
      </c>
      <c r="F37" s="90">
        <v>15000</v>
      </c>
      <c r="G37" s="92">
        <v>20000</v>
      </c>
      <c r="H37" s="1674">
        <v>28458</v>
      </c>
      <c r="I37" s="91">
        <v>1000</v>
      </c>
      <c r="J37" s="92">
        <v>1000</v>
      </c>
      <c r="K37" s="92"/>
      <c r="L37" s="75">
        <f t="shared" si="6"/>
        <v>0</v>
      </c>
      <c r="M37" s="89"/>
      <c r="N37" s="75">
        <f t="shared" si="7"/>
        <v>0</v>
      </c>
      <c r="O37" s="138" t="s">
        <v>93</v>
      </c>
      <c r="P37" s="109">
        <f>10000/0.702804</f>
        <v>14228.718106328364</v>
      </c>
      <c r="Q37" s="69" t="s">
        <v>93</v>
      </c>
      <c r="R37" s="109">
        <v>14229</v>
      </c>
    </row>
    <row r="38" spans="1:18" s="143" customFormat="1" ht="12" x14ac:dyDescent="0.2">
      <c r="A38" s="110">
        <v>5</v>
      </c>
      <c r="B38" s="111" t="s">
        <v>95</v>
      </c>
      <c r="C38" s="112"/>
      <c r="D38" s="113"/>
      <c r="E38" s="114">
        <f t="shared" ref="E38:F38" si="14">SUM(E39:E39)</f>
        <v>0</v>
      </c>
      <c r="F38" s="115">
        <f t="shared" si="14"/>
        <v>0</v>
      </c>
      <c r="G38" s="117">
        <f>SUM(G39:G39)</f>
        <v>0</v>
      </c>
      <c r="H38" s="117">
        <f>SUM(H39:H39)</f>
        <v>0</v>
      </c>
      <c r="I38" s="116">
        <f t="shared" ref="I38:J38" si="15">SUM(I39:I39)</f>
        <v>30276</v>
      </c>
      <c r="J38" s="117">
        <f t="shared" si="15"/>
        <v>30267</v>
      </c>
      <c r="K38" s="117">
        <f>SUM(K39:K39)</f>
        <v>0</v>
      </c>
      <c r="L38" s="118">
        <f>SUM(L39:L39)</f>
        <v>0</v>
      </c>
      <c r="M38" s="134">
        <f>SUM(M39:M39)</f>
        <v>0</v>
      </c>
      <c r="N38" s="141">
        <f>SUM(N39:N39)</f>
        <v>0</v>
      </c>
      <c r="O38" s="115"/>
      <c r="P38" s="118">
        <f>SUM(P39:P39)</f>
        <v>56915</v>
      </c>
      <c r="Q38" s="115"/>
      <c r="R38" s="118">
        <f>SUM(R39:R39)</f>
        <v>71144</v>
      </c>
    </row>
    <row r="39" spans="1:18" s="143" customFormat="1" ht="15" customHeight="1" x14ac:dyDescent="0.2">
      <c r="A39" s="119">
        <v>5.0999999999999996</v>
      </c>
      <c r="B39" s="120" t="s">
        <v>96</v>
      </c>
      <c r="C39" s="121" t="s">
        <v>97</v>
      </c>
      <c r="D39" s="122" t="s">
        <v>62</v>
      </c>
      <c r="E39" s="123"/>
      <c r="F39" s="124"/>
      <c r="G39" s="127"/>
      <c r="H39" s="125">
        <f t="shared" si="5"/>
        <v>0</v>
      </c>
      <c r="I39" s="126">
        <v>30276</v>
      </c>
      <c r="J39" s="127">
        <v>30267</v>
      </c>
      <c r="K39" s="127"/>
      <c r="L39" s="130">
        <f t="shared" si="6"/>
        <v>0</v>
      </c>
      <c r="M39" s="135"/>
      <c r="N39" s="125">
        <f t="shared" si="7"/>
        <v>0</v>
      </c>
      <c r="O39" s="129" t="s">
        <v>97</v>
      </c>
      <c r="P39" s="128">
        <v>56915</v>
      </c>
      <c r="Q39" s="129" t="s">
        <v>97</v>
      </c>
      <c r="R39" s="130">
        <v>71144</v>
      </c>
    </row>
    <row r="40" spans="1:18" s="143" customFormat="1" ht="15" customHeight="1" x14ac:dyDescent="0.2">
      <c r="A40" s="1902" t="s">
        <v>109</v>
      </c>
      <c r="B40" s="1903"/>
      <c r="C40" s="180"/>
      <c r="D40" s="180"/>
      <c r="E40" s="180"/>
      <c r="F40" s="180"/>
      <c r="G40" s="180"/>
      <c r="H40" s="180"/>
      <c r="I40" s="180"/>
      <c r="J40" s="180"/>
      <c r="K40" s="180"/>
      <c r="L40" s="180"/>
      <c r="M40" s="180"/>
      <c r="N40" s="180"/>
      <c r="O40" s="180"/>
      <c r="P40" s="180"/>
      <c r="Q40" s="180"/>
      <c r="R40" s="181"/>
    </row>
    <row r="41" spans="1:18" s="143" customFormat="1" ht="26.25" customHeight="1" x14ac:dyDescent="0.2">
      <c r="A41" s="1904" t="s">
        <v>110</v>
      </c>
      <c r="B41" s="1905"/>
      <c r="C41" s="1905"/>
      <c r="D41" s="131" t="s">
        <v>55</v>
      </c>
      <c r="E41" s="167">
        <f>SUM(E42)</f>
        <v>289922</v>
      </c>
      <c r="F41" s="168">
        <f t="shared" ref="F41:R41" si="16">SUM(F42)</f>
        <v>282762</v>
      </c>
      <c r="G41" s="168">
        <f t="shared" si="16"/>
        <v>584398</v>
      </c>
      <c r="H41" s="168">
        <f t="shared" si="16"/>
        <v>831523.44039020839</v>
      </c>
      <c r="I41" s="167">
        <f t="shared" si="16"/>
        <v>910850</v>
      </c>
      <c r="J41" s="168">
        <f t="shared" si="16"/>
        <v>904404</v>
      </c>
      <c r="K41" s="168">
        <f t="shared" si="16"/>
        <v>622322</v>
      </c>
      <c r="L41" s="168">
        <f t="shared" si="16"/>
        <v>885485</v>
      </c>
      <c r="M41" s="169">
        <f t="shared" si="16"/>
        <v>0</v>
      </c>
      <c r="N41" s="170">
        <f t="shared" si="16"/>
        <v>0</v>
      </c>
      <c r="O41" s="167">
        <f t="shared" si="16"/>
        <v>0</v>
      </c>
      <c r="P41" s="171">
        <f t="shared" si="16"/>
        <v>1717008</v>
      </c>
      <c r="Q41" s="167">
        <f t="shared" si="16"/>
        <v>0</v>
      </c>
      <c r="R41" s="171">
        <f t="shared" si="16"/>
        <v>1717008</v>
      </c>
    </row>
    <row r="42" spans="1:18" s="143" customFormat="1" ht="12" x14ac:dyDescent="0.2">
      <c r="A42" s="110">
        <v>1</v>
      </c>
      <c r="B42" s="111" t="s">
        <v>98</v>
      </c>
      <c r="C42" s="172"/>
      <c r="D42" s="173"/>
      <c r="E42" s="132">
        <f t="shared" ref="E42:F42" si="17">SUM(E43:E43)</f>
        <v>289922</v>
      </c>
      <c r="F42" s="115">
        <f t="shared" si="17"/>
        <v>282762</v>
      </c>
      <c r="G42" s="1677">
        <f>SUM(G43:G43)</f>
        <v>584398</v>
      </c>
      <c r="H42" s="1677">
        <f>SUM(H43:H43)</f>
        <v>831523.44039020839</v>
      </c>
      <c r="I42" s="115">
        <f t="shared" ref="I42:R42" si="18">SUM(I43:I43)</f>
        <v>910850</v>
      </c>
      <c r="J42" s="115">
        <f t="shared" si="18"/>
        <v>904404</v>
      </c>
      <c r="K42" s="1677">
        <f t="shared" si="18"/>
        <v>622322</v>
      </c>
      <c r="L42" s="133">
        <f t="shared" si="18"/>
        <v>885485</v>
      </c>
      <c r="M42" s="62">
        <f t="shared" si="18"/>
        <v>0</v>
      </c>
      <c r="N42" s="133">
        <f t="shared" si="18"/>
        <v>0</v>
      </c>
      <c r="O42" s="63"/>
      <c r="P42" s="133">
        <f t="shared" si="18"/>
        <v>1717008</v>
      </c>
      <c r="Q42" s="63"/>
      <c r="R42" s="133">
        <f t="shared" si="18"/>
        <v>1717008</v>
      </c>
    </row>
    <row r="43" spans="1:18" s="143" customFormat="1" ht="28.5" customHeight="1" x14ac:dyDescent="0.2">
      <c r="A43" s="119">
        <v>1.1000000000000001</v>
      </c>
      <c r="B43" s="174" t="s">
        <v>99</v>
      </c>
      <c r="C43" s="175" t="s">
        <v>100</v>
      </c>
      <c r="D43" s="122" t="s">
        <v>101</v>
      </c>
      <c r="E43" s="123">
        <v>289922</v>
      </c>
      <c r="F43" s="124">
        <v>282762</v>
      </c>
      <c r="G43" s="1678">
        <f>307398+227000+50000</f>
        <v>584398</v>
      </c>
      <c r="H43" s="176">
        <f t="shared" ref="H43" si="19">SUM(G43/0.702804)</f>
        <v>831523.44039020839</v>
      </c>
      <c r="I43" s="124">
        <v>910850</v>
      </c>
      <c r="J43" s="124">
        <v>904404</v>
      </c>
      <c r="K43" s="1678">
        <f>899322-227000-50000</f>
        <v>622322</v>
      </c>
      <c r="L43" s="1680">
        <v>885485</v>
      </c>
      <c r="M43" s="135"/>
      <c r="N43" s="177">
        <f t="shared" ref="N43" si="20">SUM(M43)</f>
        <v>0</v>
      </c>
      <c r="O43" s="175" t="s">
        <v>100</v>
      </c>
      <c r="P43" s="178">
        <v>1717008</v>
      </c>
      <c r="Q43" s="175" t="s">
        <v>100</v>
      </c>
      <c r="R43" s="176">
        <v>1717008</v>
      </c>
    </row>
    <row r="52" spans="2:2" x14ac:dyDescent="0.25">
      <c r="B52" s="1669"/>
    </row>
  </sheetData>
  <sheetProtection password="CA5B" sheet="1" objects="1" scenarios="1"/>
  <mergeCells count="18">
    <mergeCell ref="A6:A7"/>
    <mergeCell ref="C7:Q7"/>
    <mergeCell ref="A9:A10"/>
    <mergeCell ref="B9:B10"/>
    <mergeCell ref="O9:P9"/>
    <mergeCell ref="A40:B40"/>
    <mergeCell ref="A41:C41"/>
    <mergeCell ref="C11:D11"/>
    <mergeCell ref="A34:A35"/>
    <mergeCell ref="B34:B35"/>
    <mergeCell ref="C34:C35"/>
    <mergeCell ref="A12:B12"/>
    <mergeCell ref="A13:B13"/>
    <mergeCell ref="Q9:R9"/>
    <mergeCell ref="E9:H9"/>
    <mergeCell ref="O1:R3"/>
    <mergeCell ref="I9:L9"/>
    <mergeCell ref="M9:N9"/>
  </mergeCells>
  <printOptions horizontalCentered="1"/>
  <pageMargins left="0.70866141732283472" right="0.70866141732283472" top="0.35433070866141736" bottom="0.35433070866141736" header="0.31496062992125984" footer="0.31496062992125984"/>
  <pageSetup paperSize="9" scale="6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7"/>
  <sheetViews>
    <sheetView zoomScaleNormal="100" workbookViewId="0">
      <selection activeCell="L10" sqref="L10"/>
    </sheetView>
  </sheetViews>
  <sheetFormatPr defaultRowHeight="12" x14ac:dyDescent="0.2"/>
  <cols>
    <col min="1" max="1" width="6.140625" style="215" customWidth="1"/>
    <col min="2" max="2" width="31" style="215" customWidth="1"/>
    <col min="3" max="3" width="11.85546875" style="215" customWidth="1"/>
    <col min="4" max="4" width="11.140625" style="215" customWidth="1"/>
    <col min="5" max="5" width="10.28515625" style="215" customWidth="1"/>
    <col min="6" max="6" width="10.5703125" style="215" customWidth="1"/>
    <col min="7" max="7" width="9.7109375" style="215" hidden="1" customWidth="1"/>
    <col min="8" max="8" width="9.7109375" style="215" customWidth="1"/>
    <col min="9" max="9" width="16.7109375" style="215" customWidth="1"/>
    <col min="10" max="256" width="9.140625" style="215"/>
    <col min="257" max="257" width="6.140625" style="215" customWidth="1"/>
    <col min="258" max="258" width="31" style="215" customWidth="1"/>
    <col min="259" max="259" width="11.85546875" style="215" customWidth="1"/>
    <col min="260" max="260" width="11.140625" style="215" customWidth="1"/>
    <col min="261" max="261" width="10.28515625" style="215" customWidth="1"/>
    <col min="262" max="262" width="10.5703125" style="215" customWidth="1"/>
    <col min="263" max="264" width="9.7109375" style="215" customWidth="1"/>
    <col min="265" max="265" width="16.7109375" style="215" customWidth="1"/>
    <col min="266" max="512" width="9.140625" style="215"/>
    <col min="513" max="513" width="6.140625" style="215" customWidth="1"/>
    <col min="514" max="514" width="31" style="215" customWidth="1"/>
    <col min="515" max="515" width="11.85546875" style="215" customWidth="1"/>
    <col min="516" max="516" width="11.140625" style="215" customWidth="1"/>
    <col min="517" max="517" width="10.28515625" style="215" customWidth="1"/>
    <col min="518" max="518" width="10.5703125" style="215" customWidth="1"/>
    <col min="519" max="520" width="9.7109375" style="215" customWidth="1"/>
    <col min="521" max="521" width="16.7109375" style="215" customWidth="1"/>
    <col min="522" max="768" width="9.140625" style="215"/>
    <col min="769" max="769" width="6.140625" style="215" customWidth="1"/>
    <col min="770" max="770" width="31" style="215" customWidth="1"/>
    <col min="771" max="771" width="11.85546875" style="215" customWidth="1"/>
    <col min="772" max="772" width="11.140625" style="215" customWidth="1"/>
    <col min="773" max="773" width="10.28515625" style="215" customWidth="1"/>
    <col min="774" max="774" width="10.5703125" style="215" customWidth="1"/>
    <col min="775" max="776" width="9.7109375" style="215" customWidth="1"/>
    <col min="777" max="777" width="16.7109375" style="215" customWidth="1"/>
    <col min="778" max="1024" width="9.140625" style="215"/>
    <col min="1025" max="1025" width="6.140625" style="215" customWidth="1"/>
    <col min="1026" max="1026" width="31" style="215" customWidth="1"/>
    <col min="1027" max="1027" width="11.85546875" style="215" customWidth="1"/>
    <col min="1028" max="1028" width="11.140625" style="215" customWidth="1"/>
    <col min="1029" max="1029" width="10.28515625" style="215" customWidth="1"/>
    <col min="1030" max="1030" width="10.5703125" style="215" customWidth="1"/>
    <col min="1031" max="1032" width="9.7109375" style="215" customWidth="1"/>
    <col min="1033" max="1033" width="16.7109375" style="215" customWidth="1"/>
    <col min="1034" max="1280" width="9.140625" style="215"/>
    <col min="1281" max="1281" width="6.140625" style="215" customWidth="1"/>
    <col min="1282" max="1282" width="31" style="215" customWidth="1"/>
    <col min="1283" max="1283" width="11.85546875" style="215" customWidth="1"/>
    <col min="1284" max="1284" width="11.140625" style="215" customWidth="1"/>
    <col min="1285" max="1285" width="10.28515625" style="215" customWidth="1"/>
    <col min="1286" max="1286" width="10.5703125" style="215" customWidth="1"/>
    <col min="1287" max="1288" width="9.7109375" style="215" customWidth="1"/>
    <col min="1289" max="1289" width="16.7109375" style="215" customWidth="1"/>
    <col min="1290" max="1536" width="9.140625" style="215"/>
    <col min="1537" max="1537" width="6.140625" style="215" customWidth="1"/>
    <col min="1538" max="1538" width="31" style="215" customWidth="1"/>
    <col min="1539" max="1539" width="11.85546875" style="215" customWidth="1"/>
    <col min="1540" max="1540" width="11.140625" style="215" customWidth="1"/>
    <col min="1541" max="1541" width="10.28515625" style="215" customWidth="1"/>
    <col min="1542" max="1542" width="10.5703125" style="215" customWidth="1"/>
    <col min="1543" max="1544" width="9.7109375" style="215" customWidth="1"/>
    <col min="1545" max="1545" width="16.7109375" style="215" customWidth="1"/>
    <col min="1546" max="1792" width="9.140625" style="215"/>
    <col min="1793" max="1793" width="6.140625" style="215" customWidth="1"/>
    <col min="1794" max="1794" width="31" style="215" customWidth="1"/>
    <col min="1795" max="1795" width="11.85546875" style="215" customWidth="1"/>
    <col min="1796" max="1796" width="11.140625" style="215" customWidth="1"/>
    <col min="1797" max="1797" width="10.28515625" style="215" customWidth="1"/>
    <col min="1798" max="1798" width="10.5703125" style="215" customWidth="1"/>
    <col min="1799" max="1800" width="9.7109375" style="215" customWidth="1"/>
    <col min="1801" max="1801" width="16.7109375" style="215" customWidth="1"/>
    <col min="1802" max="2048" width="9.140625" style="215"/>
    <col min="2049" max="2049" width="6.140625" style="215" customWidth="1"/>
    <col min="2050" max="2050" width="31" style="215" customWidth="1"/>
    <col min="2051" max="2051" width="11.85546875" style="215" customWidth="1"/>
    <col min="2052" max="2052" width="11.140625" style="215" customWidth="1"/>
    <col min="2053" max="2053" width="10.28515625" style="215" customWidth="1"/>
    <col min="2054" max="2054" width="10.5703125" style="215" customWidth="1"/>
    <col min="2055" max="2056" width="9.7109375" style="215" customWidth="1"/>
    <col min="2057" max="2057" width="16.7109375" style="215" customWidth="1"/>
    <col min="2058" max="2304" width="9.140625" style="215"/>
    <col min="2305" max="2305" width="6.140625" style="215" customWidth="1"/>
    <col min="2306" max="2306" width="31" style="215" customWidth="1"/>
    <col min="2307" max="2307" width="11.85546875" style="215" customWidth="1"/>
    <col min="2308" max="2308" width="11.140625" style="215" customWidth="1"/>
    <col min="2309" max="2309" width="10.28515625" style="215" customWidth="1"/>
    <col min="2310" max="2310" width="10.5703125" style="215" customWidth="1"/>
    <col min="2311" max="2312" width="9.7109375" style="215" customWidth="1"/>
    <col min="2313" max="2313" width="16.7109375" style="215" customWidth="1"/>
    <col min="2314" max="2560" width="9.140625" style="215"/>
    <col min="2561" max="2561" width="6.140625" style="215" customWidth="1"/>
    <col min="2562" max="2562" width="31" style="215" customWidth="1"/>
    <col min="2563" max="2563" width="11.85546875" style="215" customWidth="1"/>
    <col min="2564" max="2564" width="11.140625" style="215" customWidth="1"/>
    <col min="2565" max="2565" width="10.28515625" style="215" customWidth="1"/>
    <col min="2566" max="2566" width="10.5703125" style="215" customWidth="1"/>
    <col min="2567" max="2568" width="9.7109375" style="215" customWidth="1"/>
    <col min="2569" max="2569" width="16.7109375" style="215" customWidth="1"/>
    <col min="2570" max="2816" width="9.140625" style="215"/>
    <col min="2817" max="2817" width="6.140625" style="215" customWidth="1"/>
    <col min="2818" max="2818" width="31" style="215" customWidth="1"/>
    <col min="2819" max="2819" width="11.85546875" style="215" customWidth="1"/>
    <col min="2820" max="2820" width="11.140625" style="215" customWidth="1"/>
    <col min="2821" max="2821" width="10.28515625" style="215" customWidth="1"/>
    <col min="2822" max="2822" width="10.5703125" style="215" customWidth="1"/>
    <col min="2823" max="2824" width="9.7109375" style="215" customWidth="1"/>
    <col min="2825" max="2825" width="16.7109375" style="215" customWidth="1"/>
    <col min="2826" max="3072" width="9.140625" style="215"/>
    <col min="3073" max="3073" width="6.140625" style="215" customWidth="1"/>
    <col min="3074" max="3074" width="31" style="215" customWidth="1"/>
    <col min="3075" max="3075" width="11.85546875" style="215" customWidth="1"/>
    <col min="3076" max="3076" width="11.140625" style="215" customWidth="1"/>
    <col min="3077" max="3077" width="10.28515625" style="215" customWidth="1"/>
    <col min="3078" max="3078" width="10.5703125" style="215" customWidth="1"/>
    <col min="3079" max="3080" width="9.7109375" style="215" customWidth="1"/>
    <col min="3081" max="3081" width="16.7109375" style="215" customWidth="1"/>
    <col min="3082" max="3328" width="9.140625" style="215"/>
    <col min="3329" max="3329" width="6.140625" style="215" customWidth="1"/>
    <col min="3330" max="3330" width="31" style="215" customWidth="1"/>
    <col min="3331" max="3331" width="11.85546875" style="215" customWidth="1"/>
    <col min="3332" max="3332" width="11.140625" style="215" customWidth="1"/>
    <col min="3333" max="3333" width="10.28515625" style="215" customWidth="1"/>
    <col min="3334" max="3334" width="10.5703125" style="215" customWidth="1"/>
    <col min="3335" max="3336" width="9.7109375" style="215" customWidth="1"/>
    <col min="3337" max="3337" width="16.7109375" style="215" customWidth="1"/>
    <col min="3338" max="3584" width="9.140625" style="215"/>
    <col min="3585" max="3585" width="6.140625" style="215" customWidth="1"/>
    <col min="3586" max="3586" width="31" style="215" customWidth="1"/>
    <col min="3587" max="3587" width="11.85546875" style="215" customWidth="1"/>
    <col min="3588" max="3588" width="11.140625" style="215" customWidth="1"/>
    <col min="3589" max="3589" width="10.28515625" style="215" customWidth="1"/>
    <col min="3590" max="3590" width="10.5703125" style="215" customWidth="1"/>
    <col min="3591" max="3592" width="9.7109375" style="215" customWidth="1"/>
    <col min="3593" max="3593" width="16.7109375" style="215" customWidth="1"/>
    <col min="3594" max="3840" width="9.140625" style="215"/>
    <col min="3841" max="3841" width="6.140625" style="215" customWidth="1"/>
    <col min="3842" max="3842" width="31" style="215" customWidth="1"/>
    <col min="3843" max="3843" width="11.85546875" style="215" customWidth="1"/>
    <col min="3844" max="3844" width="11.140625" style="215" customWidth="1"/>
    <col min="3845" max="3845" width="10.28515625" style="215" customWidth="1"/>
    <col min="3846" max="3846" width="10.5703125" style="215" customWidth="1"/>
    <col min="3847" max="3848" width="9.7109375" style="215" customWidth="1"/>
    <col min="3849" max="3849" width="16.7109375" style="215" customWidth="1"/>
    <col min="3850" max="4096" width="9.140625" style="215"/>
    <col min="4097" max="4097" width="6.140625" style="215" customWidth="1"/>
    <col min="4098" max="4098" width="31" style="215" customWidth="1"/>
    <col min="4099" max="4099" width="11.85546875" style="215" customWidth="1"/>
    <col min="4100" max="4100" width="11.140625" style="215" customWidth="1"/>
    <col min="4101" max="4101" width="10.28515625" style="215" customWidth="1"/>
    <col min="4102" max="4102" width="10.5703125" style="215" customWidth="1"/>
    <col min="4103" max="4104" width="9.7109375" style="215" customWidth="1"/>
    <col min="4105" max="4105" width="16.7109375" style="215" customWidth="1"/>
    <col min="4106" max="4352" width="9.140625" style="215"/>
    <col min="4353" max="4353" width="6.140625" style="215" customWidth="1"/>
    <col min="4354" max="4354" width="31" style="215" customWidth="1"/>
    <col min="4355" max="4355" width="11.85546875" style="215" customWidth="1"/>
    <col min="4356" max="4356" width="11.140625" style="215" customWidth="1"/>
    <col min="4357" max="4357" width="10.28515625" style="215" customWidth="1"/>
    <col min="4358" max="4358" width="10.5703125" style="215" customWidth="1"/>
    <col min="4359" max="4360" width="9.7109375" style="215" customWidth="1"/>
    <col min="4361" max="4361" width="16.7109375" style="215" customWidth="1"/>
    <col min="4362" max="4608" width="9.140625" style="215"/>
    <col min="4609" max="4609" width="6.140625" style="215" customWidth="1"/>
    <col min="4610" max="4610" width="31" style="215" customWidth="1"/>
    <col min="4611" max="4611" width="11.85546875" style="215" customWidth="1"/>
    <col min="4612" max="4612" width="11.140625" style="215" customWidth="1"/>
    <col min="4613" max="4613" width="10.28515625" style="215" customWidth="1"/>
    <col min="4614" max="4614" width="10.5703125" style="215" customWidth="1"/>
    <col min="4615" max="4616" width="9.7109375" style="215" customWidth="1"/>
    <col min="4617" max="4617" width="16.7109375" style="215" customWidth="1"/>
    <col min="4618" max="4864" width="9.140625" style="215"/>
    <col min="4865" max="4865" width="6.140625" style="215" customWidth="1"/>
    <col min="4866" max="4866" width="31" style="215" customWidth="1"/>
    <col min="4867" max="4867" width="11.85546875" style="215" customWidth="1"/>
    <col min="4868" max="4868" width="11.140625" style="215" customWidth="1"/>
    <col min="4869" max="4869" width="10.28515625" style="215" customWidth="1"/>
    <col min="4870" max="4870" width="10.5703125" style="215" customWidth="1"/>
    <col min="4871" max="4872" width="9.7109375" style="215" customWidth="1"/>
    <col min="4873" max="4873" width="16.7109375" style="215" customWidth="1"/>
    <col min="4874" max="5120" width="9.140625" style="215"/>
    <col min="5121" max="5121" width="6.140625" style="215" customWidth="1"/>
    <col min="5122" max="5122" width="31" style="215" customWidth="1"/>
    <col min="5123" max="5123" width="11.85546875" style="215" customWidth="1"/>
    <col min="5124" max="5124" width="11.140625" style="215" customWidth="1"/>
    <col min="5125" max="5125" width="10.28515625" style="215" customWidth="1"/>
    <col min="5126" max="5126" width="10.5703125" style="215" customWidth="1"/>
    <col min="5127" max="5128" width="9.7109375" style="215" customWidth="1"/>
    <col min="5129" max="5129" width="16.7109375" style="215" customWidth="1"/>
    <col min="5130" max="5376" width="9.140625" style="215"/>
    <col min="5377" max="5377" width="6.140625" style="215" customWidth="1"/>
    <col min="5378" max="5378" width="31" style="215" customWidth="1"/>
    <col min="5379" max="5379" width="11.85546875" style="215" customWidth="1"/>
    <col min="5380" max="5380" width="11.140625" style="215" customWidth="1"/>
    <col min="5381" max="5381" width="10.28515625" style="215" customWidth="1"/>
    <col min="5382" max="5382" width="10.5703125" style="215" customWidth="1"/>
    <col min="5383" max="5384" width="9.7109375" style="215" customWidth="1"/>
    <col min="5385" max="5385" width="16.7109375" style="215" customWidth="1"/>
    <col min="5386" max="5632" width="9.140625" style="215"/>
    <col min="5633" max="5633" width="6.140625" style="215" customWidth="1"/>
    <col min="5634" max="5634" width="31" style="215" customWidth="1"/>
    <col min="5635" max="5635" width="11.85546875" style="215" customWidth="1"/>
    <col min="5636" max="5636" width="11.140625" style="215" customWidth="1"/>
    <col min="5637" max="5637" width="10.28515625" style="215" customWidth="1"/>
    <col min="5638" max="5638" width="10.5703125" style="215" customWidth="1"/>
    <col min="5639" max="5640" width="9.7109375" style="215" customWidth="1"/>
    <col min="5641" max="5641" width="16.7109375" style="215" customWidth="1"/>
    <col min="5642" max="5888" width="9.140625" style="215"/>
    <col min="5889" max="5889" width="6.140625" style="215" customWidth="1"/>
    <col min="5890" max="5890" width="31" style="215" customWidth="1"/>
    <col min="5891" max="5891" width="11.85546875" style="215" customWidth="1"/>
    <col min="5892" max="5892" width="11.140625" style="215" customWidth="1"/>
    <col min="5893" max="5893" width="10.28515625" style="215" customWidth="1"/>
    <col min="5894" max="5894" width="10.5703125" style="215" customWidth="1"/>
    <col min="5895" max="5896" width="9.7109375" style="215" customWidth="1"/>
    <col min="5897" max="5897" width="16.7109375" style="215" customWidth="1"/>
    <col min="5898" max="6144" width="9.140625" style="215"/>
    <col min="6145" max="6145" width="6.140625" style="215" customWidth="1"/>
    <col min="6146" max="6146" width="31" style="215" customWidth="1"/>
    <col min="6147" max="6147" width="11.85546875" style="215" customWidth="1"/>
    <col min="6148" max="6148" width="11.140625" style="215" customWidth="1"/>
    <col min="6149" max="6149" width="10.28515625" style="215" customWidth="1"/>
    <col min="6150" max="6150" width="10.5703125" style="215" customWidth="1"/>
    <col min="6151" max="6152" width="9.7109375" style="215" customWidth="1"/>
    <col min="6153" max="6153" width="16.7109375" style="215" customWidth="1"/>
    <col min="6154" max="6400" width="9.140625" style="215"/>
    <col min="6401" max="6401" width="6.140625" style="215" customWidth="1"/>
    <col min="6402" max="6402" width="31" style="215" customWidth="1"/>
    <col min="6403" max="6403" width="11.85546875" style="215" customWidth="1"/>
    <col min="6404" max="6404" width="11.140625" style="215" customWidth="1"/>
    <col min="6405" max="6405" width="10.28515625" style="215" customWidth="1"/>
    <col min="6406" max="6406" width="10.5703125" style="215" customWidth="1"/>
    <col min="6407" max="6408" width="9.7109375" style="215" customWidth="1"/>
    <col min="6409" max="6409" width="16.7109375" style="215" customWidth="1"/>
    <col min="6410" max="6656" width="9.140625" style="215"/>
    <col min="6657" max="6657" width="6.140625" style="215" customWidth="1"/>
    <col min="6658" max="6658" width="31" style="215" customWidth="1"/>
    <col min="6659" max="6659" width="11.85546875" style="215" customWidth="1"/>
    <col min="6660" max="6660" width="11.140625" style="215" customWidth="1"/>
    <col min="6661" max="6661" width="10.28515625" style="215" customWidth="1"/>
    <col min="6662" max="6662" width="10.5703125" style="215" customWidth="1"/>
    <col min="6663" max="6664" width="9.7109375" style="215" customWidth="1"/>
    <col min="6665" max="6665" width="16.7109375" style="215" customWidth="1"/>
    <col min="6666" max="6912" width="9.140625" style="215"/>
    <col min="6913" max="6913" width="6.140625" style="215" customWidth="1"/>
    <col min="6914" max="6914" width="31" style="215" customWidth="1"/>
    <col min="6915" max="6915" width="11.85546875" style="215" customWidth="1"/>
    <col min="6916" max="6916" width="11.140625" style="215" customWidth="1"/>
    <col min="6917" max="6917" width="10.28515625" style="215" customWidth="1"/>
    <col min="6918" max="6918" width="10.5703125" style="215" customWidth="1"/>
    <col min="6919" max="6920" width="9.7109375" style="215" customWidth="1"/>
    <col min="6921" max="6921" width="16.7109375" style="215" customWidth="1"/>
    <col min="6922" max="7168" width="9.140625" style="215"/>
    <col min="7169" max="7169" width="6.140625" style="215" customWidth="1"/>
    <col min="7170" max="7170" width="31" style="215" customWidth="1"/>
    <col min="7171" max="7171" width="11.85546875" style="215" customWidth="1"/>
    <col min="7172" max="7172" width="11.140625" style="215" customWidth="1"/>
    <col min="7173" max="7173" width="10.28515625" style="215" customWidth="1"/>
    <col min="7174" max="7174" width="10.5703125" style="215" customWidth="1"/>
    <col min="7175" max="7176" width="9.7109375" style="215" customWidth="1"/>
    <col min="7177" max="7177" width="16.7109375" style="215" customWidth="1"/>
    <col min="7178" max="7424" width="9.140625" style="215"/>
    <col min="7425" max="7425" width="6.140625" style="215" customWidth="1"/>
    <col min="7426" max="7426" width="31" style="215" customWidth="1"/>
    <col min="7427" max="7427" width="11.85546875" style="215" customWidth="1"/>
    <col min="7428" max="7428" width="11.140625" style="215" customWidth="1"/>
    <col min="7429" max="7429" width="10.28515625" style="215" customWidth="1"/>
    <col min="7430" max="7430" width="10.5703125" style="215" customWidth="1"/>
    <col min="7431" max="7432" width="9.7109375" style="215" customWidth="1"/>
    <col min="7433" max="7433" width="16.7109375" style="215" customWidth="1"/>
    <col min="7434" max="7680" width="9.140625" style="215"/>
    <col min="7681" max="7681" width="6.140625" style="215" customWidth="1"/>
    <col min="7682" max="7682" width="31" style="215" customWidth="1"/>
    <col min="7683" max="7683" width="11.85546875" style="215" customWidth="1"/>
    <col min="7684" max="7684" width="11.140625" style="215" customWidth="1"/>
    <col min="7685" max="7685" width="10.28515625" style="215" customWidth="1"/>
    <col min="7686" max="7686" width="10.5703125" style="215" customWidth="1"/>
    <col min="7687" max="7688" width="9.7109375" style="215" customWidth="1"/>
    <col min="7689" max="7689" width="16.7109375" style="215" customWidth="1"/>
    <col min="7690" max="7936" width="9.140625" style="215"/>
    <col min="7937" max="7937" width="6.140625" style="215" customWidth="1"/>
    <col min="7938" max="7938" width="31" style="215" customWidth="1"/>
    <col min="7939" max="7939" width="11.85546875" style="215" customWidth="1"/>
    <col min="7940" max="7940" width="11.140625" style="215" customWidth="1"/>
    <col min="7941" max="7941" width="10.28515625" style="215" customWidth="1"/>
    <col min="7942" max="7942" width="10.5703125" style="215" customWidth="1"/>
    <col min="7943" max="7944" width="9.7109375" style="215" customWidth="1"/>
    <col min="7945" max="7945" width="16.7109375" style="215" customWidth="1"/>
    <col min="7946" max="8192" width="9.140625" style="215"/>
    <col min="8193" max="8193" width="6.140625" style="215" customWidth="1"/>
    <col min="8194" max="8194" width="31" style="215" customWidth="1"/>
    <col min="8195" max="8195" width="11.85546875" style="215" customWidth="1"/>
    <col min="8196" max="8196" width="11.140625" style="215" customWidth="1"/>
    <col min="8197" max="8197" width="10.28515625" style="215" customWidth="1"/>
    <col min="8198" max="8198" width="10.5703125" style="215" customWidth="1"/>
    <col min="8199" max="8200" width="9.7109375" style="215" customWidth="1"/>
    <col min="8201" max="8201" width="16.7109375" style="215" customWidth="1"/>
    <col min="8202" max="8448" width="9.140625" style="215"/>
    <col min="8449" max="8449" width="6.140625" style="215" customWidth="1"/>
    <col min="8450" max="8450" width="31" style="215" customWidth="1"/>
    <col min="8451" max="8451" width="11.85546875" style="215" customWidth="1"/>
    <col min="8452" max="8452" width="11.140625" style="215" customWidth="1"/>
    <col min="8453" max="8453" width="10.28515625" style="215" customWidth="1"/>
    <col min="8454" max="8454" width="10.5703125" style="215" customWidth="1"/>
    <col min="8455" max="8456" width="9.7109375" style="215" customWidth="1"/>
    <col min="8457" max="8457" width="16.7109375" style="215" customWidth="1"/>
    <col min="8458" max="8704" width="9.140625" style="215"/>
    <col min="8705" max="8705" width="6.140625" style="215" customWidth="1"/>
    <col min="8706" max="8706" width="31" style="215" customWidth="1"/>
    <col min="8707" max="8707" width="11.85546875" style="215" customWidth="1"/>
    <col min="8708" max="8708" width="11.140625" style="215" customWidth="1"/>
    <col min="8709" max="8709" width="10.28515625" style="215" customWidth="1"/>
    <col min="8710" max="8710" width="10.5703125" style="215" customWidth="1"/>
    <col min="8711" max="8712" width="9.7109375" style="215" customWidth="1"/>
    <col min="8713" max="8713" width="16.7109375" style="215" customWidth="1"/>
    <col min="8714" max="8960" width="9.140625" style="215"/>
    <col min="8961" max="8961" width="6.140625" style="215" customWidth="1"/>
    <col min="8962" max="8962" width="31" style="215" customWidth="1"/>
    <col min="8963" max="8963" width="11.85546875" style="215" customWidth="1"/>
    <col min="8964" max="8964" width="11.140625" style="215" customWidth="1"/>
    <col min="8965" max="8965" width="10.28515625" style="215" customWidth="1"/>
    <col min="8966" max="8966" width="10.5703125" style="215" customWidth="1"/>
    <col min="8967" max="8968" width="9.7109375" style="215" customWidth="1"/>
    <col min="8969" max="8969" width="16.7109375" style="215" customWidth="1"/>
    <col min="8970" max="9216" width="9.140625" style="215"/>
    <col min="9217" max="9217" width="6.140625" style="215" customWidth="1"/>
    <col min="9218" max="9218" width="31" style="215" customWidth="1"/>
    <col min="9219" max="9219" width="11.85546875" style="215" customWidth="1"/>
    <col min="9220" max="9220" width="11.140625" style="215" customWidth="1"/>
    <col min="9221" max="9221" width="10.28515625" style="215" customWidth="1"/>
    <col min="9222" max="9222" width="10.5703125" style="215" customWidth="1"/>
    <col min="9223" max="9224" width="9.7109375" style="215" customWidth="1"/>
    <col min="9225" max="9225" width="16.7109375" style="215" customWidth="1"/>
    <col min="9226" max="9472" width="9.140625" style="215"/>
    <col min="9473" max="9473" width="6.140625" style="215" customWidth="1"/>
    <col min="9474" max="9474" width="31" style="215" customWidth="1"/>
    <col min="9475" max="9475" width="11.85546875" style="215" customWidth="1"/>
    <col min="9476" max="9476" width="11.140625" style="215" customWidth="1"/>
    <col min="9477" max="9477" width="10.28515625" style="215" customWidth="1"/>
    <col min="9478" max="9478" width="10.5703125" style="215" customWidth="1"/>
    <col min="9479" max="9480" width="9.7109375" style="215" customWidth="1"/>
    <col min="9481" max="9481" width="16.7109375" style="215" customWidth="1"/>
    <col min="9482" max="9728" width="9.140625" style="215"/>
    <col min="9729" max="9729" width="6.140625" style="215" customWidth="1"/>
    <col min="9730" max="9730" width="31" style="215" customWidth="1"/>
    <col min="9731" max="9731" width="11.85546875" style="215" customWidth="1"/>
    <col min="9732" max="9732" width="11.140625" style="215" customWidth="1"/>
    <col min="9733" max="9733" width="10.28515625" style="215" customWidth="1"/>
    <col min="9734" max="9734" width="10.5703125" style="215" customWidth="1"/>
    <col min="9735" max="9736" width="9.7109375" style="215" customWidth="1"/>
    <col min="9737" max="9737" width="16.7109375" style="215" customWidth="1"/>
    <col min="9738" max="9984" width="9.140625" style="215"/>
    <col min="9985" max="9985" width="6.140625" style="215" customWidth="1"/>
    <col min="9986" max="9986" width="31" style="215" customWidth="1"/>
    <col min="9987" max="9987" width="11.85546875" style="215" customWidth="1"/>
    <col min="9988" max="9988" width="11.140625" style="215" customWidth="1"/>
    <col min="9989" max="9989" width="10.28515625" style="215" customWidth="1"/>
    <col min="9990" max="9990" width="10.5703125" style="215" customWidth="1"/>
    <col min="9991" max="9992" width="9.7109375" style="215" customWidth="1"/>
    <col min="9993" max="9993" width="16.7109375" style="215" customWidth="1"/>
    <col min="9994" max="10240" width="9.140625" style="215"/>
    <col min="10241" max="10241" width="6.140625" style="215" customWidth="1"/>
    <col min="10242" max="10242" width="31" style="215" customWidth="1"/>
    <col min="10243" max="10243" width="11.85546875" style="215" customWidth="1"/>
    <col min="10244" max="10244" width="11.140625" style="215" customWidth="1"/>
    <col min="10245" max="10245" width="10.28515625" style="215" customWidth="1"/>
    <col min="10246" max="10246" width="10.5703125" style="215" customWidth="1"/>
    <col min="10247" max="10248" width="9.7109375" style="215" customWidth="1"/>
    <col min="10249" max="10249" width="16.7109375" style="215" customWidth="1"/>
    <col min="10250" max="10496" width="9.140625" style="215"/>
    <col min="10497" max="10497" width="6.140625" style="215" customWidth="1"/>
    <col min="10498" max="10498" width="31" style="215" customWidth="1"/>
    <col min="10499" max="10499" width="11.85546875" style="215" customWidth="1"/>
    <col min="10500" max="10500" width="11.140625" style="215" customWidth="1"/>
    <col min="10501" max="10501" width="10.28515625" style="215" customWidth="1"/>
    <col min="10502" max="10502" width="10.5703125" style="215" customWidth="1"/>
    <col min="10503" max="10504" width="9.7109375" style="215" customWidth="1"/>
    <col min="10505" max="10505" width="16.7109375" style="215" customWidth="1"/>
    <col min="10506" max="10752" width="9.140625" style="215"/>
    <col min="10753" max="10753" width="6.140625" style="215" customWidth="1"/>
    <col min="10754" max="10754" width="31" style="215" customWidth="1"/>
    <col min="10755" max="10755" width="11.85546875" style="215" customWidth="1"/>
    <col min="10756" max="10756" width="11.140625" style="215" customWidth="1"/>
    <col min="10757" max="10757" width="10.28515625" style="215" customWidth="1"/>
    <col min="10758" max="10758" width="10.5703125" style="215" customWidth="1"/>
    <col min="10759" max="10760" width="9.7109375" style="215" customWidth="1"/>
    <col min="10761" max="10761" width="16.7109375" style="215" customWidth="1"/>
    <col min="10762" max="11008" width="9.140625" style="215"/>
    <col min="11009" max="11009" width="6.140625" style="215" customWidth="1"/>
    <col min="11010" max="11010" width="31" style="215" customWidth="1"/>
    <col min="11011" max="11011" width="11.85546875" style="215" customWidth="1"/>
    <col min="11012" max="11012" width="11.140625" style="215" customWidth="1"/>
    <col min="11013" max="11013" width="10.28515625" style="215" customWidth="1"/>
    <col min="11014" max="11014" width="10.5703125" style="215" customWidth="1"/>
    <col min="11015" max="11016" width="9.7109375" style="215" customWidth="1"/>
    <col min="11017" max="11017" width="16.7109375" style="215" customWidth="1"/>
    <col min="11018" max="11264" width="9.140625" style="215"/>
    <col min="11265" max="11265" width="6.140625" style="215" customWidth="1"/>
    <col min="11266" max="11266" width="31" style="215" customWidth="1"/>
    <col min="11267" max="11267" width="11.85546875" style="215" customWidth="1"/>
    <col min="11268" max="11268" width="11.140625" style="215" customWidth="1"/>
    <col min="11269" max="11269" width="10.28515625" style="215" customWidth="1"/>
    <col min="11270" max="11270" width="10.5703125" style="215" customWidth="1"/>
    <col min="11271" max="11272" width="9.7109375" style="215" customWidth="1"/>
    <col min="11273" max="11273" width="16.7109375" style="215" customWidth="1"/>
    <col min="11274" max="11520" width="9.140625" style="215"/>
    <col min="11521" max="11521" width="6.140625" style="215" customWidth="1"/>
    <col min="11522" max="11522" width="31" style="215" customWidth="1"/>
    <col min="11523" max="11523" width="11.85546875" style="215" customWidth="1"/>
    <col min="11524" max="11524" width="11.140625" style="215" customWidth="1"/>
    <col min="11525" max="11525" width="10.28515625" style="215" customWidth="1"/>
    <col min="11526" max="11526" width="10.5703125" style="215" customWidth="1"/>
    <col min="11527" max="11528" width="9.7109375" style="215" customWidth="1"/>
    <col min="11529" max="11529" width="16.7109375" style="215" customWidth="1"/>
    <col min="11530" max="11776" width="9.140625" style="215"/>
    <col min="11777" max="11777" width="6.140625" style="215" customWidth="1"/>
    <col min="11778" max="11778" width="31" style="215" customWidth="1"/>
    <col min="11779" max="11779" width="11.85546875" style="215" customWidth="1"/>
    <col min="11780" max="11780" width="11.140625" style="215" customWidth="1"/>
    <col min="11781" max="11781" width="10.28515625" style="215" customWidth="1"/>
    <col min="11782" max="11782" width="10.5703125" style="215" customWidth="1"/>
    <col min="11783" max="11784" width="9.7109375" style="215" customWidth="1"/>
    <col min="11785" max="11785" width="16.7109375" style="215" customWidth="1"/>
    <col min="11786" max="12032" width="9.140625" style="215"/>
    <col min="12033" max="12033" width="6.140625" style="215" customWidth="1"/>
    <col min="12034" max="12034" width="31" style="215" customWidth="1"/>
    <col min="12035" max="12035" width="11.85546875" style="215" customWidth="1"/>
    <col min="12036" max="12036" width="11.140625" style="215" customWidth="1"/>
    <col min="12037" max="12037" width="10.28515625" style="215" customWidth="1"/>
    <col min="12038" max="12038" width="10.5703125" style="215" customWidth="1"/>
    <col min="12039" max="12040" width="9.7109375" style="215" customWidth="1"/>
    <col min="12041" max="12041" width="16.7109375" style="215" customWidth="1"/>
    <col min="12042" max="12288" width="9.140625" style="215"/>
    <col min="12289" max="12289" width="6.140625" style="215" customWidth="1"/>
    <col min="12290" max="12290" width="31" style="215" customWidth="1"/>
    <col min="12291" max="12291" width="11.85546875" style="215" customWidth="1"/>
    <col min="12292" max="12292" width="11.140625" style="215" customWidth="1"/>
    <col min="12293" max="12293" width="10.28515625" style="215" customWidth="1"/>
    <col min="12294" max="12294" width="10.5703125" style="215" customWidth="1"/>
    <col min="12295" max="12296" width="9.7109375" style="215" customWidth="1"/>
    <col min="12297" max="12297" width="16.7109375" style="215" customWidth="1"/>
    <col min="12298" max="12544" width="9.140625" style="215"/>
    <col min="12545" max="12545" width="6.140625" style="215" customWidth="1"/>
    <col min="12546" max="12546" width="31" style="215" customWidth="1"/>
    <col min="12547" max="12547" width="11.85546875" style="215" customWidth="1"/>
    <col min="12548" max="12548" width="11.140625" style="215" customWidth="1"/>
    <col min="12549" max="12549" width="10.28515625" style="215" customWidth="1"/>
    <col min="12550" max="12550" width="10.5703125" style="215" customWidth="1"/>
    <col min="12551" max="12552" width="9.7109375" style="215" customWidth="1"/>
    <col min="12553" max="12553" width="16.7109375" style="215" customWidth="1"/>
    <col min="12554" max="12800" width="9.140625" style="215"/>
    <col min="12801" max="12801" width="6.140625" style="215" customWidth="1"/>
    <col min="12802" max="12802" width="31" style="215" customWidth="1"/>
    <col min="12803" max="12803" width="11.85546875" style="215" customWidth="1"/>
    <col min="12804" max="12804" width="11.140625" style="215" customWidth="1"/>
    <col min="12805" max="12805" width="10.28515625" style="215" customWidth="1"/>
    <col min="12806" max="12806" width="10.5703125" style="215" customWidth="1"/>
    <col min="12807" max="12808" width="9.7109375" style="215" customWidth="1"/>
    <col min="12809" max="12809" width="16.7109375" style="215" customWidth="1"/>
    <col min="12810" max="13056" width="9.140625" style="215"/>
    <col min="13057" max="13057" width="6.140625" style="215" customWidth="1"/>
    <col min="13058" max="13058" width="31" style="215" customWidth="1"/>
    <col min="13059" max="13059" width="11.85546875" style="215" customWidth="1"/>
    <col min="13060" max="13060" width="11.140625" style="215" customWidth="1"/>
    <col min="13061" max="13061" width="10.28515625" style="215" customWidth="1"/>
    <col min="13062" max="13062" width="10.5703125" style="215" customWidth="1"/>
    <col min="13063" max="13064" width="9.7109375" style="215" customWidth="1"/>
    <col min="13065" max="13065" width="16.7109375" style="215" customWidth="1"/>
    <col min="13066" max="13312" width="9.140625" style="215"/>
    <col min="13313" max="13313" width="6.140625" style="215" customWidth="1"/>
    <col min="13314" max="13314" width="31" style="215" customWidth="1"/>
    <col min="13315" max="13315" width="11.85546875" style="215" customWidth="1"/>
    <col min="13316" max="13316" width="11.140625" style="215" customWidth="1"/>
    <col min="13317" max="13317" width="10.28515625" style="215" customWidth="1"/>
    <col min="13318" max="13318" width="10.5703125" style="215" customWidth="1"/>
    <col min="13319" max="13320" width="9.7109375" style="215" customWidth="1"/>
    <col min="13321" max="13321" width="16.7109375" style="215" customWidth="1"/>
    <col min="13322" max="13568" width="9.140625" style="215"/>
    <col min="13569" max="13569" width="6.140625" style="215" customWidth="1"/>
    <col min="13570" max="13570" width="31" style="215" customWidth="1"/>
    <col min="13571" max="13571" width="11.85546875" style="215" customWidth="1"/>
    <col min="13572" max="13572" width="11.140625" style="215" customWidth="1"/>
    <col min="13573" max="13573" width="10.28515625" style="215" customWidth="1"/>
    <col min="13574" max="13574" width="10.5703125" style="215" customWidth="1"/>
    <col min="13575" max="13576" width="9.7109375" style="215" customWidth="1"/>
    <col min="13577" max="13577" width="16.7109375" style="215" customWidth="1"/>
    <col min="13578" max="13824" width="9.140625" style="215"/>
    <col min="13825" max="13825" width="6.140625" style="215" customWidth="1"/>
    <col min="13826" max="13826" width="31" style="215" customWidth="1"/>
    <col min="13827" max="13827" width="11.85546875" style="215" customWidth="1"/>
    <col min="13828" max="13828" width="11.140625" style="215" customWidth="1"/>
    <col min="13829" max="13829" width="10.28515625" style="215" customWidth="1"/>
    <col min="13830" max="13830" width="10.5703125" style="215" customWidth="1"/>
    <col min="13831" max="13832" width="9.7109375" style="215" customWidth="1"/>
    <col min="13833" max="13833" width="16.7109375" style="215" customWidth="1"/>
    <col min="13834" max="14080" width="9.140625" style="215"/>
    <col min="14081" max="14081" width="6.140625" style="215" customWidth="1"/>
    <col min="14082" max="14082" width="31" style="215" customWidth="1"/>
    <col min="14083" max="14083" width="11.85546875" style="215" customWidth="1"/>
    <col min="14084" max="14084" width="11.140625" style="215" customWidth="1"/>
    <col min="14085" max="14085" width="10.28515625" style="215" customWidth="1"/>
    <col min="14086" max="14086" width="10.5703125" style="215" customWidth="1"/>
    <col min="14087" max="14088" width="9.7109375" style="215" customWidth="1"/>
    <col min="14089" max="14089" width="16.7109375" style="215" customWidth="1"/>
    <col min="14090" max="14336" width="9.140625" style="215"/>
    <col min="14337" max="14337" width="6.140625" style="215" customWidth="1"/>
    <col min="14338" max="14338" width="31" style="215" customWidth="1"/>
    <col min="14339" max="14339" width="11.85546875" style="215" customWidth="1"/>
    <col min="14340" max="14340" width="11.140625" style="215" customWidth="1"/>
    <col min="14341" max="14341" width="10.28515625" style="215" customWidth="1"/>
    <col min="14342" max="14342" width="10.5703125" style="215" customWidth="1"/>
    <col min="14343" max="14344" width="9.7109375" style="215" customWidth="1"/>
    <col min="14345" max="14345" width="16.7109375" style="215" customWidth="1"/>
    <col min="14346" max="14592" width="9.140625" style="215"/>
    <col min="14593" max="14593" width="6.140625" style="215" customWidth="1"/>
    <col min="14594" max="14594" width="31" style="215" customWidth="1"/>
    <col min="14595" max="14595" width="11.85546875" style="215" customWidth="1"/>
    <col min="14596" max="14596" width="11.140625" style="215" customWidth="1"/>
    <col min="14597" max="14597" width="10.28515625" style="215" customWidth="1"/>
    <col min="14598" max="14598" width="10.5703125" style="215" customWidth="1"/>
    <col min="14599" max="14600" width="9.7109375" style="215" customWidth="1"/>
    <col min="14601" max="14601" width="16.7109375" style="215" customWidth="1"/>
    <col min="14602" max="14848" width="9.140625" style="215"/>
    <col min="14849" max="14849" width="6.140625" style="215" customWidth="1"/>
    <col min="14850" max="14850" width="31" style="215" customWidth="1"/>
    <col min="14851" max="14851" width="11.85546875" style="215" customWidth="1"/>
    <col min="14852" max="14852" width="11.140625" style="215" customWidth="1"/>
    <col min="14853" max="14853" width="10.28515625" style="215" customWidth="1"/>
    <col min="14854" max="14854" width="10.5703125" style="215" customWidth="1"/>
    <col min="14855" max="14856" width="9.7109375" style="215" customWidth="1"/>
    <col min="14857" max="14857" width="16.7109375" style="215" customWidth="1"/>
    <col min="14858" max="15104" width="9.140625" style="215"/>
    <col min="15105" max="15105" width="6.140625" style="215" customWidth="1"/>
    <col min="15106" max="15106" width="31" style="215" customWidth="1"/>
    <col min="15107" max="15107" width="11.85546875" style="215" customWidth="1"/>
    <col min="15108" max="15108" width="11.140625" style="215" customWidth="1"/>
    <col min="15109" max="15109" width="10.28515625" style="215" customWidth="1"/>
    <col min="15110" max="15110" width="10.5703125" style="215" customWidth="1"/>
    <col min="15111" max="15112" width="9.7109375" style="215" customWidth="1"/>
    <col min="15113" max="15113" width="16.7109375" style="215" customWidth="1"/>
    <col min="15114" max="15360" width="9.140625" style="215"/>
    <col min="15361" max="15361" width="6.140625" style="215" customWidth="1"/>
    <col min="15362" max="15362" width="31" style="215" customWidth="1"/>
    <col min="15363" max="15363" width="11.85546875" style="215" customWidth="1"/>
    <col min="15364" max="15364" width="11.140625" style="215" customWidth="1"/>
    <col min="15365" max="15365" width="10.28515625" style="215" customWidth="1"/>
    <col min="15366" max="15366" width="10.5703125" style="215" customWidth="1"/>
    <col min="15367" max="15368" width="9.7109375" style="215" customWidth="1"/>
    <col min="15369" max="15369" width="16.7109375" style="215" customWidth="1"/>
    <col min="15370" max="15616" width="9.140625" style="215"/>
    <col min="15617" max="15617" width="6.140625" style="215" customWidth="1"/>
    <col min="15618" max="15618" width="31" style="215" customWidth="1"/>
    <col min="15619" max="15619" width="11.85546875" style="215" customWidth="1"/>
    <col min="15620" max="15620" width="11.140625" style="215" customWidth="1"/>
    <col min="15621" max="15621" width="10.28515625" style="215" customWidth="1"/>
    <col min="15622" max="15622" width="10.5703125" style="215" customWidth="1"/>
    <col min="15623" max="15624" width="9.7109375" style="215" customWidth="1"/>
    <col min="15625" max="15625" width="16.7109375" style="215" customWidth="1"/>
    <col min="15626" max="15872" width="9.140625" style="215"/>
    <col min="15873" max="15873" width="6.140625" style="215" customWidth="1"/>
    <col min="15874" max="15874" width="31" style="215" customWidth="1"/>
    <col min="15875" max="15875" width="11.85546875" style="215" customWidth="1"/>
    <col min="15876" max="15876" width="11.140625" style="215" customWidth="1"/>
    <col min="15877" max="15877" width="10.28515625" style="215" customWidth="1"/>
    <col min="15878" max="15878" width="10.5703125" style="215" customWidth="1"/>
    <col min="15879" max="15880" width="9.7109375" style="215" customWidth="1"/>
    <col min="15881" max="15881" width="16.7109375" style="215" customWidth="1"/>
    <col min="15882" max="16128" width="9.140625" style="215"/>
    <col min="16129" max="16129" width="6.140625" style="215" customWidth="1"/>
    <col min="16130" max="16130" width="31" style="215" customWidth="1"/>
    <col min="16131" max="16131" width="11.85546875" style="215" customWidth="1"/>
    <col min="16132" max="16132" width="11.140625" style="215" customWidth="1"/>
    <col min="16133" max="16133" width="10.28515625" style="215" customWidth="1"/>
    <col min="16134" max="16134" width="10.5703125" style="215" customWidth="1"/>
    <col min="16135" max="16136" width="9.7109375" style="215" customWidth="1"/>
    <col min="16137" max="16137" width="16.7109375" style="215" customWidth="1"/>
    <col min="16138" max="16384" width="9.140625" style="215"/>
  </cols>
  <sheetData>
    <row r="1" spans="1:9" x14ac:dyDescent="0.2">
      <c r="B1" s="216"/>
      <c r="C1" s="216"/>
      <c r="D1" s="216"/>
      <c r="E1" s="1978" t="s">
        <v>2197</v>
      </c>
      <c r="F1" s="1979"/>
      <c r="G1" s="1979"/>
      <c r="H1" s="1979"/>
      <c r="I1" s="1979"/>
    </row>
    <row r="2" spans="1:9" x14ac:dyDescent="0.2">
      <c r="B2" s="216"/>
      <c r="C2" s="1869"/>
      <c r="D2" s="1869"/>
      <c r="E2" s="1979"/>
      <c r="F2" s="1979"/>
      <c r="G2" s="1979"/>
      <c r="H2" s="1979"/>
      <c r="I2" s="1979"/>
    </row>
    <row r="3" spans="1:9" x14ac:dyDescent="0.2">
      <c r="B3" s="216"/>
      <c r="C3" s="1869"/>
      <c r="D3" s="1869"/>
      <c r="E3" s="1979"/>
      <c r="F3" s="1979"/>
      <c r="G3" s="1979"/>
      <c r="H3" s="1979"/>
      <c r="I3" s="1979"/>
    </row>
    <row r="4" spans="1:9" x14ac:dyDescent="0.2">
      <c r="B4" s="216"/>
      <c r="C4" s="1869"/>
      <c r="D4" s="1869"/>
      <c r="E4" s="1880"/>
      <c r="F4" s="1880"/>
      <c r="G4" s="1880"/>
      <c r="H4" s="1880"/>
      <c r="I4" s="1880"/>
    </row>
    <row r="5" spans="1:9" x14ac:dyDescent="0.2">
      <c r="B5" s="216"/>
      <c r="C5" s="1869"/>
      <c r="D5" s="1869"/>
      <c r="E5" s="1880"/>
      <c r="F5" s="1880"/>
      <c r="G5" s="1880"/>
      <c r="H5" s="1880"/>
      <c r="I5" s="1880"/>
    </row>
    <row r="6" spans="1:9" x14ac:dyDescent="0.2">
      <c r="B6" s="216"/>
      <c r="C6" s="1869"/>
      <c r="D6" s="1869"/>
      <c r="E6" s="1880"/>
      <c r="F6" s="1880"/>
      <c r="G6" s="1880"/>
      <c r="H6" s="1880"/>
      <c r="I6" s="1880"/>
    </row>
    <row r="7" spans="1:9" x14ac:dyDescent="0.2">
      <c r="A7" s="215" t="s">
        <v>112</v>
      </c>
      <c r="B7" s="216"/>
      <c r="C7" s="1869"/>
      <c r="D7" s="1869"/>
      <c r="E7" s="1880"/>
      <c r="F7" s="1880"/>
      <c r="G7" s="1880"/>
      <c r="H7" s="1880"/>
      <c r="I7" s="1880"/>
    </row>
    <row r="8" spans="1:9" x14ac:dyDescent="0.2">
      <c r="B8" s="216"/>
      <c r="C8" s="217"/>
      <c r="D8" s="217"/>
      <c r="E8" s="217"/>
      <c r="F8" s="217"/>
      <c r="G8" s="217"/>
      <c r="H8" s="217"/>
      <c r="I8" s="217"/>
    </row>
    <row r="9" spans="1:9" ht="15.75" x14ac:dyDescent="0.25">
      <c r="A9" s="2088" t="s">
        <v>113</v>
      </c>
      <c r="B9" s="2088"/>
      <c r="C9" s="2088"/>
      <c r="D9" s="2088"/>
      <c r="E9" s="2088"/>
      <c r="F9" s="2088"/>
      <c r="G9" s="2088"/>
      <c r="H9" s="2088"/>
      <c r="I9" s="2088"/>
    </row>
    <row r="10" spans="1:9" ht="15.75" x14ac:dyDescent="0.25">
      <c r="A10" s="218"/>
      <c r="B10" s="218"/>
      <c r="C10" s="218"/>
      <c r="D10" s="218"/>
      <c r="E10" s="218"/>
      <c r="F10" s="218"/>
      <c r="G10" s="218"/>
      <c r="H10" s="218"/>
      <c r="I10" s="218"/>
    </row>
    <row r="11" spans="1:9" ht="15.75" x14ac:dyDescent="0.25">
      <c r="A11" s="215" t="s">
        <v>748</v>
      </c>
      <c r="C11" s="2005" t="s">
        <v>1806</v>
      </c>
      <c r="D11" s="2005"/>
      <c r="E11" s="2005"/>
      <c r="F11" s="2005"/>
      <c r="G11" s="2005"/>
      <c r="H11" s="2005"/>
      <c r="I11" s="2005"/>
    </row>
    <row r="12" spans="1:9" x14ac:dyDescent="0.2">
      <c r="A12" s="215" t="s">
        <v>749</v>
      </c>
      <c r="C12" s="2052" t="s">
        <v>750</v>
      </c>
      <c r="D12" s="2052"/>
      <c r="E12" s="2052"/>
      <c r="F12" s="2052"/>
      <c r="G12" s="2052"/>
      <c r="H12" s="2052"/>
      <c r="I12" s="2052"/>
    </row>
    <row r="13" spans="1:9" x14ac:dyDescent="0.2">
      <c r="A13" s="215" t="s">
        <v>117</v>
      </c>
      <c r="C13" s="2020" t="s">
        <v>751</v>
      </c>
      <c r="D13" s="2020"/>
      <c r="E13" s="2020"/>
      <c r="F13" s="2020"/>
      <c r="G13" s="2020"/>
      <c r="H13" s="2020"/>
      <c r="I13" s="2020"/>
    </row>
    <row r="14" spans="1:9" x14ac:dyDescent="0.2">
      <c r="A14" s="2096" t="s">
        <v>47</v>
      </c>
      <c r="B14" s="2096" t="s">
        <v>119</v>
      </c>
      <c r="C14" s="2096" t="s">
        <v>120</v>
      </c>
      <c r="D14" s="2096" t="s">
        <v>121</v>
      </c>
      <c r="E14" s="2096" t="s">
        <v>122</v>
      </c>
      <c r="F14" s="220"/>
      <c r="G14" s="220"/>
      <c r="H14" s="220"/>
      <c r="I14" s="2096" t="s">
        <v>126</v>
      </c>
    </row>
    <row r="15" spans="1:9" ht="48" x14ac:dyDescent="0.2">
      <c r="A15" s="2096"/>
      <c r="B15" s="2096"/>
      <c r="C15" s="2096"/>
      <c r="D15" s="2096"/>
      <c r="E15" s="2096"/>
      <c r="F15" s="221" t="s">
        <v>129</v>
      </c>
      <c r="G15" s="221" t="s">
        <v>124</v>
      </c>
      <c r="H15" s="221" t="s">
        <v>2165</v>
      </c>
      <c r="I15" s="2096"/>
    </row>
    <row r="16" spans="1:9" x14ac:dyDescent="0.2">
      <c r="A16" s="2097" t="s">
        <v>2182</v>
      </c>
      <c r="B16" s="2098"/>
      <c r="C16" s="222">
        <f>SUM(C17:C17)</f>
        <v>3500</v>
      </c>
      <c r="D16" s="222">
        <f>SUM(D17:D17)</f>
        <v>2965</v>
      </c>
      <c r="E16" s="222">
        <f>SUM(E17:E17)</f>
        <v>3000</v>
      </c>
      <c r="F16" s="222"/>
      <c r="G16" s="222">
        <f>SUM(G17:G17)</f>
        <v>3000</v>
      </c>
      <c r="H16" s="222">
        <f>SUM(H17:H17)</f>
        <v>4269</v>
      </c>
      <c r="I16" s="223"/>
    </row>
    <row r="17" spans="1:9" x14ac:dyDescent="0.2">
      <c r="A17" s="223">
        <v>1</v>
      </c>
      <c r="B17" s="223" t="s">
        <v>752</v>
      </c>
      <c r="C17" s="224">
        <v>3500</v>
      </c>
      <c r="D17" s="411">
        <v>2965</v>
      </c>
      <c r="E17" s="224">
        <v>3000</v>
      </c>
      <c r="F17" s="224">
        <v>2239</v>
      </c>
      <c r="G17" s="224">
        <v>3000</v>
      </c>
      <c r="H17" s="224">
        <f>ROUNDUP(G17/0.702804,0)</f>
        <v>4269</v>
      </c>
      <c r="I17" s="223"/>
    </row>
  </sheetData>
  <sheetProtection password="CA5B" sheet="1" objects="1" scenarios="1"/>
  <mergeCells count="12">
    <mergeCell ref="E1:I3"/>
    <mergeCell ref="I14:I15"/>
    <mergeCell ref="A16:B16"/>
    <mergeCell ref="A9:I9"/>
    <mergeCell ref="C11:I11"/>
    <mergeCell ref="C12:I12"/>
    <mergeCell ref="C13:I13"/>
    <mergeCell ref="A14:A15"/>
    <mergeCell ref="B14:B15"/>
    <mergeCell ref="C14:C15"/>
    <mergeCell ref="D14:D15"/>
    <mergeCell ref="E14:E15"/>
  </mergeCells>
  <pageMargins left="0.78740157480314965" right="0.39370078740157483" top="0.59055118110236227" bottom="0.59055118110236227" header="0.51181102362204722" footer="0.51181102362204722"/>
  <pageSetup paperSize="9" scale="75" orientation="portrait" r:id="rId1"/>
  <headerFooter alignWithMargins="0">
    <oddFooter xml:space="preserve">&amp;R&amp;"Times New Roman,Regular"&amp;8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X230"/>
  <sheetViews>
    <sheetView tabSelected="1" topLeftCell="A113" zoomScale="80" zoomScaleNormal="80" workbookViewId="0">
      <selection activeCell="J9" sqref="J9"/>
    </sheetView>
  </sheetViews>
  <sheetFormatPr defaultRowHeight="15.75" x14ac:dyDescent="0.25"/>
  <cols>
    <col min="1" max="1" width="6.140625" style="522" customWidth="1"/>
    <col min="2" max="2" width="39.7109375" style="522" customWidth="1"/>
    <col min="3" max="3" width="11.7109375" style="762" customWidth="1"/>
    <col min="4" max="4" width="11.42578125" style="522" customWidth="1"/>
    <col min="5" max="5" width="12.5703125" style="522" customWidth="1"/>
    <col min="6" max="6" width="13.28515625" style="762" customWidth="1"/>
    <col min="7" max="7" width="13" style="522" hidden="1" customWidth="1"/>
    <col min="8" max="8" width="12" style="522" customWidth="1"/>
    <col min="9" max="9" width="40.42578125" style="522" customWidth="1"/>
    <col min="10" max="251" width="9.140625" style="522"/>
    <col min="252" max="252" width="6.140625" style="522" customWidth="1"/>
    <col min="253" max="253" width="44.85546875" style="522" customWidth="1"/>
    <col min="254" max="254" width="12.5703125" style="522" customWidth="1"/>
    <col min="255" max="255" width="12.28515625" style="522" customWidth="1"/>
    <col min="256" max="256" width="14.5703125" style="522" customWidth="1"/>
    <col min="257" max="257" width="14.7109375" style="522" customWidth="1"/>
    <col min="258" max="259" width="13.85546875" style="522" customWidth="1"/>
    <col min="260" max="260" width="41.5703125" style="522" customWidth="1"/>
    <col min="261" max="507" width="9.140625" style="522"/>
    <col min="508" max="508" width="6.140625" style="522" customWidth="1"/>
    <col min="509" max="509" width="44.85546875" style="522" customWidth="1"/>
    <col min="510" max="510" width="12.5703125" style="522" customWidth="1"/>
    <col min="511" max="511" width="12.28515625" style="522" customWidth="1"/>
    <col min="512" max="512" width="14.5703125" style="522" customWidth="1"/>
    <col min="513" max="513" width="14.7109375" style="522" customWidth="1"/>
    <col min="514" max="515" width="13.85546875" style="522" customWidth="1"/>
    <col min="516" max="516" width="41.5703125" style="522" customWidth="1"/>
    <col min="517" max="763" width="9.140625" style="522"/>
    <col min="764" max="764" width="6.140625" style="522" customWidth="1"/>
    <col min="765" max="765" width="44.85546875" style="522" customWidth="1"/>
    <col min="766" max="766" width="12.5703125" style="522" customWidth="1"/>
    <col min="767" max="767" width="12.28515625" style="522" customWidth="1"/>
    <col min="768" max="768" width="14.5703125" style="522" customWidth="1"/>
    <col min="769" max="769" width="14.7109375" style="522" customWidth="1"/>
    <col min="770" max="771" width="13.85546875" style="522" customWidth="1"/>
    <col min="772" max="772" width="41.5703125" style="522" customWidth="1"/>
    <col min="773" max="1019" width="9.140625" style="522"/>
    <col min="1020" max="1020" width="6.140625" style="522" customWidth="1"/>
    <col min="1021" max="1021" width="44.85546875" style="522" customWidth="1"/>
    <col min="1022" max="1022" width="12.5703125" style="522" customWidth="1"/>
    <col min="1023" max="1023" width="12.28515625" style="522" customWidth="1"/>
    <col min="1024" max="1024" width="14.5703125" style="522" customWidth="1"/>
    <col min="1025" max="1025" width="14.7109375" style="522" customWidth="1"/>
    <col min="1026" max="1027" width="13.85546875" style="522" customWidth="1"/>
    <col min="1028" max="1028" width="41.5703125" style="522" customWidth="1"/>
    <col min="1029" max="1275" width="9.140625" style="522"/>
    <col min="1276" max="1276" width="6.140625" style="522" customWidth="1"/>
    <col min="1277" max="1277" width="44.85546875" style="522" customWidth="1"/>
    <col min="1278" max="1278" width="12.5703125" style="522" customWidth="1"/>
    <col min="1279" max="1279" width="12.28515625" style="522" customWidth="1"/>
    <col min="1280" max="1280" width="14.5703125" style="522" customWidth="1"/>
    <col min="1281" max="1281" width="14.7109375" style="522" customWidth="1"/>
    <col min="1282" max="1283" width="13.85546875" style="522" customWidth="1"/>
    <col min="1284" max="1284" width="41.5703125" style="522" customWidth="1"/>
    <col min="1285" max="1531" width="9.140625" style="522"/>
    <col min="1532" max="1532" width="6.140625" style="522" customWidth="1"/>
    <col min="1533" max="1533" width="44.85546875" style="522" customWidth="1"/>
    <col min="1534" max="1534" width="12.5703125" style="522" customWidth="1"/>
    <col min="1535" max="1535" width="12.28515625" style="522" customWidth="1"/>
    <col min="1536" max="1536" width="14.5703125" style="522" customWidth="1"/>
    <col min="1537" max="1537" width="14.7109375" style="522" customWidth="1"/>
    <col min="1538" max="1539" width="13.85546875" style="522" customWidth="1"/>
    <col min="1540" max="1540" width="41.5703125" style="522" customWidth="1"/>
    <col min="1541" max="1787" width="9.140625" style="522"/>
    <col min="1788" max="1788" width="6.140625" style="522" customWidth="1"/>
    <col min="1789" max="1789" width="44.85546875" style="522" customWidth="1"/>
    <col min="1790" max="1790" width="12.5703125" style="522" customWidth="1"/>
    <col min="1791" max="1791" width="12.28515625" style="522" customWidth="1"/>
    <col min="1792" max="1792" width="14.5703125" style="522" customWidth="1"/>
    <col min="1793" max="1793" width="14.7109375" style="522" customWidth="1"/>
    <col min="1794" max="1795" width="13.85546875" style="522" customWidth="1"/>
    <col min="1796" max="1796" width="41.5703125" style="522" customWidth="1"/>
    <col min="1797" max="2043" width="9.140625" style="522"/>
    <col min="2044" max="2044" width="6.140625" style="522" customWidth="1"/>
    <col min="2045" max="2045" width="44.85546875" style="522" customWidth="1"/>
    <col min="2046" max="2046" width="12.5703125" style="522" customWidth="1"/>
    <col min="2047" max="2047" width="12.28515625" style="522" customWidth="1"/>
    <col min="2048" max="2048" width="14.5703125" style="522" customWidth="1"/>
    <col min="2049" max="2049" width="14.7109375" style="522" customWidth="1"/>
    <col min="2050" max="2051" width="13.85546875" style="522" customWidth="1"/>
    <col min="2052" max="2052" width="41.5703125" style="522" customWidth="1"/>
    <col min="2053" max="2299" width="9.140625" style="522"/>
    <col min="2300" max="2300" width="6.140625" style="522" customWidth="1"/>
    <col min="2301" max="2301" width="44.85546875" style="522" customWidth="1"/>
    <col min="2302" max="2302" width="12.5703125" style="522" customWidth="1"/>
    <col min="2303" max="2303" width="12.28515625" style="522" customWidth="1"/>
    <col min="2304" max="2304" width="14.5703125" style="522" customWidth="1"/>
    <col min="2305" max="2305" width="14.7109375" style="522" customWidth="1"/>
    <col min="2306" max="2307" width="13.85546875" style="522" customWidth="1"/>
    <col min="2308" max="2308" width="41.5703125" style="522" customWidth="1"/>
    <col min="2309" max="2555" width="9.140625" style="522"/>
    <col min="2556" max="2556" width="6.140625" style="522" customWidth="1"/>
    <col min="2557" max="2557" width="44.85546875" style="522" customWidth="1"/>
    <col min="2558" max="2558" width="12.5703125" style="522" customWidth="1"/>
    <col min="2559" max="2559" width="12.28515625" style="522" customWidth="1"/>
    <col min="2560" max="2560" width="14.5703125" style="522" customWidth="1"/>
    <col min="2561" max="2561" width="14.7109375" style="522" customWidth="1"/>
    <col min="2562" max="2563" width="13.85546875" style="522" customWidth="1"/>
    <col min="2564" max="2564" width="41.5703125" style="522" customWidth="1"/>
    <col min="2565" max="2811" width="9.140625" style="522"/>
    <col min="2812" max="2812" width="6.140625" style="522" customWidth="1"/>
    <col min="2813" max="2813" width="44.85546875" style="522" customWidth="1"/>
    <col min="2814" max="2814" width="12.5703125" style="522" customWidth="1"/>
    <col min="2815" max="2815" width="12.28515625" style="522" customWidth="1"/>
    <col min="2816" max="2816" width="14.5703125" style="522" customWidth="1"/>
    <col min="2817" max="2817" width="14.7109375" style="522" customWidth="1"/>
    <col min="2818" max="2819" width="13.85546875" style="522" customWidth="1"/>
    <col min="2820" max="2820" width="41.5703125" style="522" customWidth="1"/>
    <col min="2821" max="3067" width="9.140625" style="522"/>
    <col min="3068" max="3068" width="6.140625" style="522" customWidth="1"/>
    <col min="3069" max="3069" width="44.85546875" style="522" customWidth="1"/>
    <col min="3070" max="3070" width="12.5703125" style="522" customWidth="1"/>
    <col min="3071" max="3071" width="12.28515625" style="522" customWidth="1"/>
    <col min="3072" max="3072" width="14.5703125" style="522" customWidth="1"/>
    <col min="3073" max="3073" width="14.7109375" style="522" customWidth="1"/>
    <col min="3074" max="3075" width="13.85546875" style="522" customWidth="1"/>
    <col min="3076" max="3076" width="41.5703125" style="522" customWidth="1"/>
    <col min="3077" max="3323" width="9.140625" style="522"/>
    <col min="3324" max="3324" width="6.140625" style="522" customWidth="1"/>
    <col min="3325" max="3325" width="44.85546875" style="522" customWidth="1"/>
    <col min="3326" max="3326" width="12.5703125" style="522" customWidth="1"/>
    <col min="3327" max="3327" width="12.28515625" style="522" customWidth="1"/>
    <col min="3328" max="3328" width="14.5703125" style="522" customWidth="1"/>
    <col min="3329" max="3329" width="14.7109375" style="522" customWidth="1"/>
    <col min="3330" max="3331" width="13.85546875" style="522" customWidth="1"/>
    <col min="3332" max="3332" width="41.5703125" style="522" customWidth="1"/>
    <col min="3333" max="3579" width="9.140625" style="522"/>
    <col min="3580" max="3580" width="6.140625" style="522" customWidth="1"/>
    <col min="3581" max="3581" width="44.85546875" style="522" customWidth="1"/>
    <col min="3582" max="3582" width="12.5703125" style="522" customWidth="1"/>
    <col min="3583" max="3583" width="12.28515625" style="522" customWidth="1"/>
    <col min="3584" max="3584" width="14.5703125" style="522" customWidth="1"/>
    <col min="3585" max="3585" width="14.7109375" style="522" customWidth="1"/>
    <col min="3586" max="3587" width="13.85546875" style="522" customWidth="1"/>
    <col min="3588" max="3588" width="41.5703125" style="522" customWidth="1"/>
    <col min="3589" max="3835" width="9.140625" style="522"/>
    <col min="3836" max="3836" width="6.140625" style="522" customWidth="1"/>
    <col min="3837" max="3837" width="44.85546875" style="522" customWidth="1"/>
    <col min="3838" max="3838" width="12.5703125" style="522" customWidth="1"/>
    <col min="3839" max="3839" width="12.28515625" style="522" customWidth="1"/>
    <col min="3840" max="3840" width="14.5703125" style="522" customWidth="1"/>
    <col min="3841" max="3841" width="14.7109375" style="522" customWidth="1"/>
    <col min="3842" max="3843" width="13.85546875" style="522" customWidth="1"/>
    <col min="3844" max="3844" width="41.5703125" style="522" customWidth="1"/>
    <col min="3845" max="4091" width="9.140625" style="522"/>
    <col min="4092" max="4092" width="6.140625" style="522" customWidth="1"/>
    <col min="4093" max="4093" width="44.85546875" style="522" customWidth="1"/>
    <col min="4094" max="4094" width="12.5703125" style="522" customWidth="1"/>
    <col min="4095" max="4095" width="12.28515625" style="522" customWidth="1"/>
    <col min="4096" max="4096" width="14.5703125" style="522" customWidth="1"/>
    <col min="4097" max="4097" width="14.7109375" style="522" customWidth="1"/>
    <col min="4098" max="4099" width="13.85546875" style="522" customWidth="1"/>
    <col min="4100" max="4100" width="41.5703125" style="522" customWidth="1"/>
    <col min="4101" max="4347" width="9.140625" style="522"/>
    <col min="4348" max="4348" width="6.140625" style="522" customWidth="1"/>
    <col min="4349" max="4349" width="44.85546875" style="522" customWidth="1"/>
    <col min="4350" max="4350" width="12.5703125" style="522" customWidth="1"/>
    <col min="4351" max="4351" width="12.28515625" style="522" customWidth="1"/>
    <col min="4352" max="4352" width="14.5703125" style="522" customWidth="1"/>
    <col min="4353" max="4353" width="14.7109375" style="522" customWidth="1"/>
    <col min="4354" max="4355" width="13.85546875" style="522" customWidth="1"/>
    <col min="4356" max="4356" width="41.5703125" style="522" customWidth="1"/>
    <col min="4357" max="4603" width="9.140625" style="522"/>
    <col min="4604" max="4604" width="6.140625" style="522" customWidth="1"/>
    <col min="4605" max="4605" width="44.85546875" style="522" customWidth="1"/>
    <col min="4606" max="4606" width="12.5703125" style="522" customWidth="1"/>
    <col min="4607" max="4607" width="12.28515625" style="522" customWidth="1"/>
    <col min="4608" max="4608" width="14.5703125" style="522" customWidth="1"/>
    <col min="4609" max="4609" width="14.7109375" style="522" customWidth="1"/>
    <col min="4610" max="4611" width="13.85546875" style="522" customWidth="1"/>
    <col min="4612" max="4612" width="41.5703125" style="522" customWidth="1"/>
    <col min="4613" max="4859" width="9.140625" style="522"/>
    <col min="4860" max="4860" width="6.140625" style="522" customWidth="1"/>
    <col min="4861" max="4861" width="44.85546875" style="522" customWidth="1"/>
    <col min="4862" max="4862" width="12.5703125" style="522" customWidth="1"/>
    <col min="4863" max="4863" width="12.28515625" style="522" customWidth="1"/>
    <col min="4864" max="4864" width="14.5703125" style="522" customWidth="1"/>
    <col min="4865" max="4865" width="14.7109375" style="522" customWidth="1"/>
    <col min="4866" max="4867" width="13.85546875" style="522" customWidth="1"/>
    <col min="4868" max="4868" width="41.5703125" style="522" customWidth="1"/>
    <col min="4869" max="5115" width="9.140625" style="522"/>
    <col min="5116" max="5116" width="6.140625" style="522" customWidth="1"/>
    <col min="5117" max="5117" width="44.85546875" style="522" customWidth="1"/>
    <col min="5118" max="5118" width="12.5703125" style="522" customWidth="1"/>
    <col min="5119" max="5119" width="12.28515625" style="522" customWidth="1"/>
    <col min="5120" max="5120" width="14.5703125" style="522" customWidth="1"/>
    <col min="5121" max="5121" width="14.7109375" style="522" customWidth="1"/>
    <col min="5122" max="5123" width="13.85546875" style="522" customWidth="1"/>
    <col min="5124" max="5124" width="41.5703125" style="522" customWidth="1"/>
    <col min="5125" max="5371" width="9.140625" style="522"/>
    <col min="5372" max="5372" width="6.140625" style="522" customWidth="1"/>
    <col min="5373" max="5373" width="44.85546875" style="522" customWidth="1"/>
    <col min="5374" max="5374" width="12.5703125" style="522" customWidth="1"/>
    <col min="5375" max="5375" width="12.28515625" style="522" customWidth="1"/>
    <col min="5376" max="5376" width="14.5703125" style="522" customWidth="1"/>
    <col min="5377" max="5377" width="14.7109375" style="522" customWidth="1"/>
    <col min="5378" max="5379" width="13.85546875" style="522" customWidth="1"/>
    <col min="5380" max="5380" width="41.5703125" style="522" customWidth="1"/>
    <col min="5381" max="5627" width="9.140625" style="522"/>
    <col min="5628" max="5628" width="6.140625" style="522" customWidth="1"/>
    <col min="5629" max="5629" width="44.85546875" style="522" customWidth="1"/>
    <col min="5630" max="5630" width="12.5703125" style="522" customWidth="1"/>
    <col min="5631" max="5631" width="12.28515625" style="522" customWidth="1"/>
    <col min="5632" max="5632" width="14.5703125" style="522" customWidth="1"/>
    <col min="5633" max="5633" width="14.7109375" style="522" customWidth="1"/>
    <col min="5634" max="5635" width="13.85546875" style="522" customWidth="1"/>
    <col min="5636" max="5636" width="41.5703125" style="522" customWidth="1"/>
    <col min="5637" max="5883" width="9.140625" style="522"/>
    <col min="5884" max="5884" width="6.140625" style="522" customWidth="1"/>
    <col min="5885" max="5885" width="44.85546875" style="522" customWidth="1"/>
    <col min="5886" max="5886" width="12.5703125" style="522" customWidth="1"/>
    <col min="5887" max="5887" width="12.28515625" style="522" customWidth="1"/>
    <col min="5888" max="5888" width="14.5703125" style="522" customWidth="1"/>
    <col min="5889" max="5889" width="14.7109375" style="522" customWidth="1"/>
    <col min="5890" max="5891" width="13.85546875" style="522" customWidth="1"/>
    <col min="5892" max="5892" width="41.5703125" style="522" customWidth="1"/>
    <col min="5893" max="6139" width="9.140625" style="522"/>
    <col min="6140" max="6140" width="6.140625" style="522" customWidth="1"/>
    <col min="6141" max="6141" width="44.85546875" style="522" customWidth="1"/>
    <col min="6142" max="6142" width="12.5703125" style="522" customWidth="1"/>
    <col min="6143" max="6143" width="12.28515625" style="522" customWidth="1"/>
    <col min="6144" max="6144" width="14.5703125" style="522" customWidth="1"/>
    <col min="6145" max="6145" width="14.7109375" style="522" customWidth="1"/>
    <col min="6146" max="6147" width="13.85546875" style="522" customWidth="1"/>
    <col min="6148" max="6148" width="41.5703125" style="522" customWidth="1"/>
    <col min="6149" max="6395" width="9.140625" style="522"/>
    <col min="6396" max="6396" width="6.140625" style="522" customWidth="1"/>
    <col min="6397" max="6397" width="44.85546875" style="522" customWidth="1"/>
    <col min="6398" max="6398" width="12.5703125" style="522" customWidth="1"/>
    <col min="6399" max="6399" width="12.28515625" style="522" customWidth="1"/>
    <col min="6400" max="6400" width="14.5703125" style="522" customWidth="1"/>
    <col min="6401" max="6401" width="14.7109375" style="522" customWidth="1"/>
    <col min="6402" max="6403" width="13.85546875" style="522" customWidth="1"/>
    <col min="6404" max="6404" width="41.5703125" style="522" customWidth="1"/>
    <col min="6405" max="6651" width="9.140625" style="522"/>
    <col min="6652" max="6652" width="6.140625" style="522" customWidth="1"/>
    <col min="6653" max="6653" width="44.85546875" style="522" customWidth="1"/>
    <col min="6654" max="6654" width="12.5703125" style="522" customWidth="1"/>
    <col min="6655" max="6655" width="12.28515625" style="522" customWidth="1"/>
    <col min="6656" max="6656" width="14.5703125" style="522" customWidth="1"/>
    <col min="6657" max="6657" width="14.7109375" style="522" customWidth="1"/>
    <col min="6658" max="6659" width="13.85546875" style="522" customWidth="1"/>
    <col min="6660" max="6660" width="41.5703125" style="522" customWidth="1"/>
    <col min="6661" max="6907" width="9.140625" style="522"/>
    <col min="6908" max="6908" width="6.140625" style="522" customWidth="1"/>
    <col min="6909" max="6909" width="44.85546875" style="522" customWidth="1"/>
    <col min="6910" max="6910" width="12.5703125" style="522" customWidth="1"/>
    <col min="6911" max="6911" width="12.28515625" style="522" customWidth="1"/>
    <col min="6912" max="6912" width="14.5703125" style="522" customWidth="1"/>
    <col min="6913" max="6913" width="14.7109375" style="522" customWidth="1"/>
    <col min="6914" max="6915" width="13.85546875" style="522" customWidth="1"/>
    <col min="6916" max="6916" width="41.5703125" style="522" customWidth="1"/>
    <col min="6917" max="7163" width="9.140625" style="522"/>
    <col min="7164" max="7164" width="6.140625" style="522" customWidth="1"/>
    <col min="7165" max="7165" width="44.85546875" style="522" customWidth="1"/>
    <col min="7166" max="7166" width="12.5703125" style="522" customWidth="1"/>
    <col min="7167" max="7167" width="12.28515625" style="522" customWidth="1"/>
    <col min="7168" max="7168" width="14.5703125" style="522" customWidth="1"/>
    <col min="7169" max="7169" width="14.7109375" style="522" customWidth="1"/>
    <col min="7170" max="7171" width="13.85546875" style="522" customWidth="1"/>
    <col min="7172" max="7172" width="41.5703125" style="522" customWidth="1"/>
    <col min="7173" max="7419" width="9.140625" style="522"/>
    <col min="7420" max="7420" width="6.140625" style="522" customWidth="1"/>
    <col min="7421" max="7421" width="44.85546875" style="522" customWidth="1"/>
    <col min="7422" max="7422" width="12.5703125" style="522" customWidth="1"/>
    <col min="7423" max="7423" width="12.28515625" style="522" customWidth="1"/>
    <col min="7424" max="7424" width="14.5703125" style="522" customWidth="1"/>
    <col min="7425" max="7425" width="14.7109375" style="522" customWidth="1"/>
    <col min="7426" max="7427" width="13.85546875" style="522" customWidth="1"/>
    <col min="7428" max="7428" width="41.5703125" style="522" customWidth="1"/>
    <col min="7429" max="7675" width="9.140625" style="522"/>
    <col min="7676" max="7676" width="6.140625" style="522" customWidth="1"/>
    <col min="7677" max="7677" width="44.85546875" style="522" customWidth="1"/>
    <col min="7678" max="7678" width="12.5703125" style="522" customWidth="1"/>
    <col min="7679" max="7679" width="12.28515625" style="522" customWidth="1"/>
    <col min="7680" max="7680" width="14.5703125" style="522" customWidth="1"/>
    <col min="7681" max="7681" width="14.7109375" style="522" customWidth="1"/>
    <col min="7682" max="7683" width="13.85546875" style="522" customWidth="1"/>
    <col min="7684" max="7684" width="41.5703125" style="522" customWidth="1"/>
    <col min="7685" max="7931" width="9.140625" style="522"/>
    <col min="7932" max="7932" width="6.140625" style="522" customWidth="1"/>
    <col min="7933" max="7933" width="44.85546875" style="522" customWidth="1"/>
    <col min="7934" max="7934" width="12.5703125" style="522" customWidth="1"/>
    <col min="7935" max="7935" width="12.28515625" style="522" customWidth="1"/>
    <col min="7936" max="7936" width="14.5703125" style="522" customWidth="1"/>
    <col min="7937" max="7937" width="14.7109375" style="522" customWidth="1"/>
    <col min="7938" max="7939" width="13.85546875" style="522" customWidth="1"/>
    <col min="7940" max="7940" width="41.5703125" style="522" customWidth="1"/>
    <col min="7941" max="8187" width="9.140625" style="522"/>
    <col min="8188" max="8188" width="6.140625" style="522" customWidth="1"/>
    <col min="8189" max="8189" width="44.85546875" style="522" customWidth="1"/>
    <col min="8190" max="8190" width="12.5703125" style="522" customWidth="1"/>
    <col min="8191" max="8191" width="12.28515625" style="522" customWidth="1"/>
    <col min="8192" max="8192" width="14.5703125" style="522" customWidth="1"/>
    <col min="8193" max="8193" width="14.7109375" style="522" customWidth="1"/>
    <col min="8194" max="8195" width="13.85546875" style="522" customWidth="1"/>
    <col min="8196" max="8196" width="41.5703125" style="522" customWidth="1"/>
    <col min="8197" max="8443" width="9.140625" style="522"/>
    <col min="8444" max="8444" width="6.140625" style="522" customWidth="1"/>
    <col min="8445" max="8445" width="44.85546875" style="522" customWidth="1"/>
    <col min="8446" max="8446" width="12.5703125" style="522" customWidth="1"/>
    <col min="8447" max="8447" width="12.28515625" style="522" customWidth="1"/>
    <col min="8448" max="8448" width="14.5703125" style="522" customWidth="1"/>
    <col min="8449" max="8449" width="14.7109375" style="522" customWidth="1"/>
    <col min="8450" max="8451" width="13.85546875" style="522" customWidth="1"/>
    <col min="8452" max="8452" width="41.5703125" style="522" customWidth="1"/>
    <col min="8453" max="8699" width="9.140625" style="522"/>
    <col min="8700" max="8700" width="6.140625" style="522" customWidth="1"/>
    <col min="8701" max="8701" width="44.85546875" style="522" customWidth="1"/>
    <col min="8702" max="8702" width="12.5703125" style="522" customWidth="1"/>
    <col min="8703" max="8703" width="12.28515625" style="522" customWidth="1"/>
    <col min="8704" max="8704" width="14.5703125" style="522" customWidth="1"/>
    <col min="8705" max="8705" width="14.7109375" style="522" customWidth="1"/>
    <col min="8706" max="8707" width="13.85546875" style="522" customWidth="1"/>
    <col min="8708" max="8708" width="41.5703125" style="522" customWidth="1"/>
    <col min="8709" max="8955" width="9.140625" style="522"/>
    <col min="8956" max="8956" width="6.140625" style="522" customWidth="1"/>
    <col min="8957" max="8957" width="44.85546875" style="522" customWidth="1"/>
    <col min="8958" max="8958" width="12.5703125" style="522" customWidth="1"/>
    <col min="8959" max="8959" width="12.28515625" style="522" customWidth="1"/>
    <col min="8960" max="8960" width="14.5703125" style="522" customWidth="1"/>
    <col min="8961" max="8961" width="14.7109375" style="522" customWidth="1"/>
    <col min="8962" max="8963" width="13.85546875" style="522" customWidth="1"/>
    <col min="8964" max="8964" width="41.5703125" style="522" customWidth="1"/>
    <col min="8965" max="9211" width="9.140625" style="522"/>
    <col min="9212" max="9212" width="6.140625" style="522" customWidth="1"/>
    <col min="9213" max="9213" width="44.85546875" style="522" customWidth="1"/>
    <col min="9214" max="9214" width="12.5703125" style="522" customWidth="1"/>
    <col min="9215" max="9215" width="12.28515625" style="522" customWidth="1"/>
    <col min="9216" max="9216" width="14.5703125" style="522" customWidth="1"/>
    <col min="9217" max="9217" width="14.7109375" style="522" customWidth="1"/>
    <col min="9218" max="9219" width="13.85546875" style="522" customWidth="1"/>
    <col min="9220" max="9220" width="41.5703125" style="522" customWidth="1"/>
    <col min="9221" max="9467" width="9.140625" style="522"/>
    <col min="9468" max="9468" width="6.140625" style="522" customWidth="1"/>
    <col min="9469" max="9469" width="44.85546875" style="522" customWidth="1"/>
    <col min="9470" max="9470" width="12.5703125" style="522" customWidth="1"/>
    <col min="9471" max="9471" width="12.28515625" style="522" customWidth="1"/>
    <col min="9472" max="9472" width="14.5703125" style="522" customWidth="1"/>
    <col min="9473" max="9473" width="14.7109375" style="522" customWidth="1"/>
    <col min="9474" max="9475" width="13.85546875" style="522" customWidth="1"/>
    <col min="9476" max="9476" width="41.5703125" style="522" customWidth="1"/>
    <col min="9477" max="9723" width="9.140625" style="522"/>
    <col min="9724" max="9724" width="6.140625" style="522" customWidth="1"/>
    <col min="9725" max="9725" width="44.85546875" style="522" customWidth="1"/>
    <col min="9726" max="9726" width="12.5703125" style="522" customWidth="1"/>
    <col min="9727" max="9727" width="12.28515625" style="522" customWidth="1"/>
    <col min="9728" max="9728" width="14.5703125" style="522" customWidth="1"/>
    <col min="9729" max="9729" width="14.7109375" style="522" customWidth="1"/>
    <col min="9730" max="9731" width="13.85546875" style="522" customWidth="1"/>
    <col min="9732" max="9732" width="41.5703125" style="522" customWidth="1"/>
    <col min="9733" max="9979" width="9.140625" style="522"/>
    <col min="9980" max="9980" width="6.140625" style="522" customWidth="1"/>
    <col min="9981" max="9981" width="44.85546875" style="522" customWidth="1"/>
    <col min="9982" max="9982" width="12.5703125" style="522" customWidth="1"/>
    <col min="9983" max="9983" width="12.28515625" style="522" customWidth="1"/>
    <col min="9984" max="9984" width="14.5703125" style="522" customWidth="1"/>
    <col min="9985" max="9985" width="14.7109375" style="522" customWidth="1"/>
    <col min="9986" max="9987" width="13.85546875" style="522" customWidth="1"/>
    <col min="9988" max="9988" width="41.5703125" style="522" customWidth="1"/>
    <col min="9989" max="10235" width="9.140625" style="522"/>
    <col min="10236" max="10236" width="6.140625" style="522" customWidth="1"/>
    <col min="10237" max="10237" width="44.85546875" style="522" customWidth="1"/>
    <col min="10238" max="10238" width="12.5703125" style="522" customWidth="1"/>
    <col min="10239" max="10239" width="12.28515625" style="522" customWidth="1"/>
    <col min="10240" max="10240" width="14.5703125" style="522" customWidth="1"/>
    <col min="10241" max="10241" width="14.7109375" style="522" customWidth="1"/>
    <col min="10242" max="10243" width="13.85546875" style="522" customWidth="1"/>
    <col min="10244" max="10244" width="41.5703125" style="522" customWidth="1"/>
    <col min="10245" max="10491" width="9.140625" style="522"/>
    <col min="10492" max="10492" width="6.140625" style="522" customWidth="1"/>
    <col min="10493" max="10493" width="44.85546875" style="522" customWidth="1"/>
    <col min="10494" max="10494" width="12.5703125" style="522" customWidth="1"/>
    <col min="10495" max="10495" width="12.28515625" style="522" customWidth="1"/>
    <col min="10496" max="10496" width="14.5703125" style="522" customWidth="1"/>
    <col min="10497" max="10497" width="14.7109375" style="522" customWidth="1"/>
    <col min="10498" max="10499" width="13.85546875" style="522" customWidth="1"/>
    <col min="10500" max="10500" width="41.5703125" style="522" customWidth="1"/>
    <col min="10501" max="10747" width="9.140625" style="522"/>
    <col min="10748" max="10748" width="6.140625" style="522" customWidth="1"/>
    <col min="10749" max="10749" width="44.85546875" style="522" customWidth="1"/>
    <col min="10750" max="10750" width="12.5703125" style="522" customWidth="1"/>
    <col min="10751" max="10751" width="12.28515625" style="522" customWidth="1"/>
    <col min="10752" max="10752" width="14.5703125" style="522" customWidth="1"/>
    <col min="10753" max="10753" width="14.7109375" style="522" customWidth="1"/>
    <col min="10754" max="10755" width="13.85546875" style="522" customWidth="1"/>
    <col min="10756" max="10756" width="41.5703125" style="522" customWidth="1"/>
    <col min="10757" max="11003" width="9.140625" style="522"/>
    <col min="11004" max="11004" width="6.140625" style="522" customWidth="1"/>
    <col min="11005" max="11005" width="44.85546875" style="522" customWidth="1"/>
    <col min="11006" max="11006" width="12.5703125" style="522" customWidth="1"/>
    <col min="11007" max="11007" width="12.28515625" style="522" customWidth="1"/>
    <col min="11008" max="11008" width="14.5703125" style="522" customWidth="1"/>
    <col min="11009" max="11009" width="14.7109375" style="522" customWidth="1"/>
    <col min="11010" max="11011" width="13.85546875" style="522" customWidth="1"/>
    <col min="11012" max="11012" width="41.5703125" style="522" customWidth="1"/>
    <col min="11013" max="11259" width="9.140625" style="522"/>
    <col min="11260" max="11260" width="6.140625" style="522" customWidth="1"/>
    <col min="11261" max="11261" width="44.85546875" style="522" customWidth="1"/>
    <col min="11262" max="11262" width="12.5703125" style="522" customWidth="1"/>
    <col min="11263" max="11263" width="12.28515625" style="522" customWidth="1"/>
    <col min="11264" max="11264" width="14.5703125" style="522" customWidth="1"/>
    <col min="11265" max="11265" width="14.7109375" style="522" customWidth="1"/>
    <col min="11266" max="11267" width="13.85546875" style="522" customWidth="1"/>
    <col min="11268" max="11268" width="41.5703125" style="522" customWidth="1"/>
    <col min="11269" max="11515" width="9.140625" style="522"/>
    <col min="11516" max="11516" width="6.140625" style="522" customWidth="1"/>
    <col min="11517" max="11517" width="44.85546875" style="522" customWidth="1"/>
    <col min="11518" max="11518" width="12.5703125" style="522" customWidth="1"/>
    <col min="11519" max="11519" width="12.28515625" style="522" customWidth="1"/>
    <col min="11520" max="11520" width="14.5703125" style="522" customWidth="1"/>
    <col min="11521" max="11521" width="14.7109375" style="522" customWidth="1"/>
    <col min="11522" max="11523" width="13.85546875" style="522" customWidth="1"/>
    <col min="11524" max="11524" width="41.5703125" style="522" customWidth="1"/>
    <col min="11525" max="11771" width="9.140625" style="522"/>
    <col min="11772" max="11772" width="6.140625" style="522" customWidth="1"/>
    <col min="11773" max="11773" width="44.85546875" style="522" customWidth="1"/>
    <col min="11774" max="11774" width="12.5703125" style="522" customWidth="1"/>
    <col min="11775" max="11775" width="12.28515625" style="522" customWidth="1"/>
    <col min="11776" max="11776" width="14.5703125" style="522" customWidth="1"/>
    <col min="11777" max="11777" width="14.7109375" style="522" customWidth="1"/>
    <col min="11778" max="11779" width="13.85546875" style="522" customWidth="1"/>
    <col min="11780" max="11780" width="41.5703125" style="522" customWidth="1"/>
    <col min="11781" max="12027" width="9.140625" style="522"/>
    <col min="12028" max="12028" width="6.140625" style="522" customWidth="1"/>
    <col min="12029" max="12029" width="44.85546875" style="522" customWidth="1"/>
    <col min="12030" max="12030" width="12.5703125" style="522" customWidth="1"/>
    <col min="12031" max="12031" width="12.28515625" style="522" customWidth="1"/>
    <col min="12032" max="12032" width="14.5703125" style="522" customWidth="1"/>
    <col min="12033" max="12033" width="14.7109375" style="522" customWidth="1"/>
    <col min="12034" max="12035" width="13.85546875" style="522" customWidth="1"/>
    <col min="12036" max="12036" width="41.5703125" style="522" customWidth="1"/>
    <col min="12037" max="12283" width="9.140625" style="522"/>
    <col min="12284" max="12284" width="6.140625" style="522" customWidth="1"/>
    <col min="12285" max="12285" width="44.85546875" style="522" customWidth="1"/>
    <col min="12286" max="12286" width="12.5703125" style="522" customWidth="1"/>
    <col min="12287" max="12287" width="12.28515625" style="522" customWidth="1"/>
    <col min="12288" max="12288" width="14.5703125" style="522" customWidth="1"/>
    <col min="12289" max="12289" width="14.7109375" style="522" customWidth="1"/>
    <col min="12290" max="12291" width="13.85546875" style="522" customWidth="1"/>
    <col min="12292" max="12292" width="41.5703125" style="522" customWidth="1"/>
    <col min="12293" max="12539" width="9.140625" style="522"/>
    <col min="12540" max="12540" width="6.140625" style="522" customWidth="1"/>
    <col min="12541" max="12541" width="44.85546875" style="522" customWidth="1"/>
    <col min="12542" max="12542" width="12.5703125" style="522" customWidth="1"/>
    <col min="12543" max="12543" width="12.28515625" style="522" customWidth="1"/>
    <col min="12544" max="12544" width="14.5703125" style="522" customWidth="1"/>
    <col min="12545" max="12545" width="14.7109375" style="522" customWidth="1"/>
    <col min="12546" max="12547" width="13.85546875" style="522" customWidth="1"/>
    <col min="12548" max="12548" width="41.5703125" style="522" customWidth="1"/>
    <col min="12549" max="12795" width="9.140625" style="522"/>
    <col min="12796" max="12796" width="6.140625" style="522" customWidth="1"/>
    <col min="12797" max="12797" width="44.85546875" style="522" customWidth="1"/>
    <col min="12798" max="12798" width="12.5703125" style="522" customWidth="1"/>
    <col min="12799" max="12799" width="12.28515625" style="522" customWidth="1"/>
    <col min="12800" max="12800" width="14.5703125" style="522" customWidth="1"/>
    <col min="12801" max="12801" width="14.7109375" style="522" customWidth="1"/>
    <col min="12802" max="12803" width="13.85546875" style="522" customWidth="1"/>
    <col min="12804" max="12804" width="41.5703125" style="522" customWidth="1"/>
    <col min="12805" max="13051" width="9.140625" style="522"/>
    <col min="13052" max="13052" width="6.140625" style="522" customWidth="1"/>
    <col min="13053" max="13053" width="44.85546875" style="522" customWidth="1"/>
    <col min="13054" max="13054" width="12.5703125" style="522" customWidth="1"/>
    <col min="13055" max="13055" width="12.28515625" style="522" customWidth="1"/>
    <col min="13056" max="13056" width="14.5703125" style="522" customWidth="1"/>
    <col min="13057" max="13057" width="14.7109375" style="522" customWidth="1"/>
    <col min="13058" max="13059" width="13.85546875" style="522" customWidth="1"/>
    <col min="13060" max="13060" width="41.5703125" style="522" customWidth="1"/>
    <col min="13061" max="13307" width="9.140625" style="522"/>
    <col min="13308" max="13308" width="6.140625" style="522" customWidth="1"/>
    <col min="13309" max="13309" width="44.85546875" style="522" customWidth="1"/>
    <col min="13310" max="13310" width="12.5703125" style="522" customWidth="1"/>
    <col min="13311" max="13311" width="12.28515625" style="522" customWidth="1"/>
    <col min="13312" max="13312" width="14.5703125" style="522" customWidth="1"/>
    <col min="13313" max="13313" width="14.7109375" style="522" customWidth="1"/>
    <col min="13314" max="13315" width="13.85546875" style="522" customWidth="1"/>
    <col min="13316" max="13316" width="41.5703125" style="522" customWidth="1"/>
    <col min="13317" max="13563" width="9.140625" style="522"/>
    <col min="13564" max="13564" width="6.140625" style="522" customWidth="1"/>
    <col min="13565" max="13565" width="44.85546875" style="522" customWidth="1"/>
    <col min="13566" max="13566" width="12.5703125" style="522" customWidth="1"/>
    <col min="13567" max="13567" width="12.28515625" style="522" customWidth="1"/>
    <col min="13568" max="13568" width="14.5703125" style="522" customWidth="1"/>
    <col min="13569" max="13569" width="14.7109375" style="522" customWidth="1"/>
    <col min="13570" max="13571" width="13.85546875" style="522" customWidth="1"/>
    <col min="13572" max="13572" width="41.5703125" style="522" customWidth="1"/>
    <col min="13573" max="13819" width="9.140625" style="522"/>
    <col min="13820" max="13820" width="6.140625" style="522" customWidth="1"/>
    <col min="13821" max="13821" width="44.85546875" style="522" customWidth="1"/>
    <col min="13822" max="13822" width="12.5703125" style="522" customWidth="1"/>
    <col min="13823" max="13823" width="12.28515625" style="522" customWidth="1"/>
    <col min="13824" max="13824" width="14.5703125" style="522" customWidth="1"/>
    <col min="13825" max="13825" width="14.7109375" style="522" customWidth="1"/>
    <col min="13826" max="13827" width="13.85546875" style="522" customWidth="1"/>
    <col min="13828" max="13828" width="41.5703125" style="522" customWidth="1"/>
    <col min="13829" max="14075" width="9.140625" style="522"/>
    <col min="14076" max="14076" width="6.140625" style="522" customWidth="1"/>
    <col min="14077" max="14077" width="44.85546875" style="522" customWidth="1"/>
    <col min="14078" max="14078" width="12.5703125" style="522" customWidth="1"/>
    <col min="14079" max="14079" width="12.28515625" style="522" customWidth="1"/>
    <col min="14080" max="14080" width="14.5703125" style="522" customWidth="1"/>
    <col min="14081" max="14081" width="14.7109375" style="522" customWidth="1"/>
    <col min="14082" max="14083" width="13.85546875" style="522" customWidth="1"/>
    <col min="14084" max="14084" width="41.5703125" style="522" customWidth="1"/>
    <col min="14085" max="14331" width="9.140625" style="522"/>
    <col min="14332" max="14332" width="6.140625" style="522" customWidth="1"/>
    <col min="14333" max="14333" width="44.85546875" style="522" customWidth="1"/>
    <col min="14334" max="14334" width="12.5703125" style="522" customWidth="1"/>
    <col min="14335" max="14335" width="12.28515625" style="522" customWidth="1"/>
    <col min="14336" max="14336" width="14.5703125" style="522" customWidth="1"/>
    <col min="14337" max="14337" width="14.7109375" style="522" customWidth="1"/>
    <col min="14338" max="14339" width="13.85546875" style="522" customWidth="1"/>
    <col min="14340" max="14340" width="41.5703125" style="522" customWidth="1"/>
    <col min="14341" max="14587" width="9.140625" style="522"/>
    <col min="14588" max="14588" width="6.140625" style="522" customWidth="1"/>
    <col min="14589" max="14589" width="44.85546875" style="522" customWidth="1"/>
    <col min="14590" max="14590" width="12.5703125" style="522" customWidth="1"/>
    <col min="14591" max="14591" width="12.28515625" style="522" customWidth="1"/>
    <col min="14592" max="14592" width="14.5703125" style="522" customWidth="1"/>
    <col min="14593" max="14593" width="14.7109375" style="522" customWidth="1"/>
    <col min="14594" max="14595" width="13.85546875" style="522" customWidth="1"/>
    <col min="14596" max="14596" width="41.5703125" style="522" customWidth="1"/>
    <col min="14597" max="14843" width="9.140625" style="522"/>
    <col min="14844" max="14844" width="6.140625" style="522" customWidth="1"/>
    <col min="14845" max="14845" width="44.85546875" style="522" customWidth="1"/>
    <col min="14846" max="14846" width="12.5703125" style="522" customWidth="1"/>
    <col min="14847" max="14847" width="12.28515625" style="522" customWidth="1"/>
    <col min="14848" max="14848" width="14.5703125" style="522" customWidth="1"/>
    <col min="14849" max="14849" width="14.7109375" style="522" customWidth="1"/>
    <col min="14850" max="14851" width="13.85546875" style="522" customWidth="1"/>
    <col min="14852" max="14852" width="41.5703125" style="522" customWidth="1"/>
    <col min="14853" max="15099" width="9.140625" style="522"/>
    <col min="15100" max="15100" width="6.140625" style="522" customWidth="1"/>
    <col min="15101" max="15101" width="44.85546875" style="522" customWidth="1"/>
    <col min="15102" max="15102" width="12.5703125" style="522" customWidth="1"/>
    <col min="15103" max="15103" width="12.28515625" style="522" customWidth="1"/>
    <col min="15104" max="15104" width="14.5703125" style="522" customWidth="1"/>
    <col min="15105" max="15105" width="14.7109375" style="522" customWidth="1"/>
    <col min="15106" max="15107" width="13.85546875" style="522" customWidth="1"/>
    <col min="15108" max="15108" width="41.5703125" style="522" customWidth="1"/>
    <col min="15109" max="15355" width="9.140625" style="522"/>
    <col min="15356" max="15356" width="6.140625" style="522" customWidth="1"/>
    <col min="15357" max="15357" width="44.85546875" style="522" customWidth="1"/>
    <col min="15358" max="15358" width="12.5703125" style="522" customWidth="1"/>
    <col min="15359" max="15359" width="12.28515625" style="522" customWidth="1"/>
    <col min="15360" max="15360" width="14.5703125" style="522" customWidth="1"/>
    <col min="15361" max="15361" width="14.7109375" style="522" customWidth="1"/>
    <col min="15362" max="15363" width="13.85546875" style="522" customWidth="1"/>
    <col min="15364" max="15364" width="41.5703125" style="522" customWidth="1"/>
    <col min="15365" max="15611" width="9.140625" style="522"/>
    <col min="15612" max="15612" width="6.140625" style="522" customWidth="1"/>
    <col min="15613" max="15613" width="44.85546875" style="522" customWidth="1"/>
    <col min="15614" max="15614" width="12.5703125" style="522" customWidth="1"/>
    <col min="15615" max="15615" width="12.28515625" style="522" customWidth="1"/>
    <col min="15616" max="15616" width="14.5703125" style="522" customWidth="1"/>
    <col min="15617" max="15617" width="14.7109375" style="522" customWidth="1"/>
    <col min="15618" max="15619" width="13.85546875" style="522" customWidth="1"/>
    <col min="15620" max="15620" width="41.5703125" style="522" customWidth="1"/>
    <col min="15621" max="15867" width="9.140625" style="522"/>
    <col min="15868" max="15868" width="6.140625" style="522" customWidth="1"/>
    <col min="15869" max="15869" width="44.85546875" style="522" customWidth="1"/>
    <col min="15870" max="15870" width="12.5703125" style="522" customWidth="1"/>
    <col min="15871" max="15871" width="12.28515625" style="522" customWidth="1"/>
    <col min="15872" max="15872" width="14.5703125" style="522" customWidth="1"/>
    <col min="15873" max="15873" width="14.7109375" style="522" customWidth="1"/>
    <col min="15874" max="15875" width="13.85546875" style="522" customWidth="1"/>
    <col min="15876" max="15876" width="41.5703125" style="522" customWidth="1"/>
    <col min="15877" max="16123" width="9.140625" style="522"/>
    <col min="16124" max="16124" width="6.140625" style="522" customWidth="1"/>
    <col min="16125" max="16125" width="44.85546875" style="522" customWidth="1"/>
    <col min="16126" max="16126" width="12.5703125" style="522" customWidth="1"/>
    <col min="16127" max="16127" width="12.28515625" style="522" customWidth="1"/>
    <col min="16128" max="16128" width="14.5703125" style="522" customWidth="1"/>
    <col min="16129" max="16129" width="14.7109375" style="522" customWidth="1"/>
    <col min="16130" max="16131" width="13.85546875" style="522" customWidth="1"/>
    <col min="16132" max="16132" width="41.5703125" style="522" customWidth="1"/>
    <col min="16133" max="16384" width="9.140625" style="522"/>
  </cols>
  <sheetData>
    <row r="1" spans="1:9" x14ac:dyDescent="0.25">
      <c r="H1" s="1978" t="s">
        <v>2198</v>
      </c>
      <c r="I1" s="1978"/>
    </row>
    <row r="2" spans="1:9" x14ac:dyDescent="0.25">
      <c r="H2" s="1978"/>
      <c r="I2" s="1978"/>
    </row>
    <row r="3" spans="1:9" x14ac:dyDescent="0.25">
      <c r="H3" s="1978"/>
      <c r="I3" s="1978"/>
    </row>
    <row r="4" spans="1:9" x14ac:dyDescent="0.25">
      <c r="H4" s="1874"/>
      <c r="I4" s="1874"/>
    </row>
    <row r="5" spans="1:9" x14ac:dyDescent="0.25">
      <c r="H5" s="1874"/>
      <c r="I5" s="1874"/>
    </row>
    <row r="6" spans="1:9" x14ac:dyDescent="0.25">
      <c r="A6" s="522" t="s">
        <v>112</v>
      </c>
      <c r="B6" s="689"/>
      <c r="C6" s="689"/>
      <c r="D6" s="689"/>
      <c r="E6" s="689"/>
      <c r="F6" s="689"/>
      <c r="G6" s="689"/>
      <c r="H6" s="689"/>
      <c r="I6" s="689"/>
    </row>
    <row r="7" spans="1:9" x14ac:dyDescent="0.25">
      <c r="B7" s="689"/>
      <c r="C7" s="690"/>
      <c r="D7" s="691"/>
      <c r="E7" s="691"/>
      <c r="F7" s="690"/>
      <c r="G7" s="691"/>
      <c r="H7" s="691"/>
      <c r="I7" s="691"/>
    </row>
    <row r="8" spans="1:9" ht="18.75" x14ac:dyDescent="0.3">
      <c r="A8" s="1988" t="s">
        <v>113</v>
      </c>
      <c r="B8" s="1988"/>
      <c r="C8" s="1988"/>
      <c r="D8" s="1988"/>
      <c r="E8" s="1988"/>
      <c r="F8" s="1988"/>
      <c r="G8" s="1988"/>
      <c r="H8" s="1988"/>
      <c r="I8" s="1988"/>
    </row>
    <row r="9" spans="1:9" x14ac:dyDescent="0.25">
      <c r="A9" s="218"/>
      <c r="B9" s="218"/>
      <c r="C9" s="230"/>
      <c r="D9" s="218"/>
      <c r="E9" s="218"/>
      <c r="F9" s="230"/>
      <c r="G9" s="218"/>
      <c r="H9" s="218"/>
      <c r="I9" s="218"/>
    </row>
    <row r="10" spans="1:9" x14ac:dyDescent="0.25">
      <c r="A10" s="522" t="s">
        <v>114</v>
      </c>
      <c r="C10" s="2005" t="s">
        <v>1147</v>
      </c>
      <c r="D10" s="2005"/>
      <c r="E10" s="2005"/>
      <c r="F10" s="2005"/>
      <c r="G10" s="2005"/>
      <c r="H10" s="2005"/>
      <c r="I10" s="2005"/>
    </row>
    <row r="11" spans="1:9" x14ac:dyDescent="0.25">
      <c r="A11" s="692" t="s">
        <v>115</v>
      </c>
      <c r="B11" s="692"/>
      <c r="C11" s="2109" t="s">
        <v>1148</v>
      </c>
      <c r="D11" s="2109"/>
      <c r="E11" s="2109"/>
      <c r="F11" s="2109"/>
      <c r="G11" s="2109"/>
      <c r="H11" s="2109"/>
      <c r="I11" s="2109"/>
    </row>
    <row r="12" spans="1:9" x14ac:dyDescent="0.25">
      <c r="A12" s="692" t="s">
        <v>117</v>
      </c>
      <c r="B12" s="692"/>
      <c r="C12" s="2053" t="s">
        <v>1149</v>
      </c>
      <c r="D12" s="2053"/>
      <c r="E12" s="2053"/>
      <c r="F12" s="2053"/>
      <c r="G12" s="2053"/>
      <c r="H12" s="2053"/>
      <c r="I12" s="2053"/>
    </row>
    <row r="13" spans="1:9" ht="45.75" customHeight="1" x14ac:dyDescent="0.25">
      <c r="A13" s="1989" t="s">
        <v>47</v>
      </c>
      <c r="B13" s="1989" t="s">
        <v>119</v>
      </c>
      <c r="C13" s="2105" t="s">
        <v>120</v>
      </c>
      <c r="D13" s="1989" t="s">
        <v>121</v>
      </c>
      <c r="E13" s="1989" t="s">
        <v>122</v>
      </c>
      <c r="F13" s="693"/>
      <c r="G13" s="525"/>
      <c r="H13" s="525"/>
      <c r="I13" s="1989" t="s">
        <v>126</v>
      </c>
    </row>
    <row r="14" spans="1:9" ht="50.25" customHeight="1" x14ac:dyDescent="0.25">
      <c r="A14" s="1989"/>
      <c r="B14" s="1989"/>
      <c r="C14" s="2105"/>
      <c r="D14" s="1989"/>
      <c r="E14" s="1989"/>
      <c r="F14" s="694" t="s">
        <v>129</v>
      </c>
      <c r="G14" s="526" t="s">
        <v>124</v>
      </c>
      <c r="H14" s="526" t="s">
        <v>2165</v>
      </c>
      <c r="I14" s="1989"/>
    </row>
    <row r="15" spans="1:9" x14ac:dyDescent="0.25">
      <c r="A15" s="2116" t="s">
        <v>2182</v>
      </c>
      <c r="B15" s="2116"/>
      <c r="C15" s="695">
        <f>SUM(C16:C17)</f>
        <v>58844</v>
      </c>
      <c r="D15" s="696">
        <f>SUM(D16:D17)</f>
        <v>57651</v>
      </c>
      <c r="E15" s="695">
        <f>SUM(E16:E17)</f>
        <v>653000</v>
      </c>
      <c r="F15" s="695"/>
      <c r="G15" s="695">
        <f>SUM(G16:G17)</f>
        <v>62300</v>
      </c>
      <c r="H15" s="695">
        <f>SUM(H16:H17)</f>
        <v>88645</v>
      </c>
      <c r="I15" s="528"/>
    </row>
    <row r="16" spans="1:9" s="703" customFormat="1" ht="81" customHeight="1" x14ac:dyDescent="0.2">
      <c r="A16" s="697" t="s">
        <v>763</v>
      </c>
      <c r="B16" s="698" t="s">
        <v>1150</v>
      </c>
      <c r="C16" s="699">
        <v>58844</v>
      </c>
      <c r="D16" s="699">
        <v>57651</v>
      </c>
      <c r="E16" s="699">
        <v>100000</v>
      </c>
      <c r="F16" s="701">
        <v>5250</v>
      </c>
      <c r="G16" s="699">
        <v>62300</v>
      </c>
      <c r="H16" s="699">
        <f>ROUNDUP(G16/0.702804,0)</f>
        <v>88645</v>
      </c>
      <c r="I16" s="702" t="s">
        <v>1151</v>
      </c>
    </row>
    <row r="17" spans="1:9" s="703" customFormat="1" ht="36" customHeight="1" x14ac:dyDescent="0.2">
      <c r="A17" s="697" t="s">
        <v>775</v>
      </c>
      <c r="B17" s="698" t="s">
        <v>1152</v>
      </c>
      <c r="C17" s="699">
        <v>0</v>
      </c>
      <c r="D17" s="699">
        <v>0</v>
      </c>
      <c r="E17" s="699">
        <v>553000</v>
      </c>
      <c r="F17" s="701">
        <v>5240</v>
      </c>
      <c r="G17" s="699"/>
      <c r="H17" s="699">
        <f>ROUNDUP(G17/0.702804,0)</f>
        <v>0</v>
      </c>
      <c r="I17" s="702" t="s">
        <v>1153</v>
      </c>
    </row>
    <row r="18" spans="1:9" x14ac:dyDescent="0.25">
      <c r="A18" s="704"/>
      <c r="B18" s="704"/>
      <c r="C18" s="705"/>
      <c r="D18" s="704"/>
      <c r="E18" s="704"/>
      <c r="F18" s="705"/>
      <c r="G18" s="704"/>
      <c r="H18" s="704"/>
      <c r="I18" s="704"/>
    </row>
    <row r="19" spans="1:9" x14ac:dyDescent="0.25">
      <c r="A19" s="692" t="s">
        <v>115</v>
      </c>
      <c r="B19" s="692"/>
      <c r="C19" s="2109" t="s">
        <v>1154</v>
      </c>
      <c r="D19" s="2109"/>
      <c r="E19" s="2109"/>
      <c r="F19" s="2109"/>
      <c r="G19" s="2109"/>
      <c r="H19" s="2109"/>
      <c r="I19" s="2109"/>
    </row>
    <row r="20" spans="1:9" x14ac:dyDescent="0.25">
      <c r="A20" s="692" t="s">
        <v>117</v>
      </c>
      <c r="B20" s="692"/>
      <c r="C20" s="2053" t="s">
        <v>1155</v>
      </c>
      <c r="D20" s="2053"/>
      <c r="E20" s="2053"/>
      <c r="F20" s="2053"/>
      <c r="G20" s="2053"/>
      <c r="H20" s="2053"/>
      <c r="I20" s="2053"/>
    </row>
    <row r="21" spans="1:9" x14ac:dyDescent="0.25">
      <c r="A21" s="1989" t="s">
        <v>47</v>
      </c>
      <c r="B21" s="1989" t="s">
        <v>119</v>
      </c>
      <c r="C21" s="2105" t="s">
        <v>120</v>
      </c>
      <c r="D21" s="1989" t="s">
        <v>121</v>
      </c>
      <c r="E21" s="1989" t="s">
        <v>122</v>
      </c>
      <c r="F21" s="693"/>
      <c r="G21" s="525"/>
      <c r="H21" s="525"/>
      <c r="I21" s="1989" t="s">
        <v>126</v>
      </c>
    </row>
    <row r="22" spans="1:9" ht="38.25" x14ac:dyDescent="0.25">
      <c r="A22" s="1989"/>
      <c r="B22" s="1989"/>
      <c r="C22" s="2105"/>
      <c r="D22" s="1989"/>
      <c r="E22" s="1989"/>
      <c r="F22" s="694" t="s">
        <v>129</v>
      </c>
      <c r="G22" s="526" t="s">
        <v>124</v>
      </c>
      <c r="H22" s="1797" t="s">
        <v>2165</v>
      </c>
      <c r="I22" s="1989"/>
    </row>
    <row r="23" spans="1:9" x14ac:dyDescent="0.25">
      <c r="A23" s="1980" t="s">
        <v>2182</v>
      </c>
      <c r="B23" s="1981"/>
      <c r="C23" s="695">
        <f>SUM(C24:C26)</f>
        <v>3817</v>
      </c>
      <c r="D23" s="696">
        <f>SUM(D24:D26)</f>
        <v>3817</v>
      </c>
      <c r="E23" s="696">
        <f>SUM(E24:E26)</f>
        <v>25000</v>
      </c>
      <c r="F23" s="695"/>
      <c r="G23" s="696">
        <f>SUM(G24:G26)</f>
        <v>5000</v>
      </c>
      <c r="H23" s="696">
        <f>SUM(H24:H26)</f>
        <v>7115</v>
      </c>
      <c r="I23" s="528"/>
    </row>
    <row r="24" spans="1:9" ht="29.25" customHeight="1" x14ac:dyDescent="0.25">
      <c r="A24" s="706" t="s">
        <v>763</v>
      </c>
      <c r="B24" s="698" t="s">
        <v>1156</v>
      </c>
      <c r="C24" s="699">
        <v>3817</v>
      </c>
      <c r="D24" s="699">
        <v>3817</v>
      </c>
      <c r="E24" s="699">
        <v>0</v>
      </c>
      <c r="F24" s="701">
        <v>2241</v>
      </c>
      <c r="G24" s="699"/>
      <c r="H24" s="699">
        <f>ROUNDUP(G24/0.702804,0)</f>
        <v>0</v>
      </c>
      <c r="I24" s="528"/>
    </row>
    <row r="25" spans="1:9" s="707" customFormat="1" x14ac:dyDescent="0.25">
      <c r="A25" s="706" t="s">
        <v>775</v>
      </c>
      <c r="B25" s="698" t="s">
        <v>1157</v>
      </c>
      <c r="C25" s="699">
        <v>0</v>
      </c>
      <c r="D25" s="699">
        <v>0</v>
      </c>
      <c r="E25" s="699">
        <v>20000</v>
      </c>
      <c r="F25" s="701">
        <v>5250</v>
      </c>
      <c r="G25" s="699"/>
      <c r="H25" s="699">
        <f>ROUNDUP(G25/0.702804,0)</f>
        <v>0</v>
      </c>
      <c r="I25" s="702" t="s">
        <v>1158</v>
      </c>
    </row>
    <row r="26" spans="1:9" s="703" customFormat="1" ht="15" x14ac:dyDescent="0.2">
      <c r="A26" s="1269">
        <v>3</v>
      </c>
      <c r="B26" s="711" t="s">
        <v>1936</v>
      </c>
      <c r="C26" s="1681"/>
      <c r="D26" s="1681"/>
      <c r="E26" s="1681">
        <v>5000</v>
      </c>
      <c r="F26" s="1682">
        <v>2241</v>
      </c>
      <c r="G26" s="699">
        <v>5000</v>
      </c>
      <c r="H26" s="699">
        <f>ROUNDUP(G26/0.702804,0)</f>
        <v>7115</v>
      </c>
      <c r="I26" s="702"/>
    </row>
    <row r="27" spans="1:9" x14ac:dyDescent="0.25">
      <c r="A27" s="704"/>
      <c r="B27" s="704"/>
      <c r="C27" s="715"/>
      <c r="D27" s="716"/>
      <c r="E27" s="716"/>
      <c r="F27" s="715"/>
      <c r="G27" s="716"/>
      <c r="H27" s="716"/>
      <c r="I27" s="704"/>
    </row>
    <row r="28" spans="1:9" hidden="1" x14ac:dyDescent="0.25">
      <c r="A28" s="692" t="s">
        <v>115</v>
      </c>
      <c r="B28" s="692"/>
      <c r="C28" s="2109" t="s">
        <v>1167</v>
      </c>
      <c r="D28" s="2109"/>
      <c r="E28" s="2109"/>
      <c r="F28" s="2109"/>
      <c r="G28" s="2109"/>
      <c r="H28" s="2109"/>
      <c r="I28" s="2109"/>
    </row>
    <row r="29" spans="1:9" hidden="1" x14ac:dyDescent="0.25">
      <c r="A29" s="692" t="s">
        <v>117</v>
      </c>
      <c r="B29" s="692"/>
      <c r="C29" s="2053" t="s">
        <v>1160</v>
      </c>
      <c r="D29" s="2053"/>
      <c r="E29" s="2053"/>
      <c r="F29" s="2053"/>
      <c r="G29" s="2053"/>
      <c r="H29" s="2053"/>
      <c r="I29" s="2053"/>
    </row>
    <row r="30" spans="1:9" ht="39" hidden="1" x14ac:dyDescent="0.25">
      <c r="A30" s="1989" t="s">
        <v>47</v>
      </c>
      <c r="B30" s="1989" t="s">
        <v>119</v>
      </c>
      <c r="C30" s="2105" t="s">
        <v>120</v>
      </c>
      <c r="D30" s="1989" t="s">
        <v>121</v>
      </c>
      <c r="E30" s="1989" t="s">
        <v>122</v>
      </c>
      <c r="F30" s="693" t="s">
        <v>123</v>
      </c>
      <c r="G30" s="525" t="s">
        <v>189</v>
      </c>
      <c r="H30" s="525" t="s">
        <v>189</v>
      </c>
      <c r="I30" s="1989" t="s">
        <v>126</v>
      </c>
    </row>
    <row r="31" spans="1:9" ht="51" hidden="1" x14ac:dyDescent="0.25">
      <c r="A31" s="1989"/>
      <c r="B31" s="1989"/>
      <c r="C31" s="2105"/>
      <c r="D31" s="1989"/>
      <c r="E31" s="1989"/>
      <c r="F31" s="694" t="s">
        <v>129</v>
      </c>
      <c r="G31" s="526" t="s">
        <v>124</v>
      </c>
      <c r="H31" s="526" t="s">
        <v>125</v>
      </c>
      <c r="I31" s="1989"/>
    </row>
    <row r="32" spans="1:9" hidden="1" x14ac:dyDescent="0.25">
      <c r="A32" s="1980" t="s">
        <v>190</v>
      </c>
      <c r="B32" s="1981"/>
      <c r="C32" s="695">
        <f>SUM(C33:C57)</f>
        <v>1578775</v>
      </c>
      <c r="D32" s="696">
        <f>SUM(D33:D57)</f>
        <v>1573498</v>
      </c>
      <c r="E32" s="696">
        <f>SUM(E33:E57)</f>
        <v>2019777</v>
      </c>
      <c r="F32" s="695"/>
      <c r="G32" s="696">
        <f>SUM(G33:G57)</f>
        <v>1631747</v>
      </c>
      <c r="H32" s="696">
        <f>SUM(H33:H57)</f>
        <v>2321773</v>
      </c>
      <c r="I32" s="528"/>
    </row>
    <row r="33" spans="1:50" s="719" customFormat="1" hidden="1" x14ac:dyDescent="0.25">
      <c r="A33" s="717" t="s">
        <v>763</v>
      </c>
      <c r="B33" s="718" t="s">
        <v>69</v>
      </c>
      <c r="C33" s="699"/>
      <c r="D33" s="699"/>
      <c r="E33" s="699"/>
      <c r="F33" s="699"/>
      <c r="G33" s="699"/>
      <c r="H33" s="699"/>
      <c r="I33" s="702"/>
      <c r="J33" s="703"/>
      <c r="K33" s="703"/>
      <c r="L33" s="703"/>
      <c r="M33" s="703"/>
      <c r="N33" s="703"/>
      <c r="O33" s="703"/>
      <c r="P33" s="703"/>
      <c r="Q33" s="703"/>
      <c r="R33" s="703"/>
      <c r="S33" s="703"/>
      <c r="T33" s="703"/>
      <c r="U33" s="703"/>
      <c r="V33" s="703"/>
      <c r="W33" s="703"/>
      <c r="X33" s="703"/>
      <c r="Y33" s="703"/>
      <c r="Z33" s="703"/>
      <c r="AA33" s="703"/>
      <c r="AB33" s="703"/>
      <c r="AC33" s="703"/>
      <c r="AD33" s="703"/>
      <c r="AE33" s="703"/>
      <c r="AF33" s="703"/>
      <c r="AG33" s="703"/>
      <c r="AH33" s="703"/>
      <c r="AI33" s="703"/>
      <c r="AJ33" s="703"/>
      <c r="AK33" s="703"/>
      <c r="AL33" s="703"/>
      <c r="AM33" s="703"/>
      <c r="AN33" s="703"/>
      <c r="AO33" s="703"/>
      <c r="AP33" s="703"/>
      <c r="AQ33" s="703"/>
      <c r="AR33" s="703"/>
      <c r="AS33" s="703"/>
      <c r="AT33" s="703"/>
      <c r="AU33" s="703"/>
      <c r="AV33" s="703"/>
      <c r="AW33" s="703"/>
      <c r="AX33" s="703"/>
    </row>
    <row r="34" spans="1:50" s="721" customFormat="1" ht="63.75" hidden="1" x14ac:dyDescent="0.2">
      <c r="A34" s="706" t="s">
        <v>132</v>
      </c>
      <c r="B34" s="698" t="s">
        <v>1168</v>
      </c>
      <c r="C34" s="699">
        <v>709785</v>
      </c>
      <c r="D34" s="699">
        <v>709785</v>
      </c>
      <c r="E34" s="700">
        <v>765000</v>
      </c>
      <c r="F34" s="985">
        <v>5250</v>
      </c>
      <c r="G34" s="699">
        <f>329580+720+768300+100000-50000</f>
        <v>1148600</v>
      </c>
      <c r="H34" s="699">
        <f>ROUNDUP(G34/0.702804,0)</f>
        <v>1634311</v>
      </c>
      <c r="I34" s="720" t="s">
        <v>1988</v>
      </c>
    </row>
    <row r="35" spans="1:50" s="713" customFormat="1" ht="15" hidden="1" x14ac:dyDescent="0.2">
      <c r="A35" s="706" t="s">
        <v>766</v>
      </c>
      <c r="B35" s="698" t="s">
        <v>72</v>
      </c>
      <c r="C35" s="699">
        <v>104500</v>
      </c>
      <c r="D35" s="699">
        <v>104458</v>
      </c>
      <c r="E35" s="700">
        <v>500000</v>
      </c>
      <c r="F35" s="985">
        <v>5250</v>
      </c>
      <c r="G35" s="699"/>
      <c r="H35" s="699">
        <f t="shared" ref="H35:H57" si="0">ROUNDUP(G35/0.702804,0)</f>
        <v>0</v>
      </c>
      <c r="I35" s="698" t="s">
        <v>1158</v>
      </c>
    </row>
    <row r="36" spans="1:50" s="719" customFormat="1" hidden="1" x14ac:dyDescent="0.25">
      <c r="A36" s="717" t="s">
        <v>775</v>
      </c>
      <c r="B36" s="718" t="s">
        <v>75</v>
      </c>
      <c r="C36" s="699"/>
      <c r="D36" s="699"/>
      <c r="E36" s="699"/>
      <c r="F36" s="701"/>
      <c r="G36" s="699"/>
      <c r="H36" s="699">
        <f t="shared" si="0"/>
        <v>0</v>
      </c>
      <c r="I36" s="702"/>
      <c r="J36" s="703"/>
      <c r="K36" s="703"/>
      <c r="L36" s="703"/>
      <c r="M36" s="703"/>
      <c r="N36" s="703"/>
      <c r="O36" s="703"/>
      <c r="P36" s="703"/>
      <c r="Q36" s="703"/>
      <c r="R36" s="703"/>
      <c r="S36" s="703"/>
      <c r="T36" s="703"/>
      <c r="U36" s="703"/>
      <c r="V36" s="703"/>
      <c r="W36" s="703"/>
      <c r="X36" s="703"/>
      <c r="Y36" s="703"/>
      <c r="Z36" s="703"/>
      <c r="AA36" s="703"/>
      <c r="AB36" s="703"/>
      <c r="AC36" s="703"/>
      <c r="AD36" s="703"/>
      <c r="AE36" s="703"/>
      <c r="AF36" s="703"/>
      <c r="AG36" s="703"/>
      <c r="AH36" s="703"/>
      <c r="AI36" s="703"/>
      <c r="AJ36" s="703"/>
      <c r="AK36" s="703"/>
      <c r="AL36" s="703"/>
      <c r="AM36" s="703"/>
      <c r="AN36" s="703"/>
      <c r="AO36" s="703"/>
      <c r="AP36" s="703"/>
      <c r="AQ36" s="703"/>
      <c r="AR36" s="703"/>
      <c r="AS36" s="703"/>
      <c r="AT36" s="703"/>
      <c r="AU36" s="703"/>
      <c r="AV36" s="703"/>
      <c r="AW36" s="703"/>
      <c r="AX36" s="703"/>
    </row>
    <row r="37" spans="1:50" s="713" customFormat="1" ht="15" hidden="1" x14ac:dyDescent="0.2">
      <c r="A37" s="706" t="s">
        <v>777</v>
      </c>
      <c r="B37" s="712" t="s">
        <v>76</v>
      </c>
      <c r="C37" s="699">
        <v>100000</v>
      </c>
      <c r="D37" s="699">
        <v>99989</v>
      </c>
      <c r="E37" s="699">
        <v>100000</v>
      </c>
      <c r="F37" s="986">
        <v>2246</v>
      </c>
      <c r="G37" s="699">
        <v>100000</v>
      </c>
      <c r="H37" s="699">
        <f t="shared" si="0"/>
        <v>142288</v>
      </c>
      <c r="I37" s="702" t="s">
        <v>1169</v>
      </c>
    </row>
    <row r="38" spans="1:50" s="713" customFormat="1" ht="15" hidden="1" x14ac:dyDescent="0.2">
      <c r="A38" s="706" t="s">
        <v>822</v>
      </c>
      <c r="B38" s="698" t="s">
        <v>1170</v>
      </c>
      <c r="C38" s="699">
        <v>235403</v>
      </c>
      <c r="D38" s="699">
        <v>235403</v>
      </c>
      <c r="E38" s="700">
        <v>235000</v>
      </c>
      <c r="F38" s="986">
        <v>2246</v>
      </c>
      <c r="G38" s="699">
        <v>235000</v>
      </c>
      <c r="H38" s="699">
        <f t="shared" si="0"/>
        <v>334375</v>
      </c>
      <c r="I38" s="702" t="s">
        <v>1169</v>
      </c>
    </row>
    <row r="39" spans="1:50" s="713" customFormat="1" ht="15" hidden="1" x14ac:dyDescent="0.2">
      <c r="A39" s="706" t="s">
        <v>935</v>
      </c>
      <c r="B39" s="698" t="s">
        <v>81</v>
      </c>
      <c r="C39" s="699">
        <v>36262</v>
      </c>
      <c r="D39" s="699">
        <v>36262</v>
      </c>
      <c r="E39" s="700">
        <v>50000</v>
      </c>
      <c r="F39" s="986">
        <v>2246</v>
      </c>
      <c r="G39" s="699">
        <v>30000</v>
      </c>
      <c r="H39" s="699">
        <f t="shared" si="0"/>
        <v>42687</v>
      </c>
      <c r="I39" s="702" t="s">
        <v>1169</v>
      </c>
    </row>
    <row r="40" spans="1:50" s="719" customFormat="1" hidden="1" x14ac:dyDescent="0.25">
      <c r="A40" s="717" t="s">
        <v>939</v>
      </c>
      <c r="B40" s="718" t="s">
        <v>83</v>
      </c>
      <c r="C40" s="699"/>
      <c r="D40" s="699"/>
      <c r="E40" s="699"/>
      <c r="F40" s="701"/>
      <c r="G40" s="699"/>
      <c r="H40" s="699">
        <f t="shared" si="0"/>
        <v>0</v>
      </c>
      <c r="I40" s="702"/>
      <c r="J40" s="703"/>
      <c r="K40" s="703"/>
      <c r="L40" s="703"/>
      <c r="M40" s="703"/>
      <c r="N40" s="703"/>
      <c r="O40" s="703"/>
      <c r="P40" s="703"/>
      <c r="Q40" s="703"/>
      <c r="R40" s="703"/>
      <c r="S40" s="703"/>
      <c r="T40" s="703"/>
      <c r="U40" s="703"/>
      <c r="V40" s="703"/>
      <c r="W40" s="703"/>
      <c r="X40" s="703"/>
      <c r="Y40" s="703"/>
      <c r="Z40" s="703"/>
      <c r="AA40" s="703"/>
      <c r="AB40" s="703"/>
      <c r="AC40" s="703"/>
      <c r="AD40" s="703"/>
      <c r="AE40" s="703"/>
      <c r="AF40" s="703"/>
      <c r="AG40" s="703"/>
      <c r="AH40" s="703"/>
      <c r="AI40" s="703"/>
      <c r="AJ40" s="703"/>
      <c r="AK40" s="703"/>
      <c r="AL40" s="703"/>
      <c r="AM40" s="703"/>
      <c r="AN40" s="703"/>
      <c r="AO40" s="703"/>
      <c r="AP40" s="703"/>
      <c r="AQ40" s="703"/>
      <c r="AR40" s="703"/>
      <c r="AS40" s="703"/>
      <c r="AT40" s="703"/>
      <c r="AU40" s="703"/>
      <c r="AV40" s="703"/>
      <c r="AW40" s="703"/>
      <c r="AX40" s="703"/>
    </row>
    <row r="41" spans="1:50" s="713" customFormat="1" ht="15" hidden="1" x14ac:dyDescent="0.2">
      <c r="A41" s="706" t="s">
        <v>941</v>
      </c>
      <c r="B41" s="712" t="s">
        <v>1171</v>
      </c>
      <c r="C41" s="699">
        <v>25000</v>
      </c>
      <c r="D41" s="699">
        <v>25000</v>
      </c>
      <c r="E41" s="699">
        <v>25000</v>
      </c>
      <c r="F41" s="986">
        <v>2246</v>
      </c>
      <c r="G41" s="699">
        <v>25000</v>
      </c>
      <c r="H41" s="699">
        <f t="shared" si="0"/>
        <v>35572</v>
      </c>
      <c r="I41" s="702" t="s">
        <v>1169</v>
      </c>
    </row>
    <row r="42" spans="1:50" s="713" customFormat="1" ht="15" hidden="1" x14ac:dyDescent="0.2">
      <c r="A42" s="706" t="s">
        <v>943</v>
      </c>
      <c r="B42" s="712" t="s">
        <v>86</v>
      </c>
      <c r="C42" s="699">
        <v>42500</v>
      </c>
      <c r="D42" s="699">
        <v>42500</v>
      </c>
      <c r="E42" s="699">
        <v>45000</v>
      </c>
      <c r="F42" s="986">
        <v>2246</v>
      </c>
      <c r="G42" s="699">
        <v>45000</v>
      </c>
      <c r="H42" s="699">
        <f t="shared" si="0"/>
        <v>64030</v>
      </c>
      <c r="I42" s="702" t="s">
        <v>1169</v>
      </c>
    </row>
    <row r="43" spans="1:50" s="713" customFormat="1" ht="15" hidden="1" x14ac:dyDescent="0.2">
      <c r="A43" s="2110" t="s">
        <v>945</v>
      </c>
      <c r="B43" s="2103" t="s">
        <v>88</v>
      </c>
      <c r="C43" s="699">
        <v>300</v>
      </c>
      <c r="D43" s="699">
        <v>300</v>
      </c>
      <c r="E43" s="699">
        <v>500</v>
      </c>
      <c r="F43" s="986">
        <v>2246</v>
      </c>
      <c r="G43" s="699">
        <v>500</v>
      </c>
      <c r="H43" s="699">
        <f t="shared" si="0"/>
        <v>712</v>
      </c>
      <c r="I43" s="702" t="s">
        <v>1169</v>
      </c>
    </row>
    <row r="44" spans="1:50" s="713" customFormat="1" ht="15" hidden="1" x14ac:dyDescent="0.2">
      <c r="A44" s="2111"/>
      <c r="B44" s="2104"/>
      <c r="C44" s="699">
        <v>920</v>
      </c>
      <c r="D44" s="699">
        <v>920</v>
      </c>
      <c r="E44" s="699">
        <v>0</v>
      </c>
      <c r="F44" s="987">
        <v>5239</v>
      </c>
      <c r="G44" s="699"/>
      <c r="H44" s="699">
        <f t="shared" si="0"/>
        <v>0</v>
      </c>
      <c r="I44" s="702"/>
    </row>
    <row r="45" spans="1:50" s="713" customFormat="1" ht="25.5" hidden="1" x14ac:dyDescent="0.2">
      <c r="A45" s="706" t="s">
        <v>947</v>
      </c>
      <c r="B45" s="722" t="s">
        <v>91</v>
      </c>
      <c r="C45" s="699">
        <v>2727</v>
      </c>
      <c r="D45" s="699">
        <v>3647</v>
      </c>
      <c r="E45" s="699">
        <v>3000</v>
      </c>
      <c r="F45" s="987">
        <v>5239</v>
      </c>
      <c r="G45" s="699">
        <v>3000</v>
      </c>
      <c r="H45" s="699">
        <f t="shared" si="0"/>
        <v>4269</v>
      </c>
      <c r="I45" s="702" t="s">
        <v>1172</v>
      </c>
    </row>
    <row r="46" spans="1:50" s="713" customFormat="1" ht="86.25" hidden="1" customHeight="1" x14ac:dyDescent="0.2">
      <c r="A46" s="706" t="s">
        <v>1173</v>
      </c>
      <c r="B46" s="722" t="s">
        <v>96</v>
      </c>
      <c r="C46" s="699">
        <v>30276</v>
      </c>
      <c r="D46" s="699">
        <v>30267</v>
      </c>
      <c r="E46" s="700">
        <v>50000</v>
      </c>
      <c r="F46" s="988">
        <v>5240</v>
      </c>
      <c r="G46" s="699"/>
      <c r="H46" s="699">
        <f t="shared" si="0"/>
        <v>0</v>
      </c>
      <c r="I46" s="702" t="s">
        <v>1174</v>
      </c>
    </row>
    <row r="47" spans="1:50" s="707" customFormat="1" hidden="1" x14ac:dyDescent="0.25">
      <c r="A47" s="717" t="s">
        <v>949</v>
      </c>
      <c r="B47" s="718" t="s">
        <v>92</v>
      </c>
      <c r="C47" s="699">
        <v>20000</v>
      </c>
      <c r="D47" s="699">
        <v>20000</v>
      </c>
      <c r="E47" s="699">
        <v>20000</v>
      </c>
      <c r="F47" s="989">
        <v>2312</v>
      </c>
      <c r="G47" s="699">
        <v>20000</v>
      </c>
      <c r="H47" s="699">
        <f t="shared" si="0"/>
        <v>28458</v>
      </c>
      <c r="I47" s="702" t="s">
        <v>1169</v>
      </c>
      <c r="J47" s="713"/>
      <c r="K47" s="713"/>
      <c r="L47" s="713"/>
      <c r="M47" s="713"/>
      <c r="N47" s="713"/>
      <c r="O47" s="713"/>
      <c r="P47" s="713"/>
      <c r="Q47" s="713"/>
      <c r="R47" s="713"/>
      <c r="S47" s="713"/>
      <c r="T47" s="713"/>
      <c r="U47" s="713"/>
      <c r="V47" s="713"/>
      <c r="W47" s="713"/>
      <c r="X47" s="713"/>
      <c r="Y47" s="713"/>
      <c r="Z47" s="713"/>
      <c r="AA47" s="713"/>
      <c r="AB47" s="713"/>
      <c r="AC47" s="713"/>
      <c r="AD47" s="713"/>
      <c r="AE47" s="713"/>
      <c r="AF47" s="713"/>
      <c r="AG47" s="713"/>
      <c r="AH47" s="713"/>
      <c r="AI47" s="713"/>
      <c r="AJ47" s="713"/>
      <c r="AK47" s="713"/>
      <c r="AL47" s="713"/>
      <c r="AM47" s="713"/>
      <c r="AN47" s="713"/>
      <c r="AO47" s="713"/>
      <c r="AP47" s="713"/>
      <c r="AQ47" s="713"/>
      <c r="AR47" s="713"/>
      <c r="AS47" s="713"/>
      <c r="AT47" s="713"/>
      <c r="AU47" s="713"/>
      <c r="AV47" s="713"/>
      <c r="AW47" s="713"/>
      <c r="AX47" s="713"/>
    </row>
    <row r="48" spans="1:50" s="721" customFormat="1" ht="81.75" hidden="1" customHeight="1" x14ac:dyDescent="0.2">
      <c r="A48" s="706" t="s">
        <v>958</v>
      </c>
      <c r="B48" s="698" t="s">
        <v>1175</v>
      </c>
      <c r="C48" s="699">
        <v>10653</v>
      </c>
      <c r="D48" s="699">
        <v>4548</v>
      </c>
      <c r="E48" s="700">
        <v>4647</v>
      </c>
      <c r="F48" s="985">
        <v>5250</v>
      </c>
      <c r="G48" s="699">
        <v>4647</v>
      </c>
      <c r="H48" s="699">
        <f t="shared" si="0"/>
        <v>6613</v>
      </c>
      <c r="I48" s="711" t="s">
        <v>1176</v>
      </c>
    </row>
    <row r="49" spans="1:9" s="721" customFormat="1" ht="87.75" hidden="1" customHeight="1" x14ac:dyDescent="0.2">
      <c r="A49" s="706" t="s">
        <v>1055</v>
      </c>
      <c r="B49" s="698" t="s">
        <v>57</v>
      </c>
      <c r="C49" s="699">
        <v>0</v>
      </c>
      <c r="D49" s="699">
        <v>0</v>
      </c>
      <c r="E49" s="700">
        <v>3630</v>
      </c>
      <c r="F49" s="985">
        <v>5250</v>
      </c>
      <c r="G49" s="699"/>
      <c r="H49" s="699">
        <f t="shared" si="0"/>
        <v>0</v>
      </c>
      <c r="I49" s="711" t="s">
        <v>1177</v>
      </c>
    </row>
    <row r="50" spans="1:9" s="721" customFormat="1" ht="74.25" hidden="1" customHeight="1" x14ac:dyDescent="0.2">
      <c r="A50" s="706" t="s">
        <v>1178</v>
      </c>
      <c r="B50" s="698" t="s">
        <v>1179</v>
      </c>
      <c r="C50" s="699">
        <v>0</v>
      </c>
      <c r="D50" s="699">
        <v>0</v>
      </c>
      <c r="E50" s="699">
        <v>40000</v>
      </c>
      <c r="F50" s="988">
        <v>5240</v>
      </c>
      <c r="G50" s="699"/>
      <c r="H50" s="699">
        <f t="shared" si="0"/>
        <v>0</v>
      </c>
      <c r="I50" s="711" t="s">
        <v>1180</v>
      </c>
    </row>
    <row r="51" spans="1:9" s="721" customFormat="1" ht="33.75" hidden="1" customHeight="1" x14ac:dyDescent="0.2">
      <c r="A51" s="706" t="s">
        <v>1181</v>
      </c>
      <c r="B51" s="698" t="s">
        <v>1182</v>
      </c>
      <c r="C51" s="699">
        <v>0</v>
      </c>
      <c r="D51" s="699">
        <v>0</v>
      </c>
      <c r="E51" s="699">
        <v>48000</v>
      </c>
      <c r="F51" s="985">
        <v>5250</v>
      </c>
      <c r="G51" s="699"/>
      <c r="H51" s="699">
        <f t="shared" si="0"/>
        <v>0</v>
      </c>
      <c r="I51" s="711" t="s">
        <v>1158</v>
      </c>
    </row>
    <row r="52" spans="1:9" s="713" customFormat="1" ht="25.5" hidden="1" x14ac:dyDescent="0.2">
      <c r="A52" s="706" t="s">
        <v>1183</v>
      </c>
      <c r="B52" s="698" t="s">
        <v>60</v>
      </c>
      <c r="C52" s="699">
        <v>28405</v>
      </c>
      <c r="D52" s="699">
        <v>28405</v>
      </c>
      <c r="E52" s="700">
        <v>50000</v>
      </c>
      <c r="F52" s="988">
        <v>5240</v>
      </c>
      <c r="G52" s="699">
        <v>20000</v>
      </c>
      <c r="H52" s="699">
        <f t="shared" si="0"/>
        <v>28458</v>
      </c>
      <c r="I52" s="702" t="s">
        <v>1153</v>
      </c>
    </row>
    <row r="53" spans="1:9" s="713" customFormat="1" ht="25.5" hidden="1" x14ac:dyDescent="0.2">
      <c r="A53" s="706" t="s">
        <v>1184</v>
      </c>
      <c r="B53" s="698" t="s">
        <v>64</v>
      </c>
      <c r="C53" s="699">
        <v>38544</v>
      </c>
      <c r="D53" s="699">
        <v>38544</v>
      </c>
      <c r="E53" s="700">
        <v>60000</v>
      </c>
      <c r="F53" s="988">
        <v>5240</v>
      </c>
      <c r="G53" s="699"/>
      <c r="H53" s="699">
        <f t="shared" si="0"/>
        <v>0</v>
      </c>
      <c r="I53" s="702" t="s">
        <v>1153</v>
      </c>
    </row>
    <row r="54" spans="1:9" s="713" customFormat="1" ht="25.5" hidden="1" x14ac:dyDescent="0.2">
      <c r="A54" s="706" t="s">
        <v>1185</v>
      </c>
      <c r="B54" s="698" t="s">
        <v>1186</v>
      </c>
      <c r="C54" s="699">
        <v>0</v>
      </c>
      <c r="D54" s="699">
        <v>0</v>
      </c>
      <c r="E54" s="700">
        <v>10000</v>
      </c>
      <c r="F54" s="985">
        <v>5250</v>
      </c>
      <c r="G54" s="699"/>
      <c r="H54" s="699">
        <f t="shared" si="0"/>
        <v>0</v>
      </c>
      <c r="I54" s="702" t="s">
        <v>1187</v>
      </c>
    </row>
    <row r="55" spans="1:9" s="713" customFormat="1" ht="25.5" hidden="1" x14ac:dyDescent="0.2">
      <c r="A55" s="706" t="s">
        <v>1188</v>
      </c>
      <c r="B55" s="698" t="s">
        <v>1189</v>
      </c>
      <c r="C55" s="699">
        <v>0</v>
      </c>
      <c r="D55" s="699">
        <v>0</v>
      </c>
      <c r="E55" s="700">
        <v>10000</v>
      </c>
      <c r="F55" s="985">
        <v>5250</v>
      </c>
      <c r="G55" s="699"/>
      <c r="H55" s="699">
        <f t="shared" si="0"/>
        <v>0</v>
      </c>
      <c r="I55" s="702" t="s">
        <v>1187</v>
      </c>
    </row>
    <row r="56" spans="1:9" s="713" customFormat="1" ht="15" hidden="1" x14ac:dyDescent="0.2">
      <c r="A56" s="706" t="s">
        <v>1190</v>
      </c>
      <c r="B56" s="698" t="s">
        <v>59</v>
      </c>
      <c r="C56" s="699">
        <v>190000</v>
      </c>
      <c r="D56" s="699">
        <v>190000</v>
      </c>
      <c r="E56" s="699">
        <v>0</v>
      </c>
      <c r="F56" s="985">
        <v>5250</v>
      </c>
      <c r="G56" s="699"/>
      <c r="H56" s="699">
        <f t="shared" si="0"/>
        <v>0</v>
      </c>
      <c r="I56" s="702"/>
    </row>
    <row r="57" spans="1:9" s="721" customFormat="1" ht="29.25" hidden="1" customHeight="1" x14ac:dyDescent="0.2">
      <c r="A57" s="706" t="s">
        <v>1191</v>
      </c>
      <c r="B57" s="698" t="s">
        <v>1192</v>
      </c>
      <c r="C57" s="699">
        <v>3500</v>
      </c>
      <c r="D57" s="699">
        <v>3470</v>
      </c>
      <c r="E57" s="699">
        <v>0</v>
      </c>
      <c r="F57" s="990">
        <v>5269</v>
      </c>
      <c r="G57" s="699"/>
      <c r="H57" s="699">
        <f t="shared" si="0"/>
        <v>0</v>
      </c>
      <c r="I57" s="711"/>
    </row>
    <row r="58" spans="1:9" s="703" customFormat="1" ht="15" hidden="1" x14ac:dyDescent="0.2">
      <c r="A58" s="704"/>
      <c r="B58" s="704"/>
      <c r="C58" s="708"/>
      <c r="D58" s="708"/>
      <c r="E58" s="708"/>
      <c r="F58" s="708"/>
      <c r="G58" s="709"/>
      <c r="H58" s="709"/>
      <c r="I58" s="710"/>
    </row>
    <row r="59" spans="1:9" x14ac:dyDescent="0.25">
      <c r="A59" s="692" t="s">
        <v>115</v>
      </c>
      <c r="B59" s="692"/>
      <c r="C59" s="2109" t="s">
        <v>1193</v>
      </c>
      <c r="D59" s="2109"/>
      <c r="E59" s="2109"/>
      <c r="F59" s="2109"/>
      <c r="G59" s="2109"/>
      <c r="H59" s="2109"/>
      <c r="I59" s="2109"/>
    </row>
    <row r="60" spans="1:9" x14ac:dyDescent="0.25">
      <c r="A60" s="692" t="s">
        <v>117</v>
      </c>
      <c r="B60" s="692"/>
      <c r="C60" s="2053" t="s">
        <v>544</v>
      </c>
      <c r="D60" s="2053"/>
      <c r="E60" s="2053"/>
      <c r="F60" s="2053"/>
      <c r="G60" s="2053"/>
      <c r="H60" s="2053"/>
      <c r="I60" s="2053"/>
    </row>
    <row r="61" spans="1:9" x14ac:dyDescent="0.25">
      <c r="A61" s="1989" t="s">
        <v>47</v>
      </c>
      <c r="B61" s="1989" t="s">
        <v>119</v>
      </c>
      <c r="C61" s="2105" t="s">
        <v>120</v>
      </c>
      <c r="D61" s="1989" t="s">
        <v>121</v>
      </c>
      <c r="E61" s="1989" t="s">
        <v>122</v>
      </c>
      <c r="F61" s="693"/>
      <c r="G61" s="525"/>
      <c r="H61" s="525"/>
      <c r="I61" s="1989" t="s">
        <v>126</v>
      </c>
    </row>
    <row r="62" spans="1:9" ht="38.25" x14ac:dyDescent="0.25">
      <c r="A62" s="1989"/>
      <c r="B62" s="1989"/>
      <c r="C62" s="2105"/>
      <c r="D62" s="1989"/>
      <c r="E62" s="1989"/>
      <c r="F62" s="694" t="s">
        <v>129</v>
      </c>
      <c r="G62" s="526" t="s">
        <v>124</v>
      </c>
      <c r="H62" s="1797" t="s">
        <v>2165</v>
      </c>
      <c r="I62" s="1989"/>
    </row>
    <row r="63" spans="1:9" x14ac:dyDescent="0.25">
      <c r="A63" s="1980" t="s">
        <v>2182</v>
      </c>
      <c r="B63" s="1981"/>
      <c r="C63" s="695">
        <f>SUM(C64:C74)</f>
        <v>958767</v>
      </c>
      <c r="D63" s="696">
        <f>SUM(D64:D74)</f>
        <v>846266</v>
      </c>
      <c r="E63" s="696">
        <f>SUM(E64:E74)</f>
        <v>2261264</v>
      </c>
      <c r="F63" s="695"/>
      <c r="G63" s="696">
        <f>SUM(G64:G74)</f>
        <v>1642064</v>
      </c>
      <c r="H63" s="696">
        <f>SUM(H64:H74)</f>
        <v>2336451</v>
      </c>
      <c r="I63" s="528"/>
    </row>
    <row r="64" spans="1:9" s="713" customFormat="1" ht="38.25" x14ac:dyDescent="0.2">
      <c r="A64" s="706" t="s">
        <v>763</v>
      </c>
      <c r="B64" s="712" t="s">
        <v>1194</v>
      </c>
      <c r="C64" s="699">
        <v>202000</v>
      </c>
      <c r="D64" s="723">
        <v>202000</v>
      </c>
      <c r="E64" s="1686">
        <v>300000</v>
      </c>
      <c r="F64" s="701">
        <v>5240</v>
      </c>
      <c r="G64" s="723">
        <v>10000</v>
      </c>
      <c r="H64" s="1062">
        <f t="shared" ref="H64:H74" si="1">ROUNDUP(G64/0.702804,0)</f>
        <v>14229</v>
      </c>
      <c r="I64" s="711" t="s">
        <v>1195</v>
      </c>
    </row>
    <row r="65" spans="1:50" s="713" customFormat="1" ht="183.75" customHeight="1" x14ac:dyDescent="0.2">
      <c r="A65" s="2110" t="s">
        <v>775</v>
      </c>
      <c r="B65" s="2103" t="s">
        <v>1196</v>
      </c>
      <c r="C65" s="724">
        <v>129800</v>
      </c>
      <c r="D65" s="724">
        <v>106314</v>
      </c>
      <c r="E65" s="724">
        <v>176995</v>
      </c>
      <c r="F65" s="725">
        <v>5240</v>
      </c>
      <c r="G65" s="875">
        <v>176995</v>
      </c>
      <c r="H65" s="1062">
        <f t="shared" si="1"/>
        <v>251842</v>
      </c>
      <c r="I65" s="711" t="s">
        <v>1197</v>
      </c>
    </row>
    <row r="66" spans="1:50" s="713" customFormat="1" ht="152.25" customHeight="1" x14ac:dyDescent="0.2">
      <c r="A66" s="2111"/>
      <c r="B66" s="2104"/>
      <c r="C66" s="724">
        <v>370567</v>
      </c>
      <c r="D66" s="724">
        <v>282370</v>
      </c>
      <c r="E66" s="724">
        <v>1335069</v>
      </c>
      <c r="F66" s="725">
        <v>5250</v>
      </c>
      <c r="G66" s="875">
        <v>1335069</v>
      </c>
      <c r="H66" s="1062">
        <f t="shared" si="1"/>
        <v>1899633</v>
      </c>
      <c r="I66" s="711" t="s">
        <v>1198</v>
      </c>
    </row>
    <row r="67" spans="1:50" s="707" customFormat="1" x14ac:dyDescent="0.25">
      <c r="A67" s="2110" t="s">
        <v>939</v>
      </c>
      <c r="B67" s="2103" t="s">
        <v>1199</v>
      </c>
      <c r="C67" s="699">
        <v>148262</v>
      </c>
      <c r="D67" s="699">
        <v>148262</v>
      </c>
      <c r="E67" s="699">
        <v>148000</v>
      </c>
      <c r="F67" s="701">
        <v>5250</v>
      </c>
      <c r="G67" s="699">
        <v>50000</v>
      </c>
      <c r="H67" s="1062">
        <f t="shared" si="1"/>
        <v>71144</v>
      </c>
      <c r="I67" s="711" t="s">
        <v>1158</v>
      </c>
      <c r="J67" s="713"/>
      <c r="K67" s="713"/>
      <c r="L67" s="713"/>
      <c r="M67" s="713"/>
      <c r="N67" s="713"/>
      <c r="O67" s="713"/>
      <c r="P67" s="713"/>
      <c r="Q67" s="713"/>
      <c r="R67" s="713"/>
      <c r="S67" s="713"/>
      <c r="T67" s="713"/>
      <c r="U67" s="713"/>
      <c r="V67" s="713"/>
      <c r="W67" s="713"/>
      <c r="X67" s="713"/>
      <c r="Y67" s="713"/>
      <c r="Z67" s="713"/>
      <c r="AA67" s="713"/>
      <c r="AB67" s="713"/>
      <c r="AC67" s="713"/>
      <c r="AD67" s="713"/>
      <c r="AE67" s="713"/>
      <c r="AF67" s="713"/>
      <c r="AG67" s="713"/>
      <c r="AH67" s="713"/>
      <c r="AI67" s="713"/>
      <c r="AJ67" s="713"/>
      <c r="AK67" s="713"/>
      <c r="AL67" s="713"/>
      <c r="AM67" s="713"/>
      <c r="AN67" s="713"/>
      <c r="AO67" s="713"/>
      <c r="AP67" s="713"/>
      <c r="AQ67" s="713"/>
      <c r="AR67" s="713"/>
      <c r="AS67" s="713"/>
      <c r="AT67" s="713"/>
      <c r="AU67" s="713"/>
      <c r="AV67" s="713"/>
      <c r="AW67" s="713"/>
      <c r="AX67" s="713"/>
    </row>
    <row r="68" spans="1:50" s="707" customFormat="1" x14ac:dyDescent="0.25">
      <c r="A68" s="2111"/>
      <c r="B68" s="2104"/>
      <c r="C68" s="699">
        <v>1738</v>
      </c>
      <c r="D68" s="699">
        <v>1738</v>
      </c>
      <c r="E68" s="699">
        <v>2000</v>
      </c>
      <c r="F68" s="701">
        <v>2241</v>
      </c>
      <c r="G68" s="699"/>
      <c r="H68" s="1062">
        <f t="shared" si="1"/>
        <v>0</v>
      </c>
      <c r="I68" s="711" t="s">
        <v>1169</v>
      </c>
      <c r="J68" s="713"/>
      <c r="K68" s="713"/>
      <c r="L68" s="713"/>
      <c r="M68" s="713"/>
      <c r="N68" s="713"/>
      <c r="O68" s="713"/>
      <c r="P68" s="713"/>
      <c r="Q68" s="713"/>
      <c r="R68" s="713"/>
      <c r="S68" s="713"/>
      <c r="T68" s="713"/>
      <c r="U68" s="713"/>
      <c r="V68" s="713"/>
      <c r="W68" s="713"/>
      <c r="X68" s="713"/>
      <c r="Y68" s="713"/>
      <c r="Z68" s="713"/>
      <c r="AA68" s="713"/>
      <c r="AB68" s="713"/>
      <c r="AC68" s="713"/>
      <c r="AD68" s="713"/>
      <c r="AE68" s="713"/>
      <c r="AF68" s="713"/>
      <c r="AG68" s="713"/>
      <c r="AH68" s="713"/>
      <c r="AI68" s="713"/>
      <c r="AJ68" s="713"/>
      <c r="AK68" s="713"/>
      <c r="AL68" s="713"/>
      <c r="AM68" s="713"/>
      <c r="AN68" s="713"/>
      <c r="AO68" s="713"/>
      <c r="AP68" s="713"/>
      <c r="AQ68" s="713"/>
      <c r="AR68" s="713"/>
      <c r="AS68" s="713"/>
      <c r="AT68" s="713"/>
      <c r="AU68" s="713"/>
      <c r="AV68" s="713"/>
      <c r="AW68" s="713"/>
      <c r="AX68" s="713"/>
    </row>
    <row r="69" spans="1:50" s="707" customFormat="1" x14ac:dyDescent="0.25">
      <c r="A69" s="706" t="s">
        <v>949</v>
      </c>
      <c r="B69" s="726" t="s">
        <v>1200</v>
      </c>
      <c r="C69" s="699">
        <v>61900</v>
      </c>
      <c r="D69" s="699">
        <v>61900</v>
      </c>
      <c r="E69" s="699">
        <v>20000</v>
      </c>
      <c r="F69" s="701">
        <v>2241</v>
      </c>
      <c r="G69" s="699">
        <v>20000</v>
      </c>
      <c r="H69" s="1062">
        <f t="shared" si="1"/>
        <v>28458</v>
      </c>
      <c r="I69" s="711" t="s">
        <v>1169</v>
      </c>
      <c r="J69" s="713"/>
      <c r="K69" s="713"/>
      <c r="L69" s="713"/>
      <c r="M69" s="713"/>
      <c r="N69" s="713"/>
      <c r="O69" s="713"/>
      <c r="P69" s="713"/>
      <c r="Q69" s="713"/>
      <c r="R69" s="713"/>
      <c r="S69" s="713"/>
      <c r="T69" s="713"/>
      <c r="U69" s="713"/>
      <c r="V69" s="713"/>
      <c r="W69" s="713"/>
      <c r="X69" s="713"/>
      <c r="Y69" s="713"/>
      <c r="Z69" s="713"/>
      <c r="AA69" s="713"/>
      <c r="AB69" s="713"/>
      <c r="AC69" s="713"/>
      <c r="AD69" s="713"/>
      <c r="AE69" s="713"/>
      <c r="AF69" s="713"/>
      <c r="AG69" s="713"/>
      <c r="AH69" s="713"/>
      <c r="AI69" s="713"/>
      <c r="AJ69" s="713"/>
      <c r="AK69" s="713"/>
      <c r="AL69" s="713"/>
      <c r="AM69" s="713"/>
      <c r="AN69" s="713"/>
      <c r="AO69" s="713"/>
      <c r="AP69" s="713"/>
      <c r="AQ69" s="713"/>
      <c r="AR69" s="713"/>
      <c r="AS69" s="713"/>
      <c r="AT69" s="713"/>
      <c r="AU69" s="713"/>
      <c r="AV69" s="713"/>
      <c r="AW69" s="713"/>
      <c r="AX69" s="713"/>
    </row>
    <row r="70" spans="1:50" s="707" customFormat="1" x14ac:dyDescent="0.25">
      <c r="A70" s="706" t="s">
        <v>958</v>
      </c>
      <c r="B70" s="727" t="s">
        <v>1951</v>
      </c>
      <c r="C70" s="724">
        <v>10000</v>
      </c>
      <c r="D70" s="724">
        <v>9912</v>
      </c>
      <c r="E70" s="724">
        <v>10000</v>
      </c>
      <c r="F70" s="725">
        <v>2249</v>
      </c>
      <c r="G70" s="724">
        <v>10000</v>
      </c>
      <c r="H70" s="1062">
        <f t="shared" si="1"/>
        <v>14229</v>
      </c>
      <c r="I70" s="711" t="s">
        <v>1952</v>
      </c>
      <c r="J70" s="713"/>
      <c r="K70" s="713"/>
      <c r="L70" s="713"/>
      <c r="M70" s="713"/>
      <c r="N70" s="713"/>
      <c r="O70" s="713"/>
      <c r="P70" s="713"/>
      <c r="Q70" s="713"/>
      <c r="R70" s="713"/>
      <c r="S70" s="713"/>
      <c r="T70" s="713"/>
      <c r="U70" s="713"/>
      <c r="V70" s="713"/>
      <c r="W70" s="713"/>
      <c r="X70" s="713"/>
      <c r="Y70" s="713"/>
      <c r="Z70" s="713"/>
      <c r="AA70" s="713"/>
      <c r="AB70" s="713"/>
      <c r="AC70" s="713"/>
      <c r="AD70" s="713"/>
      <c r="AE70" s="713"/>
      <c r="AF70" s="713"/>
      <c r="AG70" s="713"/>
      <c r="AH70" s="713"/>
      <c r="AI70" s="713"/>
      <c r="AJ70" s="713"/>
      <c r="AK70" s="713"/>
      <c r="AL70" s="713"/>
      <c r="AM70" s="713"/>
      <c r="AN70" s="713"/>
      <c r="AO70" s="713"/>
      <c r="AP70" s="713"/>
      <c r="AQ70" s="713"/>
      <c r="AR70" s="713"/>
      <c r="AS70" s="713"/>
      <c r="AT70" s="713"/>
      <c r="AU70" s="713"/>
      <c r="AV70" s="713"/>
      <c r="AW70" s="713"/>
      <c r="AX70" s="713"/>
    </row>
    <row r="71" spans="1:50" s="707" customFormat="1" ht="56.25" customHeight="1" x14ac:dyDescent="0.25">
      <c r="A71" s="728" t="s">
        <v>1055</v>
      </c>
      <c r="B71" s="698" t="s">
        <v>1201</v>
      </c>
      <c r="C71" s="724">
        <v>32000</v>
      </c>
      <c r="D71" s="724">
        <v>31996</v>
      </c>
      <c r="E71" s="724">
        <v>180000</v>
      </c>
      <c r="F71" s="725">
        <v>5240</v>
      </c>
      <c r="G71" s="724">
        <v>20000</v>
      </c>
      <c r="H71" s="1062">
        <f t="shared" si="1"/>
        <v>28458</v>
      </c>
      <c r="I71" s="720" t="s">
        <v>1202</v>
      </c>
      <c r="J71" s="713"/>
      <c r="K71" s="713"/>
      <c r="L71" s="713"/>
      <c r="M71" s="713"/>
      <c r="N71" s="713"/>
      <c r="O71" s="713"/>
      <c r="P71" s="713"/>
      <c r="Q71" s="713"/>
      <c r="R71" s="713"/>
      <c r="S71" s="713"/>
      <c r="T71" s="713"/>
      <c r="U71" s="713"/>
      <c r="V71" s="713"/>
      <c r="W71" s="713"/>
      <c r="X71" s="713"/>
      <c r="Y71" s="713"/>
      <c r="Z71" s="713"/>
      <c r="AA71" s="713"/>
      <c r="AB71" s="713"/>
      <c r="AC71" s="713"/>
      <c r="AD71" s="713"/>
      <c r="AE71" s="713"/>
      <c r="AF71" s="713"/>
      <c r="AG71" s="713"/>
      <c r="AH71" s="713"/>
      <c r="AI71" s="713"/>
      <c r="AJ71" s="713"/>
      <c r="AK71" s="713"/>
      <c r="AL71" s="713"/>
      <c r="AM71" s="713"/>
      <c r="AN71" s="713"/>
      <c r="AO71" s="713"/>
      <c r="AP71" s="713"/>
      <c r="AQ71" s="713"/>
      <c r="AR71" s="713"/>
      <c r="AS71" s="713"/>
      <c r="AT71" s="713"/>
      <c r="AU71" s="713"/>
      <c r="AV71" s="713"/>
      <c r="AW71" s="713"/>
      <c r="AX71" s="713"/>
    </row>
    <row r="72" spans="1:50" s="713" customFormat="1" ht="25.5" x14ac:dyDescent="0.2">
      <c r="A72" s="706" t="s">
        <v>1178</v>
      </c>
      <c r="B72" s="698" t="s">
        <v>1203</v>
      </c>
      <c r="C72" s="699">
        <v>2500</v>
      </c>
      <c r="D72" s="699">
        <v>1774</v>
      </c>
      <c r="E72" s="699">
        <v>0</v>
      </c>
      <c r="F72" s="701">
        <v>5240</v>
      </c>
      <c r="G72" s="877"/>
      <c r="H72" s="1062">
        <f t="shared" si="1"/>
        <v>0</v>
      </c>
      <c r="I72" s="711"/>
    </row>
    <row r="73" spans="1:50" s="703" customFormat="1" ht="15" x14ac:dyDescent="0.2">
      <c r="A73" s="693">
        <v>8</v>
      </c>
      <c r="B73" s="711" t="s">
        <v>1940</v>
      </c>
      <c r="C73" s="1681"/>
      <c r="D73" s="1681"/>
      <c r="E73" s="1681">
        <v>40000</v>
      </c>
      <c r="F73" s="1682">
        <v>5250</v>
      </c>
      <c r="G73" s="699"/>
      <c r="H73" s="1062">
        <f t="shared" si="1"/>
        <v>0</v>
      </c>
      <c r="I73" s="702"/>
    </row>
    <row r="74" spans="1:50" s="703" customFormat="1" ht="15" x14ac:dyDescent="0.2">
      <c r="A74" s="693">
        <v>9</v>
      </c>
      <c r="B74" s="711" t="s">
        <v>1941</v>
      </c>
      <c r="C74" s="1681"/>
      <c r="D74" s="1681"/>
      <c r="E74" s="1681">
        <v>49200</v>
      </c>
      <c r="F74" s="1682">
        <v>5240</v>
      </c>
      <c r="G74" s="699">
        <v>20000</v>
      </c>
      <c r="H74" s="1062">
        <f t="shared" si="1"/>
        <v>28458</v>
      </c>
      <c r="I74" s="702"/>
    </row>
    <row r="75" spans="1:50" x14ac:dyDescent="0.25">
      <c r="A75" s="692" t="s">
        <v>115</v>
      </c>
      <c r="B75" s="692"/>
      <c r="C75" s="2109" t="s">
        <v>1204</v>
      </c>
      <c r="D75" s="2109"/>
      <c r="E75" s="2109"/>
      <c r="F75" s="2109"/>
      <c r="G75" s="2109"/>
      <c r="H75" s="2109"/>
      <c r="I75" s="2109"/>
    </row>
    <row r="76" spans="1:50" x14ac:dyDescent="0.25">
      <c r="A76" s="692" t="s">
        <v>117</v>
      </c>
      <c r="B76" s="692"/>
      <c r="C76" s="2053" t="s">
        <v>1205</v>
      </c>
      <c r="D76" s="2053"/>
      <c r="E76" s="2053"/>
      <c r="F76" s="2053"/>
      <c r="G76" s="2053"/>
      <c r="H76" s="2053"/>
      <c r="I76" s="2053"/>
    </row>
    <row r="77" spans="1:50" ht="63.75" customHeight="1" x14ac:dyDescent="0.25">
      <c r="A77" s="1989" t="s">
        <v>47</v>
      </c>
      <c r="B77" s="1989" t="s">
        <v>119</v>
      </c>
      <c r="C77" s="2105" t="s">
        <v>120</v>
      </c>
      <c r="D77" s="1989" t="s">
        <v>121</v>
      </c>
      <c r="E77" s="1989" t="s">
        <v>122</v>
      </c>
      <c r="F77" s="693"/>
      <c r="G77" s="525" t="s">
        <v>189</v>
      </c>
      <c r="H77" s="525"/>
      <c r="I77" s="1989" t="s">
        <v>126</v>
      </c>
    </row>
    <row r="78" spans="1:50" ht="38.25" x14ac:dyDescent="0.25">
      <c r="A78" s="1989"/>
      <c r="B78" s="1989"/>
      <c r="C78" s="2105"/>
      <c r="D78" s="1989"/>
      <c r="E78" s="1989"/>
      <c r="F78" s="694" t="s">
        <v>129</v>
      </c>
      <c r="G78" s="526" t="s">
        <v>124</v>
      </c>
      <c r="H78" s="1797" t="s">
        <v>2165</v>
      </c>
      <c r="I78" s="1989"/>
    </row>
    <row r="79" spans="1:50" x14ac:dyDescent="0.25">
      <c r="A79" s="1980" t="s">
        <v>2182</v>
      </c>
      <c r="B79" s="1981"/>
      <c r="C79" s="695">
        <f>SUM(C80:C87)</f>
        <v>74780</v>
      </c>
      <c r="D79" s="696">
        <f>SUM(D80:D87)</f>
        <v>74761</v>
      </c>
      <c r="E79" s="696">
        <f>SUM(E80:E87)</f>
        <v>596000</v>
      </c>
      <c r="F79" s="695"/>
      <c r="G79" s="696">
        <f>SUM(G80:G87)</f>
        <v>60000</v>
      </c>
      <c r="H79" s="696">
        <f>SUM(H80:H87)</f>
        <v>85373</v>
      </c>
      <c r="I79" s="528"/>
    </row>
    <row r="80" spans="1:50" s="721" customFormat="1" ht="15" x14ac:dyDescent="0.2">
      <c r="A80" s="2110" t="s">
        <v>763</v>
      </c>
      <c r="B80" s="2103" t="s">
        <v>1206</v>
      </c>
      <c r="C80" s="699">
        <v>4636</v>
      </c>
      <c r="D80" s="699">
        <v>4636</v>
      </c>
      <c r="E80" s="699">
        <v>0</v>
      </c>
      <c r="F80" s="701">
        <v>5239</v>
      </c>
      <c r="G80" s="699"/>
      <c r="H80" s="699">
        <f t="shared" ref="H80:H87" si="2">ROUNDUP(G80/0.702804,0)</f>
        <v>0</v>
      </c>
      <c r="I80" s="720"/>
    </row>
    <row r="81" spans="1:50" s="721" customFormat="1" ht="15" x14ac:dyDescent="0.2">
      <c r="A81" s="2112"/>
      <c r="B81" s="2113"/>
      <c r="C81" s="699">
        <v>35000</v>
      </c>
      <c r="D81" s="699">
        <v>34981</v>
      </c>
      <c r="E81" s="699">
        <v>0</v>
      </c>
      <c r="F81" s="701">
        <v>5240</v>
      </c>
      <c r="G81" s="699"/>
      <c r="H81" s="699">
        <f t="shared" si="2"/>
        <v>0</v>
      </c>
      <c r="I81" s="720"/>
    </row>
    <row r="82" spans="1:50" s="721" customFormat="1" ht="25.5" x14ac:dyDescent="0.2">
      <c r="A82" s="2112"/>
      <c r="B82" s="2113"/>
      <c r="C82" s="699">
        <v>8967</v>
      </c>
      <c r="D82" s="699">
        <v>8967</v>
      </c>
      <c r="E82" s="699">
        <v>50000</v>
      </c>
      <c r="F82" s="701">
        <v>2244</v>
      </c>
      <c r="G82" s="699">
        <v>50000</v>
      </c>
      <c r="H82" s="699">
        <f t="shared" si="2"/>
        <v>71144</v>
      </c>
      <c r="I82" s="720" t="s">
        <v>1937</v>
      </c>
    </row>
    <row r="83" spans="1:50" s="721" customFormat="1" ht="15" x14ac:dyDescent="0.2">
      <c r="A83" s="2111"/>
      <c r="B83" s="2104"/>
      <c r="C83" s="699">
        <v>24190</v>
      </c>
      <c r="D83" s="699">
        <v>24190</v>
      </c>
      <c r="E83" s="699">
        <v>0</v>
      </c>
      <c r="F83" s="701">
        <v>5250</v>
      </c>
      <c r="G83" s="699"/>
      <c r="H83" s="699">
        <f t="shared" si="2"/>
        <v>0</v>
      </c>
      <c r="I83" s="720"/>
    </row>
    <row r="84" spans="1:50" s="721" customFormat="1" ht="41.25" customHeight="1" x14ac:dyDescent="0.2">
      <c r="A84" s="729" t="s">
        <v>775</v>
      </c>
      <c r="B84" s="730" t="s">
        <v>1207</v>
      </c>
      <c r="C84" s="699">
        <v>0</v>
      </c>
      <c r="D84" s="699">
        <v>0</v>
      </c>
      <c r="E84" s="699">
        <v>200000</v>
      </c>
      <c r="F84" s="701">
        <v>5240</v>
      </c>
      <c r="G84" s="699"/>
      <c r="H84" s="699">
        <f t="shared" si="2"/>
        <v>0</v>
      </c>
      <c r="I84" s="720" t="s">
        <v>1208</v>
      </c>
    </row>
    <row r="85" spans="1:50" s="721" customFormat="1" ht="31.5" customHeight="1" x14ac:dyDescent="0.2">
      <c r="A85" s="729" t="s">
        <v>939</v>
      </c>
      <c r="B85" s="730" t="s">
        <v>1209</v>
      </c>
      <c r="C85" s="699">
        <v>1987</v>
      </c>
      <c r="D85" s="699">
        <v>1987</v>
      </c>
      <c r="E85" s="699">
        <v>136000</v>
      </c>
      <c r="F85" s="701">
        <v>5250</v>
      </c>
      <c r="G85" s="699"/>
      <c r="H85" s="699">
        <f t="shared" si="2"/>
        <v>0</v>
      </c>
      <c r="I85" s="720" t="s">
        <v>1210</v>
      </c>
    </row>
    <row r="86" spans="1:50" s="731" customFormat="1" ht="31.5" customHeight="1" x14ac:dyDescent="0.25">
      <c r="A86" s="706" t="s">
        <v>949</v>
      </c>
      <c r="B86" s="698" t="s">
        <v>1211</v>
      </c>
      <c r="C86" s="699">
        <v>0</v>
      </c>
      <c r="D86" s="699">
        <v>0</v>
      </c>
      <c r="E86" s="699">
        <v>200000</v>
      </c>
      <c r="F86" s="701">
        <v>5250</v>
      </c>
      <c r="G86" s="699"/>
      <c r="H86" s="699">
        <f t="shared" si="2"/>
        <v>0</v>
      </c>
      <c r="I86" s="720" t="s">
        <v>1212</v>
      </c>
      <c r="J86" s="721"/>
      <c r="K86" s="721"/>
      <c r="L86" s="721"/>
      <c r="M86" s="721"/>
      <c r="N86" s="721"/>
      <c r="O86" s="721"/>
      <c r="P86" s="721"/>
      <c r="Q86" s="721"/>
      <c r="R86" s="721"/>
      <c r="S86" s="721"/>
      <c r="T86" s="721"/>
      <c r="U86" s="721"/>
      <c r="V86" s="721"/>
      <c r="W86" s="721"/>
      <c r="X86" s="721"/>
      <c r="Y86" s="721"/>
      <c r="Z86" s="721"/>
      <c r="AA86" s="721"/>
      <c r="AB86" s="721"/>
      <c r="AC86" s="721"/>
      <c r="AD86" s="721"/>
      <c r="AE86" s="721"/>
      <c r="AF86" s="721"/>
      <c r="AG86" s="721"/>
      <c r="AH86" s="721"/>
      <c r="AI86" s="721"/>
      <c r="AJ86" s="721"/>
      <c r="AK86" s="721"/>
      <c r="AL86" s="721"/>
      <c r="AM86" s="721"/>
      <c r="AN86" s="721"/>
      <c r="AO86" s="721"/>
      <c r="AP86" s="721"/>
      <c r="AQ86" s="721"/>
      <c r="AR86" s="721"/>
      <c r="AS86" s="721"/>
      <c r="AT86" s="721"/>
      <c r="AU86" s="721"/>
      <c r="AV86" s="721"/>
      <c r="AW86" s="721"/>
      <c r="AX86" s="721"/>
    </row>
    <row r="87" spans="1:50" s="703" customFormat="1" ht="15" x14ac:dyDescent="0.2">
      <c r="A87" s="693">
        <v>5</v>
      </c>
      <c r="B87" s="711" t="s">
        <v>1953</v>
      </c>
      <c r="C87" s="1681"/>
      <c r="D87" s="1681"/>
      <c r="E87" s="1681">
        <v>10000</v>
      </c>
      <c r="F87" s="1682">
        <v>5250</v>
      </c>
      <c r="G87" s="699">
        <v>10000</v>
      </c>
      <c r="H87" s="699">
        <f t="shared" si="2"/>
        <v>14229</v>
      </c>
      <c r="I87" s="702"/>
    </row>
    <row r="88" spans="1:50" x14ac:dyDescent="0.25">
      <c r="A88" s="692" t="s">
        <v>115</v>
      </c>
      <c r="B88" s="692"/>
      <c r="C88" s="2109" t="s">
        <v>1213</v>
      </c>
      <c r="D88" s="2109"/>
      <c r="E88" s="2109"/>
      <c r="F88" s="2109"/>
      <c r="G88" s="2109"/>
      <c r="H88" s="2109"/>
      <c r="I88" s="2109"/>
    </row>
    <row r="89" spans="1:50" x14ac:dyDescent="0.25">
      <c r="A89" s="692" t="s">
        <v>117</v>
      </c>
      <c r="B89" s="692"/>
      <c r="C89" s="2053" t="s">
        <v>1214</v>
      </c>
      <c r="D89" s="2053"/>
      <c r="E89" s="2053"/>
      <c r="F89" s="2053"/>
      <c r="G89" s="2053"/>
      <c r="H89" s="2053"/>
      <c r="I89" s="2053"/>
    </row>
    <row r="90" spans="1:50" x14ac:dyDescent="0.25">
      <c r="A90" s="1989" t="s">
        <v>47</v>
      </c>
      <c r="B90" s="1989" t="s">
        <v>119</v>
      </c>
      <c r="C90" s="2105" t="s">
        <v>120</v>
      </c>
      <c r="D90" s="1989" t="s">
        <v>121</v>
      </c>
      <c r="E90" s="1989" t="s">
        <v>122</v>
      </c>
      <c r="F90" s="693"/>
      <c r="G90" s="525"/>
      <c r="H90" s="525"/>
      <c r="I90" s="1989" t="s">
        <v>126</v>
      </c>
    </row>
    <row r="91" spans="1:50" ht="38.25" x14ac:dyDescent="0.25">
      <c r="A91" s="1989"/>
      <c r="B91" s="1989"/>
      <c r="C91" s="2105"/>
      <c r="D91" s="1989"/>
      <c r="E91" s="1989"/>
      <c r="F91" s="694" t="s">
        <v>129</v>
      </c>
      <c r="G91" s="526" t="s">
        <v>124</v>
      </c>
      <c r="H91" s="1797" t="s">
        <v>2165</v>
      </c>
      <c r="I91" s="1989"/>
    </row>
    <row r="92" spans="1:50" x14ac:dyDescent="0.25">
      <c r="A92" s="1980" t="s">
        <v>2182</v>
      </c>
      <c r="B92" s="1981"/>
      <c r="C92" s="695">
        <f>SUM(C93)</f>
        <v>13635</v>
      </c>
      <c r="D92" s="696">
        <f>SUM(D93)</f>
        <v>13635</v>
      </c>
      <c r="E92" s="696">
        <f>SUM(E93)</f>
        <v>15000</v>
      </c>
      <c r="F92" s="695"/>
      <c r="G92" s="696">
        <f>SUM(G93)</f>
        <v>15000</v>
      </c>
      <c r="H92" s="696">
        <f>SUM(H93)</f>
        <v>21344</v>
      </c>
      <c r="I92" s="528"/>
    </row>
    <row r="93" spans="1:50" s="721" customFormat="1" ht="15" x14ac:dyDescent="0.2">
      <c r="A93" s="706" t="s">
        <v>763</v>
      </c>
      <c r="B93" s="698" t="s">
        <v>1215</v>
      </c>
      <c r="C93" s="699">
        <v>13635</v>
      </c>
      <c r="D93" s="699">
        <v>13635</v>
      </c>
      <c r="E93" s="699">
        <v>15000</v>
      </c>
      <c r="F93" s="701">
        <v>5250</v>
      </c>
      <c r="G93" s="699">
        <v>15000</v>
      </c>
      <c r="H93" s="699">
        <f t="shared" ref="H93" si="3">ROUNDUP(G93/0.702804,0)</f>
        <v>21344</v>
      </c>
      <c r="I93" s="720" t="s">
        <v>1158</v>
      </c>
    </row>
    <row r="94" spans="1:50" s="703" customFormat="1" ht="15" x14ac:dyDescent="0.2">
      <c r="A94" s="704"/>
      <c r="B94" s="704"/>
      <c r="C94" s="708"/>
      <c r="D94" s="708"/>
      <c r="E94" s="708"/>
      <c r="F94" s="708"/>
      <c r="G94" s="709"/>
      <c r="H94" s="709"/>
      <c r="I94" s="710"/>
    </row>
    <row r="95" spans="1:50" x14ac:dyDescent="0.25">
      <c r="A95" s="692" t="s">
        <v>115</v>
      </c>
      <c r="B95" s="692"/>
      <c r="C95" s="2109" t="s">
        <v>1216</v>
      </c>
      <c r="D95" s="2109"/>
      <c r="E95" s="2109"/>
      <c r="F95" s="2109"/>
      <c r="G95" s="2109"/>
      <c r="H95" s="2109"/>
      <c r="I95" s="2109"/>
    </row>
    <row r="96" spans="1:50" x14ac:dyDescent="0.25">
      <c r="A96" s="692" t="s">
        <v>117</v>
      </c>
      <c r="B96" s="692"/>
      <c r="C96" s="2053" t="s">
        <v>1217</v>
      </c>
      <c r="D96" s="2053"/>
      <c r="E96" s="2053"/>
      <c r="F96" s="2053"/>
      <c r="G96" s="2053"/>
      <c r="H96" s="2053"/>
      <c r="I96" s="2053"/>
    </row>
    <row r="97" spans="1:50" x14ac:dyDescent="0.25">
      <c r="A97" s="1989" t="s">
        <v>47</v>
      </c>
      <c r="B97" s="1989" t="s">
        <v>119</v>
      </c>
      <c r="C97" s="2105" t="s">
        <v>120</v>
      </c>
      <c r="D97" s="1989" t="s">
        <v>121</v>
      </c>
      <c r="E97" s="1989" t="s">
        <v>122</v>
      </c>
      <c r="F97" s="693"/>
      <c r="G97" s="525"/>
      <c r="H97" s="525"/>
      <c r="I97" s="1989" t="s">
        <v>126</v>
      </c>
    </row>
    <row r="98" spans="1:50" ht="38.25" x14ac:dyDescent="0.25">
      <c r="A98" s="1989"/>
      <c r="B98" s="1989"/>
      <c r="C98" s="2105"/>
      <c r="D98" s="1989"/>
      <c r="E98" s="1989"/>
      <c r="F98" s="694" t="s">
        <v>129</v>
      </c>
      <c r="G98" s="526" t="s">
        <v>124</v>
      </c>
      <c r="H98" s="1797" t="s">
        <v>2165</v>
      </c>
      <c r="I98" s="1989"/>
    </row>
    <row r="99" spans="1:50" x14ac:dyDescent="0.25">
      <c r="A99" s="1980" t="s">
        <v>2182</v>
      </c>
      <c r="B99" s="1981"/>
      <c r="C99" s="695">
        <f>SUM(C100:C103)</f>
        <v>490640</v>
      </c>
      <c r="D99" s="696">
        <f>SUM(D100:D103)</f>
        <v>276924</v>
      </c>
      <c r="E99" s="696">
        <f>SUM(E100:E103)</f>
        <v>860477</v>
      </c>
      <c r="F99" s="695"/>
      <c r="G99" s="696">
        <f>SUM(G100:G103)</f>
        <v>515746</v>
      </c>
      <c r="H99" s="696">
        <f>SUM(H100:H103)</f>
        <v>733842</v>
      </c>
      <c r="I99" s="528"/>
    </row>
    <row r="100" spans="1:50" s="721" customFormat="1" ht="15" x14ac:dyDescent="0.2">
      <c r="A100" s="728" t="s">
        <v>763</v>
      </c>
      <c r="B100" s="698" t="s">
        <v>1218</v>
      </c>
      <c r="C100" s="699">
        <v>5500</v>
      </c>
      <c r="D100" s="699">
        <v>5424</v>
      </c>
      <c r="E100" s="699">
        <v>0</v>
      </c>
      <c r="F100" s="701">
        <v>5240</v>
      </c>
      <c r="G100" s="699"/>
      <c r="H100" s="699">
        <f t="shared" ref="H100:H103" si="4">ROUNDUP(G100/0.702804,0)</f>
        <v>0</v>
      </c>
      <c r="I100" s="732"/>
    </row>
    <row r="101" spans="1:50" s="721" customFormat="1" ht="75" customHeight="1" x14ac:dyDescent="0.2">
      <c r="A101" s="728" t="s">
        <v>775</v>
      </c>
      <c r="B101" s="727" t="s">
        <v>1219</v>
      </c>
      <c r="C101" s="724">
        <v>0</v>
      </c>
      <c r="D101" s="724">
        <v>0</v>
      </c>
      <c r="E101" s="699">
        <v>355231</v>
      </c>
      <c r="F101" s="725">
        <v>5240</v>
      </c>
      <c r="G101" s="724">
        <v>10500</v>
      </c>
      <c r="H101" s="699">
        <f t="shared" si="4"/>
        <v>14941</v>
      </c>
      <c r="I101" s="720" t="s">
        <v>1220</v>
      </c>
    </row>
    <row r="102" spans="1:50" s="731" customFormat="1" ht="142.5" customHeight="1" x14ac:dyDescent="0.25">
      <c r="A102" s="2110" t="s">
        <v>939</v>
      </c>
      <c r="B102" s="2103" t="s">
        <v>1221</v>
      </c>
      <c r="C102" s="724">
        <v>485140</v>
      </c>
      <c r="D102" s="724">
        <v>271500</v>
      </c>
      <c r="E102" s="724">
        <v>495246</v>
      </c>
      <c r="F102" s="701">
        <v>5250</v>
      </c>
      <c r="G102" s="724">
        <v>495246</v>
      </c>
      <c r="H102" s="699">
        <f t="shared" si="4"/>
        <v>704672</v>
      </c>
      <c r="I102" s="1063" t="s">
        <v>1222</v>
      </c>
      <c r="J102" s="721"/>
      <c r="K102" s="721"/>
      <c r="L102" s="721"/>
      <c r="M102" s="721"/>
      <c r="N102" s="721"/>
      <c r="O102" s="721"/>
      <c r="P102" s="721"/>
      <c r="Q102" s="721"/>
      <c r="R102" s="721"/>
      <c r="S102" s="721"/>
      <c r="T102" s="721"/>
      <c r="U102" s="721"/>
      <c r="V102" s="721"/>
      <c r="W102" s="721"/>
      <c r="X102" s="721"/>
      <c r="Y102" s="721"/>
      <c r="Z102" s="721"/>
      <c r="AA102" s="721"/>
      <c r="AB102" s="721"/>
      <c r="AC102" s="721"/>
      <c r="AD102" s="721"/>
      <c r="AE102" s="721"/>
      <c r="AF102" s="721"/>
      <c r="AG102" s="721"/>
      <c r="AH102" s="721"/>
      <c r="AI102" s="721"/>
      <c r="AJ102" s="721"/>
      <c r="AK102" s="721"/>
      <c r="AL102" s="721"/>
      <c r="AM102" s="721"/>
      <c r="AN102" s="721"/>
      <c r="AO102" s="721"/>
      <c r="AP102" s="721"/>
      <c r="AQ102" s="721"/>
      <c r="AR102" s="721"/>
      <c r="AS102" s="721"/>
      <c r="AT102" s="721"/>
      <c r="AU102" s="721"/>
      <c r="AV102" s="721"/>
      <c r="AW102" s="721"/>
      <c r="AX102" s="721"/>
    </row>
    <row r="103" spans="1:50" ht="91.5" customHeight="1" x14ac:dyDescent="0.25">
      <c r="A103" s="2111"/>
      <c r="B103" s="2104"/>
      <c r="C103" s="733">
        <v>0</v>
      </c>
      <c r="D103" s="734">
        <v>0</v>
      </c>
      <c r="E103" s="733">
        <v>10000</v>
      </c>
      <c r="F103" s="1748">
        <v>5250</v>
      </c>
      <c r="G103" s="734">
        <v>10000</v>
      </c>
      <c r="H103" s="699">
        <f t="shared" si="4"/>
        <v>14229</v>
      </c>
      <c r="I103" s="531" t="s">
        <v>1223</v>
      </c>
    </row>
    <row r="104" spans="1:50" s="703" customFormat="1" ht="15" x14ac:dyDescent="0.2">
      <c r="A104" s="704"/>
      <c r="B104" s="704"/>
      <c r="C104" s="708"/>
      <c r="D104" s="708"/>
      <c r="E104" s="708"/>
      <c r="F104" s="708"/>
      <c r="G104" s="709"/>
      <c r="H104" s="709"/>
      <c r="I104" s="710"/>
    </row>
    <row r="105" spans="1:50" x14ac:dyDescent="0.25">
      <c r="A105" s="692" t="s">
        <v>115</v>
      </c>
      <c r="B105" s="692"/>
      <c r="C105" s="2109" t="s">
        <v>1224</v>
      </c>
      <c r="D105" s="2109"/>
      <c r="E105" s="2109"/>
      <c r="F105" s="2109"/>
      <c r="G105" s="2109"/>
      <c r="H105" s="2109"/>
      <c r="I105" s="2109"/>
    </row>
    <row r="106" spans="1:50" x14ac:dyDescent="0.25">
      <c r="A106" s="692" t="s">
        <v>117</v>
      </c>
      <c r="B106" s="692"/>
      <c r="C106" s="2053" t="s">
        <v>1225</v>
      </c>
      <c r="D106" s="2053"/>
      <c r="E106" s="2053"/>
      <c r="F106" s="2053"/>
      <c r="G106" s="2053"/>
      <c r="H106" s="2053"/>
      <c r="I106" s="2053"/>
    </row>
    <row r="107" spans="1:50" x14ac:dyDescent="0.25">
      <c r="A107" s="1989" t="s">
        <v>47</v>
      </c>
      <c r="B107" s="1989" t="s">
        <v>119</v>
      </c>
      <c r="C107" s="2105" t="s">
        <v>120</v>
      </c>
      <c r="D107" s="1989" t="s">
        <v>121</v>
      </c>
      <c r="E107" s="1989" t="s">
        <v>122</v>
      </c>
      <c r="F107" s="693"/>
      <c r="G107" s="525"/>
      <c r="H107" s="525"/>
      <c r="I107" s="1989" t="s">
        <v>126</v>
      </c>
    </row>
    <row r="108" spans="1:50" ht="38.25" x14ac:dyDescent="0.25">
      <c r="A108" s="1989"/>
      <c r="B108" s="1989"/>
      <c r="C108" s="2105"/>
      <c r="D108" s="1989"/>
      <c r="E108" s="1989"/>
      <c r="F108" s="694" t="s">
        <v>129</v>
      </c>
      <c r="G108" s="526" t="s">
        <v>124</v>
      </c>
      <c r="H108" s="1797" t="s">
        <v>2165</v>
      </c>
      <c r="I108" s="1989"/>
    </row>
    <row r="109" spans="1:50" x14ac:dyDescent="0.25">
      <c r="A109" s="1980" t="s">
        <v>2182</v>
      </c>
      <c r="B109" s="1981"/>
      <c r="C109" s="695">
        <f>SUM(C110:C114)</f>
        <v>767128</v>
      </c>
      <c r="D109" s="696">
        <f>SUM(D110:D114)</f>
        <v>351227</v>
      </c>
      <c r="E109" s="696">
        <f>SUM(E110:E114)</f>
        <v>588943</v>
      </c>
      <c r="F109" s="695"/>
      <c r="G109" s="696">
        <f>SUM(G110:G114)</f>
        <v>478943</v>
      </c>
      <c r="H109" s="696">
        <f>SUM(H110:H114)</f>
        <v>681477</v>
      </c>
      <c r="I109" s="528"/>
    </row>
    <row r="110" spans="1:50" s="731" customFormat="1" ht="150" customHeight="1" x14ac:dyDescent="0.25">
      <c r="A110" s="2110" t="s">
        <v>763</v>
      </c>
      <c r="B110" s="2103" t="s">
        <v>1226</v>
      </c>
      <c r="C110" s="699">
        <v>679176</v>
      </c>
      <c r="D110" s="699">
        <v>300038</v>
      </c>
      <c r="E110" s="699">
        <v>308000</v>
      </c>
      <c r="F110" s="701">
        <v>5250</v>
      </c>
      <c r="G110" s="699">
        <v>308000</v>
      </c>
      <c r="H110" s="699">
        <f t="shared" ref="H110:H114" si="5">ROUNDUP(G110/0.702804,0)</f>
        <v>438245</v>
      </c>
      <c r="I110" s="720" t="s">
        <v>1227</v>
      </c>
      <c r="J110" s="721"/>
      <c r="K110" s="721"/>
      <c r="L110" s="721"/>
      <c r="M110" s="721"/>
      <c r="N110" s="721"/>
      <c r="O110" s="721"/>
      <c r="P110" s="721"/>
      <c r="Q110" s="721"/>
      <c r="R110" s="721"/>
      <c r="S110" s="721"/>
      <c r="T110" s="721"/>
      <c r="U110" s="721"/>
      <c r="V110" s="721"/>
      <c r="W110" s="721"/>
      <c r="X110" s="721"/>
      <c r="Y110" s="721"/>
      <c r="Z110" s="721"/>
      <c r="AA110" s="721"/>
      <c r="AB110" s="721"/>
      <c r="AC110" s="721"/>
      <c r="AD110" s="721"/>
      <c r="AE110" s="721"/>
      <c r="AF110" s="721"/>
      <c r="AG110" s="721"/>
      <c r="AH110" s="721"/>
      <c r="AI110" s="721"/>
      <c r="AJ110" s="721"/>
      <c r="AK110" s="721"/>
      <c r="AL110" s="721"/>
      <c r="AM110" s="721"/>
      <c r="AN110" s="721"/>
      <c r="AO110" s="721"/>
      <c r="AP110" s="721"/>
      <c r="AQ110" s="721"/>
      <c r="AR110" s="721"/>
      <c r="AS110" s="721"/>
      <c r="AT110" s="721"/>
      <c r="AU110" s="721"/>
      <c r="AV110" s="721"/>
      <c r="AW110" s="721"/>
      <c r="AX110" s="721"/>
    </row>
    <row r="111" spans="1:50" s="731" customFormat="1" ht="61.5" customHeight="1" x14ac:dyDescent="0.25">
      <c r="A111" s="2112"/>
      <c r="B111" s="2113"/>
      <c r="C111" s="699">
        <v>32742</v>
      </c>
      <c r="D111" s="699">
        <v>32742</v>
      </c>
      <c r="E111" s="699">
        <v>130966</v>
      </c>
      <c r="F111" s="701">
        <v>5232</v>
      </c>
      <c r="G111" s="699">
        <v>130966</v>
      </c>
      <c r="H111" s="699">
        <f t="shared" si="5"/>
        <v>186348</v>
      </c>
      <c r="I111" s="720" t="s">
        <v>1228</v>
      </c>
      <c r="J111" s="721"/>
      <c r="K111" s="721"/>
      <c r="L111" s="721"/>
      <c r="M111" s="721"/>
      <c r="N111" s="721"/>
      <c r="O111" s="721"/>
      <c r="P111" s="721"/>
      <c r="Q111" s="721"/>
      <c r="R111" s="721"/>
      <c r="S111" s="721"/>
      <c r="T111" s="721"/>
      <c r="U111" s="721"/>
      <c r="V111" s="721"/>
      <c r="W111" s="721"/>
      <c r="X111" s="721"/>
      <c r="Y111" s="721"/>
      <c r="Z111" s="721"/>
      <c r="AA111" s="721"/>
      <c r="AB111" s="721"/>
      <c r="AC111" s="721"/>
      <c r="AD111" s="721"/>
      <c r="AE111" s="721"/>
      <c r="AF111" s="721"/>
      <c r="AG111" s="721"/>
      <c r="AH111" s="721"/>
      <c r="AI111" s="721"/>
      <c r="AJ111" s="721"/>
      <c r="AK111" s="721"/>
      <c r="AL111" s="721"/>
      <c r="AM111" s="721"/>
      <c r="AN111" s="721"/>
      <c r="AO111" s="721"/>
      <c r="AP111" s="721"/>
      <c r="AQ111" s="721"/>
      <c r="AR111" s="721"/>
      <c r="AS111" s="721"/>
      <c r="AT111" s="721"/>
      <c r="AU111" s="721"/>
      <c r="AV111" s="721"/>
      <c r="AW111" s="721"/>
      <c r="AX111" s="721"/>
    </row>
    <row r="112" spans="1:50" s="731" customFormat="1" ht="65.25" customHeight="1" x14ac:dyDescent="0.25">
      <c r="A112" s="2111"/>
      <c r="B112" s="2104"/>
      <c r="C112" s="699">
        <v>6245</v>
      </c>
      <c r="D112" s="699">
        <v>6245</v>
      </c>
      <c r="E112" s="699">
        <v>24977</v>
      </c>
      <c r="F112" s="701">
        <v>2312</v>
      </c>
      <c r="G112" s="699">
        <v>24977</v>
      </c>
      <c r="H112" s="699">
        <f t="shared" si="5"/>
        <v>35540</v>
      </c>
      <c r="I112" s="720" t="s">
        <v>1229</v>
      </c>
      <c r="J112" s="721"/>
      <c r="K112" s="721"/>
      <c r="L112" s="721"/>
      <c r="M112" s="721"/>
      <c r="N112" s="721"/>
      <c r="O112" s="721"/>
      <c r="P112" s="721"/>
      <c r="Q112" s="721"/>
      <c r="R112" s="721"/>
      <c r="S112" s="721"/>
      <c r="T112" s="721"/>
      <c r="U112" s="721"/>
      <c r="V112" s="721"/>
      <c r="W112" s="721"/>
      <c r="X112" s="721"/>
      <c r="Y112" s="721"/>
      <c r="Z112" s="721"/>
      <c r="AA112" s="721"/>
      <c r="AB112" s="721"/>
      <c r="AC112" s="721"/>
      <c r="AD112" s="721"/>
      <c r="AE112" s="721"/>
      <c r="AF112" s="721"/>
      <c r="AG112" s="721"/>
      <c r="AH112" s="721"/>
      <c r="AI112" s="721"/>
      <c r="AJ112" s="721"/>
      <c r="AK112" s="721"/>
      <c r="AL112" s="721"/>
      <c r="AM112" s="721"/>
      <c r="AN112" s="721"/>
      <c r="AO112" s="721"/>
      <c r="AP112" s="721"/>
      <c r="AQ112" s="721"/>
      <c r="AR112" s="721"/>
      <c r="AS112" s="721"/>
      <c r="AT112" s="721"/>
      <c r="AU112" s="721"/>
      <c r="AV112" s="721"/>
      <c r="AW112" s="721"/>
      <c r="AX112" s="721"/>
    </row>
    <row r="113" spans="1:50" s="731" customFormat="1" ht="36.75" customHeight="1" x14ac:dyDescent="0.25">
      <c r="A113" s="2110" t="s">
        <v>775</v>
      </c>
      <c r="B113" s="2106" t="s">
        <v>1230</v>
      </c>
      <c r="C113" s="699">
        <v>47500</v>
      </c>
      <c r="D113" s="699">
        <v>11748</v>
      </c>
      <c r="E113" s="699">
        <v>120000</v>
      </c>
      <c r="F113" s="701">
        <v>5250</v>
      </c>
      <c r="G113" s="699">
        <f>5000+10000</f>
        <v>15000</v>
      </c>
      <c r="H113" s="699">
        <f t="shared" si="5"/>
        <v>21344</v>
      </c>
      <c r="I113" s="720" t="s">
        <v>1938</v>
      </c>
      <c r="J113" s="721"/>
      <c r="K113" s="721"/>
      <c r="L113" s="721"/>
      <c r="M113" s="721"/>
      <c r="N113" s="721"/>
      <c r="O113" s="721"/>
      <c r="P113" s="721"/>
      <c r="Q113" s="721"/>
      <c r="R113" s="721"/>
      <c r="S113" s="721"/>
      <c r="T113" s="721"/>
      <c r="U113" s="721"/>
      <c r="V113" s="721"/>
      <c r="W113" s="721"/>
      <c r="X113" s="721"/>
      <c r="Y113" s="721"/>
      <c r="Z113" s="721"/>
      <c r="AA113" s="721"/>
      <c r="AB113" s="721"/>
      <c r="AC113" s="721"/>
      <c r="AD113" s="721"/>
      <c r="AE113" s="721"/>
      <c r="AF113" s="721"/>
      <c r="AG113" s="721"/>
      <c r="AH113" s="721"/>
      <c r="AI113" s="721"/>
      <c r="AJ113" s="721"/>
      <c r="AK113" s="721"/>
      <c r="AL113" s="721"/>
      <c r="AM113" s="721"/>
      <c r="AN113" s="721"/>
      <c r="AO113" s="721"/>
      <c r="AP113" s="721"/>
      <c r="AQ113" s="721"/>
      <c r="AR113" s="721"/>
      <c r="AS113" s="721"/>
      <c r="AT113" s="721"/>
      <c r="AU113" s="721"/>
      <c r="AV113" s="721"/>
      <c r="AW113" s="721"/>
      <c r="AX113" s="721"/>
    </row>
    <row r="114" spans="1:50" s="731" customFormat="1" x14ac:dyDescent="0.25">
      <c r="A114" s="2111"/>
      <c r="B114" s="2106"/>
      <c r="C114" s="699">
        <v>1465</v>
      </c>
      <c r="D114" s="699">
        <v>454</v>
      </c>
      <c r="E114" s="699">
        <v>5000</v>
      </c>
      <c r="F114" s="701">
        <v>2241</v>
      </c>
      <c r="G114" s="699"/>
      <c r="H114" s="699">
        <f t="shared" si="5"/>
        <v>0</v>
      </c>
      <c r="I114" s="720" t="s">
        <v>1169</v>
      </c>
      <c r="J114" s="721"/>
      <c r="K114" s="721"/>
      <c r="L114" s="721"/>
      <c r="M114" s="721"/>
      <c r="N114" s="721"/>
      <c r="O114" s="721"/>
      <c r="P114" s="721"/>
      <c r="Q114" s="721"/>
      <c r="R114" s="721"/>
      <c r="S114" s="721"/>
      <c r="T114" s="721"/>
      <c r="U114" s="721"/>
      <c r="V114" s="721"/>
      <c r="W114" s="721"/>
      <c r="X114" s="721"/>
      <c r="Y114" s="721"/>
      <c r="Z114" s="721"/>
      <c r="AA114" s="721"/>
      <c r="AB114" s="721"/>
      <c r="AC114" s="721"/>
      <c r="AD114" s="721"/>
      <c r="AE114" s="721"/>
      <c r="AF114" s="721"/>
      <c r="AG114" s="721"/>
      <c r="AH114" s="721"/>
      <c r="AI114" s="721"/>
      <c r="AJ114" s="721"/>
      <c r="AK114" s="721"/>
      <c r="AL114" s="721"/>
      <c r="AM114" s="721"/>
      <c r="AN114" s="721"/>
      <c r="AO114" s="721"/>
      <c r="AP114" s="721"/>
      <c r="AQ114" s="721"/>
      <c r="AR114" s="721"/>
      <c r="AS114" s="721"/>
      <c r="AT114" s="721"/>
      <c r="AU114" s="721"/>
      <c r="AV114" s="721"/>
      <c r="AW114" s="721"/>
      <c r="AX114" s="721"/>
    </row>
    <row r="115" spans="1:50" s="703" customFormat="1" ht="15" x14ac:dyDescent="0.2">
      <c r="A115" s="704"/>
      <c r="B115" s="704"/>
      <c r="C115" s="708"/>
      <c r="D115" s="708"/>
      <c r="E115" s="708"/>
      <c r="F115" s="708"/>
      <c r="G115" s="709"/>
      <c r="H115" s="709"/>
      <c r="I115" s="710"/>
    </row>
    <row r="116" spans="1:50" x14ac:dyDescent="0.25">
      <c r="A116" s="692" t="s">
        <v>115</v>
      </c>
      <c r="B116" s="692"/>
      <c r="C116" s="2109" t="s">
        <v>1231</v>
      </c>
      <c r="D116" s="2109"/>
      <c r="E116" s="2109"/>
      <c r="F116" s="2109"/>
      <c r="G116" s="2109"/>
      <c r="H116" s="2109"/>
      <c r="I116" s="2109"/>
    </row>
    <row r="117" spans="1:50" x14ac:dyDescent="0.25">
      <c r="A117" s="692" t="s">
        <v>117</v>
      </c>
      <c r="B117" s="692"/>
      <c r="C117" s="2053" t="s">
        <v>1232</v>
      </c>
      <c r="D117" s="2053"/>
      <c r="E117" s="2053"/>
      <c r="F117" s="2053"/>
      <c r="G117" s="2053"/>
      <c r="H117" s="2053"/>
      <c r="I117" s="2053"/>
    </row>
    <row r="118" spans="1:50" x14ac:dyDescent="0.25">
      <c r="A118" s="1989" t="s">
        <v>47</v>
      </c>
      <c r="B118" s="1989" t="s">
        <v>119</v>
      </c>
      <c r="C118" s="2105" t="s">
        <v>120</v>
      </c>
      <c r="D118" s="1989" t="s">
        <v>121</v>
      </c>
      <c r="E118" s="1989" t="s">
        <v>122</v>
      </c>
      <c r="F118" s="693"/>
      <c r="G118" s="525"/>
      <c r="H118" s="525"/>
      <c r="I118" s="1989" t="s">
        <v>126</v>
      </c>
    </row>
    <row r="119" spans="1:50" ht="38.25" x14ac:dyDescent="0.25">
      <c r="A119" s="1989"/>
      <c r="B119" s="1989"/>
      <c r="C119" s="2105"/>
      <c r="D119" s="1989"/>
      <c r="E119" s="1989"/>
      <c r="F119" s="694" t="s">
        <v>129</v>
      </c>
      <c r="G119" s="526" t="s">
        <v>124</v>
      </c>
      <c r="H119" s="1797" t="s">
        <v>2165</v>
      </c>
      <c r="I119" s="1989"/>
    </row>
    <row r="120" spans="1:50" x14ac:dyDescent="0.25">
      <c r="A120" s="1980" t="s">
        <v>2182</v>
      </c>
      <c r="B120" s="1981"/>
      <c r="C120" s="695">
        <f>SUM(C121:C128)</f>
        <v>3719153</v>
      </c>
      <c r="D120" s="695">
        <f t="shared" ref="D120" si="6">SUM(D121:D128)</f>
        <v>3162493</v>
      </c>
      <c r="E120" s="695">
        <f>SUM(E121:E128)</f>
        <v>5045071</v>
      </c>
      <c r="F120" s="695"/>
      <c r="G120" s="696">
        <f>SUM(G121:G128)</f>
        <v>4680071</v>
      </c>
      <c r="H120" s="696">
        <f>SUM(H121:H128)</f>
        <v>6659142</v>
      </c>
      <c r="I120" s="528"/>
    </row>
    <row r="121" spans="1:50" s="731" customFormat="1" x14ac:dyDescent="0.25">
      <c r="A121" s="2110" t="s">
        <v>763</v>
      </c>
      <c r="B121" s="2103" t="s">
        <v>1233</v>
      </c>
      <c r="C121" s="724">
        <v>111885</v>
      </c>
      <c r="D121" s="724">
        <v>108601</v>
      </c>
      <c r="E121" s="724">
        <v>0</v>
      </c>
      <c r="F121" s="725">
        <v>5250</v>
      </c>
      <c r="G121" s="724"/>
      <c r="H121" s="699">
        <f t="shared" ref="H121:H128" si="7">ROUNDUP(G121/0.702804,0)</f>
        <v>0</v>
      </c>
      <c r="I121" s="720"/>
      <c r="J121" s="721"/>
      <c r="K121" s="721"/>
      <c r="L121" s="721"/>
      <c r="M121" s="721"/>
      <c r="N121" s="721"/>
      <c r="O121" s="721"/>
      <c r="P121" s="721"/>
      <c r="Q121" s="721"/>
      <c r="R121" s="721"/>
      <c r="S121" s="721"/>
      <c r="T121" s="721"/>
      <c r="U121" s="721"/>
      <c r="V121" s="721"/>
      <c r="W121" s="721"/>
      <c r="X121" s="721"/>
      <c r="Y121" s="721"/>
      <c r="Z121" s="721"/>
      <c r="AA121" s="721"/>
      <c r="AB121" s="721"/>
      <c r="AC121" s="721"/>
      <c r="AD121" s="721"/>
      <c r="AE121" s="721"/>
      <c r="AF121" s="721"/>
      <c r="AG121" s="721"/>
      <c r="AH121" s="721"/>
      <c r="AI121" s="721"/>
      <c r="AJ121" s="721"/>
      <c r="AK121" s="721"/>
      <c r="AL121" s="721"/>
      <c r="AM121" s="721"/>
      <c r="AN121" s="721"/>
      <c r="AO121" s="721"/>
      <c r="AP121" s="721"/>
      <c r="AQ121" s="721"/>
      <c r="AR121" s="721"/>
      <c r="AS121" s="721"/>
      <c r="AT121" s="721"/>
      <c r="AU121" s="721"/>
      <c r="AV121" s="721"/>
      <c r="AW121" s="721"/>
      <c r="AX121" s="721"/>
    </row>
    <row r="122" spans="1:50" s="731" customFormat="1" x14ac:dyDescent="0.25">
      <c r="A122" s="2112"/>
      <c r="B122" s="2113"/>
      <c r="C122" s="724">
        <v>428</v>
      </c>
      <c r="D122" s="724">
        <v>428</v>
      </c>
      <c r="E122" s="724">
        <v>0</v>
      </c>
      <c r="F122" s="725">
        <v>5239</v>
      </c>
      <c r="G122" s="724"/>
      <c r="H122" s="699">
        <f t="shared" si="7"/>
        <v>0</v>
      </c>
      <c r="I122" s="720"/>
      <c r="J122" s="721"/>
      <c r="K122" s="721"/>
      <c r="L122" s="721"/>
      <c r="M122" s="721"/>
      <c r="N122" s="721"/>
      <c r="O122" s="721"/>
      <c r="P122" s="721"/>
      <c r="Q122" s="721"/>
      <c r="R122" s="721"/>
      <c r="S122" s="721"/>
      <c r="T122" s="721"/>
      <c r="U122" s="721"/>
      <c r="V122" s="721"/>
      <c r="W122" s="721"/>
      <c r="X122" s="721"/>
      <c r="Y122" s="721"/>
      <c r="Z122" s="721"/>
      <c r="AA122" s="721"/>
      <c r="AB122" s="721"/>
      <c r="AC122" s="721"/>
      <c r="AD122" s="721"/>
      <c r="AE122" s="721"/>
      <c r="AF122" s="721"/>
      <c r="AG122" s="721"/>
      <c r="AH122" s="721"/>
      <c r="AI122" s="721"/>
      <c r="AJ122" s="721"/>
      <c r="AK122" s="721"/>
      <c r="AL122" s="721"/>
      <c r="AM122" s="721"/>
      <c r="AN122" s="721"/>
      <c r="AO122" s="721"/>
      <c r="AP122" s="721"/>
      <c r="AQ122" s="721"/>
      <c r="AR122" s="721"/>
      <c r="AS122" s="721"/>
      <c r="AT122" s="721"/>
      <c r="AU122" s="721"/>
      <c r="AV122" s="721"/>
      <c r="AW122" s="721"/>
      <c r="AX122" s="721"/>
    </row>
    <row r="123" spans="1:50" s="731" customFormat="1" x14ac:dyDescent="0.25">
      <c r="A123" s="2111"/>
      <c r="B123" s="2104"/>
      <c r="C123" s="724">
        <v>1170</v>
      </c>
      <c r="D123" s="724">
        <v>1166</v>
      </c>
      <c r="E123" s="724">
        <v>0</v>
      </c>
      <c r="F123" s="725">
        <v>2312</v>
      </c>
      <c r="G123" s="724"/>
      <c r="H123" s="699">
        <f t="shared" si="7"/>
        <v>0</v>
      </c>
      <c r="I123" s="720"/>
      <c r="J123" s="721"/>
      <c r="K123" s="721"/>
      <c r="L123" s="721"/>
      <c r="M123" s="721"/>
      <c r="N123" s="721"/>
      <c r="O123" s="721"/>
      <c r="P123" s="721"/>
      <c r="Q123" s="721"/>
      <c r="R123" s="721"/>
      <c r="S123" s="721"/>
      <c r="T123" s="721"/>
      <c r="U123" s="721"/>
      <c r="V123" s="721"/>
      <c r="W123" s="721"/>
      <c r="X123" s="721"/>
      <c r="Y123" s="721"/>
      <c r="Z123" s="721"/>
      <c r="AA123" s="721"/>
      <c r="AB123" s="721"/>
      <c r="AC123" s="721"/>
      <c r="AD123" s="721"/>
      <c r="AE123" s="721"/>
      <c r="AF123" s="721"/>
      <c r="AG123" s="721"/>
      <c r="AH123" s="721"/>
      <c r="AI123" s="721"/>
      <c r="AJ123" s="721"/>
      <c r="AK123" s="721"/>
      <c r="AL123" s="721"/>
      <c r="AM123" s="721"/>
      <c r="AN123" s="721"/>
      <c r="AO123" s="721"/>
      <c r="AP123" s="721"/>
      <c r="AQ123" s="721"/>
      <c r="AR123" s="721"/>
      <c r="AS123" s="721"/>
      <c r="AT123" s="721"/>
      <c r="AU123" s="721"/>
      <c r="AV123" s="721"/>
      <c r="AW123" s="721"/>
      <c r="AX123" s="721"/>
    </row>
    <row r="124" spans="1:50" s="731" customFormat="1" ht="96" customHeight="1" x14ac:dyDescent="0.25">
      <c r="A124" s="736" t="s">
        <v>775</v>
      </c>
      <c r="B124" s="737" t="s">
        <v>1234</v>
      </c>
      <c r="C124" s="724">
        <v>0</v>
      </c>
      <c r="D124" s="724">
        <v>0</v>
      </c>
      <c r="E124" s="724">
        <v>120000</v>
      </c>
      <c r="F124" s="725">
        <v>5250</v>
      </c>
      <c r="G124" s="724"/>
      <c r="H124" s="699">
        <f t="shared" si="7"/>
        <v>0</v>
      </c>
      <c r="I124" s="720" t="s">
        <v>1235</v>
      </c>
      <c r="J124" s="721"/>
      <c r="K124" s="721"/>
      <c r="L124" s="721"/>
      <c r="M124" s="721"/>
      <c r="N124" s="721"/>
      <c r="O124" s="721"/>
      <c r="P124" s="721"/>
      <c r="Q124" s="721"/>
      <c r="R124" s="721"/>
      <c r="S124" s="721"/>
      <c r="T124" s="721"/>
      <c r="U124" s="721"/>
      <c r="V124" s="721"/>
      <c r="W124" s="721"/>
      <c r="X124" s="721"/>
      <c r="Y124" s="721"/>
      <c r="Z124" s="721"/>
      <c r="AA124" s="721"/>
      <c r="AB124" s="721"/>
      <c r="AC124" s="721"/>
      <c r="AD124" s="721"/>
      <c r="AE124" s="721"/>
      <c r="AF124" s="721"/>
      <c r="AG124" s="721"/>
      <c r="AH124" s="721"/>
      <c r="AI124" s="721"/>
      <c r="AJ124" s="721"/>
      <c r="AK124" s="721"/>
      <c r="AL124" s="721"/>
      <c r="AM124" s="721"/>
      <c r="AN124" s="721"/>
      <c r="AO124" s="721"/>
      <c r="AP124" s="721"/>
      <c r="AQ124" s="721"/>
      <c r="AR124" s="721"/>
      <c r="AS124" s="721"/>
      <c r="AT124" s="721"/>
      <c r="AU124" s="721"/>
      <c r="AV124" s="721"/>
      <c r="AW124" s="721"/>
      <c r="AX124" s="721"/>
    </row>
    <row r="125" spans="1:50" s="731" customFormat="1" ht="210" customHeight="1" x14ac:dyDescent="0.25">
      <c r="A125" s="2110" t="s">
        <v>939</v>
      </c>
      <c r="B125" s="2103" t="s">
        <v>1236</v>
      </c>
      <c r="C125" s="699">
        <v>3550670</v>
      </c>
      <c r="D125" s="699">
        <v>2997317</v>
      </c>
      <c r="E125" s="699">
        <v>4673071</v>
      </c>
      <c r="F125" s="701">
        <v>5250</v>
      </c>
      <c r="G125" s="699">
        <v>4673071</v>
      </c>
      <c r="H125" s="699">
        <f t="shared" si="7"/>
        <v>6649181</v>
      </c>
      <c r="I125" s="720" t="s">
        <v>1237</v>
      </c>
      <c r="J125" s="721"/>
      <c r="K125" s="721"/>
      <c r="L125" s="721"/>
      <c r="M125" s="721"/>
      <c r="N125" s="721"/>
      <c r="O125" s="721"/>
      <c r="P125" s="721"/>
      <c r="Q125" s="721"/>
      <c r="R125" s="721"/>
      <c r="S125" s="721"/>
      <c r="T125" s="721"/>
      <c r="U125" s="721"/>
      <c r="V125" s="721"/>
      <c r="W125" s="721"/>
      <c r="X125" s="721"/>
      <c r="Y125" s="721"/>
      <c r="Z125" s="721"/>
      <c r="AA125" s="721"/>
      <c r="AB125" s="721"/>
      <c r="AC125" s="721"/>
      <c r="AD125" s="721"/>
      <c r="AE125" s="721"/>
      <c r="AF125" s="721"/>
      <c r="AG125" s="721"/>
      <c r="AH125" s="721"/>
      <c r="AI125" s="721"/>
      <c r="AJ125" s="721"/>
      <c r="AK125" s="721"/>
      <c r="AL125" s="721"/>
      <c r="AM125" s="721"/>
      <c r="AN125" s="721"/>
      <c r="AO125" s="721"/>
      <c r="AP125" s="721"/>
      <c r="AQ125" s="721"/>
      <c r="AR125" s="721"/>
      <c r="AS125" s="721"/>
      <c r="AT125" s="721"/>
      <c r="AU125" s="721"/>
      <c r="AV125" s="721"/>
      <c r="AW125" s="721"/>
      <c r="AX125" s="721"/>
    </row>
    <row r="126" spans="1:50" s="731" customFormat="1" ht="60.75" customHeight="1" x14ac:dyDescent="0.25">
      <c r="A126" s="2112"/>
      <c r="B126" s="2113"/>
      <c r="C126" s="699">
        <v>0</v>
      </c>
      <c r="D126" s="699">
        <v>0</v>
      </c>
      <c r="E126" s="699">
        <v>7000</v>
      </c>
      <c r="F126" s="701">
        <v>5250</v>
      </c>
      <c r="G126" s="699">
        <v>7000</v>
      </c>
      <c r="H126" s="699">
        <f t="shared" si="7"/>
        <v>9961</v>
      </c>
      <c r="I126" s="720" t="s">
        <v>1238</v>
      </c>
      <c r="J126" s="721"/>
      <c r="K126" s="721"/>
      <c r="L126" s="721"/>
      <c r="M126" s="721"/>
      <c r="N126" s="721"/>
      <c r="O126" s="721"/>
      <c r="P126" s="721"/>
      <c r="Q126" s="721"/>
      <c r="R126" s="721"/>
      <c r="S126" s="721"/>
      <c r="T126" s="721"/>
      <c r="U126" s="721"/>
      <c r="V126" s="721"/>
      <c r="W126" s="721"/>
      <c r="X126" s="721"/>
      <c r="Y126" s="721"/>
      <c r="Z126" s="721"/>
      <c r="AA126" s="721"/>
      <c r="AB126" s="721"/>
      <c r="AC126" s="721"/>
      <c r="AD126" s="721"/>
      <c r="AE126" s="721"/>
      <c r="AF126" s="721"/>
      <c r="AG126" s="721"/>
      <c r="AH126" s="721"/>
      <c r="AI126" s="721"/>
      <c r="AJ126" s="721"/>
      <c r="AK126" s="721"/>
      <c r="AL126" s="721"/>
      <c r="AM126" s="721"/>
      <c r="AN126" s="721"/>
      <c r="AO126" s="721"/>
      <c r="AP126" s="721"/>
      <c r="AQ126" s="721"/>
      <c r="AR126" s="721"/>
      <c r="AS126" s="721"/>
      <c r="AT126" s="721"/>
      <c r="AU126" s="721"/>
      <c r="AV126" s="721"/>
      <c r="AW126" s="721"/>
      <c r="AX126" s="721"/>
    </row>
    <row r="127" spans="1:50" s="721" customFormat="1" ht="15" customHeight="1" x14ac:dyDescent="0.2">
      <c r="A127" s="2111"/>
      <c r="B127" s="2104"/>
      <c r="C127" s="699">
        <v>55000</v>
      </c>
      <c r="D127" s="699">
        <v>54981</v>
      </c>
      <c r="E127" s="699">
        <v>0</v>
      </c>
      <c r="F127" s="701">
        <v>2241</v>
      </c>
      <c r="G127" s="699"/>
      <c r="H127" s="699">
        <f t="shared" si="7"/>
        <v>0</v>
      </c>
      <c r="I127" s="720"/>
    </row>
    <row r="128" spans="1:50" x14ac:dyDescent="0.25">
      <c r="A128" s="1683">
        <v>4</v>
      </c>
      <c r="B128" s="1684" t="s">
        <v>1943</v>
      </c>
      <c r="C128" s="1685"/>
      <c r="D128" s="1685"/>
      <c r="E128" s="1217">
        <v>245000</v>
      </c>
      <c r="F128" s="1749">
        <v>5239</v>
      </c>
      <c r="G128" s="1217"/>
      <c r="H128" s="699">
        <f t="shared" si="7"/>
        <v>0</v>
      </c>
      <c r="I128" s="1218" t="s">
        <v>1944</v>
      </c>
    </row>
    <row r="129" spans="1:50" x14ac:dyDescent="0.25">
      <c r="A129" s="692" t="s">
        <v>115</v>
      </c>
      <c r="B129" s="692"/>
      <c r="C129" s="2109" t="s">
        <v>550</v>
      </c>
      <c r="D129" s="2109"/>
      <c r="E129" s="2109"/>
      <c r="F129" s="2109"/>
      <c r="G129" s="2109"/>
      <c r="H129" s="2109"/>
      <c r="I129" s="2109"/>
    </row>
    <row r="130" spans="1:50" x14ac:dyDescent="0.25">
      <c r="A130" s="692" t="s">
        <v>117</v>
      </c>
      <c r="B130" s="692"/>
      <c r="C130" s="2053" t="s">
        <v>551</v>
      </c>
      <c r="D130" s="2053"/>
      <c r="E130" s="2053"/>
      <c r="F130" s="2053"/>
      <c r="G130" s="2053"/>
      <c r="H130" s="2053"/>
      <c r="I130" s="2053"/>
    </row>
    <row r="131" spans="1:50" x14ac:dyDescent="0.25">
      <c r="A131" s="1989" t="s">
        <v>47</v>
      </c>
      <c r="B131" s="1989" t="s">
        <v>119</v>
      </c>
      <c r="C131" s="2105" t="s">
        <v>120</v>
      </c>
      <c r="D131" s="1989" t="s">
        <v>121</v>
      </c>
      <c r="E131" s="1989" t="s">
        <v>122</v>
      </c>
      <c r="F131" s="693"/>
      <c r="G131" s="525"/>
      <c r="H131" s="525"/>
      <c r="I131" s="1989" t="s">
        <v>126</v>
      </c>
    </row>
    <row r="132" spans="1:50" ht="38.25" x14ac:dyDescent="0.25">
      <c r="A132" s="1989"/>
      <c r="B132" s="1989"/>
      <c r="C132" s="2105"/>
      <c r="D132" s="1989"/>
      <c r="E132" s="1989"/>
      <c r="F132" s="694" t="s">
        <v>129</v>
      </c>
      <c r="G132" s="526" t="s">
        <v>124</v>
      </c>
      <c r="H132" s="1797" t="s">
        <v>2165</v>
      </c>
      <c r="I132" s="1989"/>
    </row>
    <row r="133" spans="1:50" x14ac:dyDescent="0.25">
      <c r="A133" s="1980" t="s">
        <v>2182</v>
      </c>
      <c r="B133" s="1981"/>
      <c r="C133" s="695">
        <f>SUM(C134:C137)</f>
        <v>213400</v>
      </c>
      <c r="D133" s="696">
        <f>SUM(D134:D137)</f>
        <v>1694</v>
      </c>
      <c r="E133" s="696">
        <f>SUM(E134:E137)</f>
        <v>213000</v>
      </c>
      <c r="F133" s="695"/>
      <c r="G133" s="696">
        <f>SUM(G134:G137)</f>
        <v>213000</v>
      </c>
      <c r="H133" s="696">
        <f>SUM(H134:H137)</f>
        <v>303073</v>
      </c>
      <c r="I133" s="528"/>
    </row>
    <row r="134" spans="1:50" s="731" customFormat="1" x14ac:dyDescent="0.25">
      <c r="A134" s="2107" t="s">
        <v>763</v>
      </c>
      <c r="B134" s="2106" t="s">
        <v>1239</v>
      </c>
      <c r="C134" s="699">
        <v>172800</v>
      </c>
      <c r="D134" s="699">
        <v>0</v>
      </c>
      <c r="E134" s="699">
        <v>0</v>
      </c>
      <c r="F134" s="701">
        <v>5250</v>
      </c>
      <c r="G134" s="699">
        <v>172800</v>
      </c>
      <c r="H134" s="699">
        <f t="shared" ref="H134:H137" si="8">ROUNDUP(G134/0.702804,0)</f>
        <v>245873</v>
      </c>
      <c r="I134" s="720"/>
      <c r="J134" s="721"/>
      <c r="K134" s="721"/>
      <c r="L134" s="721"/>
      <c r="M134" s="721"/>
      <c r="N134" s="721"/>
      <c r="O134" s="721"/>
      <c r="P134" s="721"/>
      <c r="Q134" s="721"/>
      <c r="R134" s="721"/>
      <c r="S134" s="721"/>
      <c r="T134" s="721"/>
      <c r="U134" s="721"/>
      <c r="V134" s="721"/>
      <c r="W134" s="721"/>
      <c r="X134" s="721"/>
      <c r="Y134" s="721"/>
      <c r="Z134" s="721"/>
      <c r="AA134" s="721"/>
      <c r="AB134" s="721"/>
      <c r="AC134" s="721"/>
      <c r="AD134" s="721"/>
      <c r="AE134" s="721"/>
      <c r="AF134" s="721"/>
      <c r="AG134" s="721"/>
      <c r="AH134" s="721"/>
      <c r="AI134" s="721"/>
      <c r="AJ134" s="721"/>
      <c r="AK134" s="721"/>
      <c r="AL134" s="721"/>
      <c r="AM134" s="721"/>
      <c r="AN134" s="721"/>
      <c r="AO134" s="721"/>
      <c r="AP134" s="721"/>
      <c r="AQ134" s="721"/>
      <c r="AR134" s="721"/>
      <c r="AS134" s="721"/>
      <c r="AT134" s="721"/>
      <c r="AU134" s="721"/>
      <c r="AV134" s="721"/>
      <c r="AW134" s="721"/>
      <c r="AX134" s="721"/>
    </row>
    <row r="135" spans="1:50" s="731" customFormat="1" x14ac:dyDescent="0.25">
      <c r="A135" s="2107"/>
      <c r="B135" s="2106"/>
      <c r="C135" s="699">
        <v>40600</v>
      </c>
      <c r="D135" s="699">
        <v>1694</v>
      </c>
      <c r="E135" s="699">
        <v>0</v>
      </c>
      <c r="F135" s="701">
        <v>2241</v>
      </c>
      <c r="G135" s="699">
        <v>40200</v>
      </c>
      <c r="H135" s="699">
        <f t="shared" si="8"/>
        <v>57200</v>
      </c>
      <c r="I135" s="720"/>
      <c r="J135" s="721"/>
      <c r="K135" s="721"/>
      <c r="L135" s="721"/>
      <c r="M135" s="721"/>
      <c r="N135" s="721"/>
      <c r="O135" s="721"/>
      <c r="P135" s="721"/>
      <c r="Q135" s="721"/>
      <c r="R135" s="721"/>
      <c r="S135" s="721"/>
      <c r="T135" s="721"/>
      <c r="U135" s="721"/>
      <c r="V135" s="721"/>
      <c r="W135" s="721"/>
      <c r="X135" s="721"/>
      <c r="Y135" s="721"/>
      <c r="Z135" s="721"/>
      <c r="AA135" s="721"/>
      <c r="AB135" s="721"/>
      <c r="AC135" s="721"/>
      <c r="AD135" s="721"/>
      <c r="AE135" s="721"/>
      <c r="AF135" s="721"/>
      <c r="AG135" s="721"/>
      <c r="AH135" s="721"/>
      <c r="AI135" s="721"/>
      <c r="AJ135" s="721"/>
      <c r="AK135" s="721"/>
      <c r="AL135" s="721"/>
      <c r="AM135" s="721"/>
      <c r="AN135" s="721"/>
      <c r="AO135" s="721"/>
      <c r="AP135" s="721"/>
      <c r="AQ135" s="721"/>
      <c r="AR135" s="721"/>
      <c r="AS135" s="721"/>
      <c r="AT135" s="721"/>
      <c r="AU135" s="721"/>
      <c r="AV135" s="721"/>
      <c r="AW135" s="721"/>
      <c r="AX135" s="721"/>
    </row>
    <row r="136" spans="1:50" x14ac:dyDescent="0.25">
      <c r="A136" s="2114">
        <v>2</v>
      </c>
      <c r="B136" s="1985" t="s">
        <v>1240</v>
      </c>
      <c r="C136" s="733">
        <v>0</v>
      </c>
      <c r="D136" s="734">
        <v>0</v>
      </c>
      <c r="E136" s="699">
        <v>172800</v>
      </c>
      <c r="F136" s="701">
        <v>5250</v>
      </c>
      <c r="G136" s="734"/>
      <c r="H136" s="699">
        <f t="shared" si="8"/>
        <v>0</v>
      </c>
      <c r="I136" s="720" t="s">
        <v>1158</v>
      </c>
    </row>
    <row r="137" spans="1:50" x14ac:dyDescent="0.25">
      <c r="A137" s="2115"/>
      <c r="B137" s="1987"/>
      <c r="C137" s="733">
        <v>0</v>
      </c>
      <c r="D137" s="734">
        <v>0</v>
      </c>
      <c r="E137" s="699">
        <v>40200</v>
      </c>
      <c r="F137" s="701">
        <v>2241</v>
      </c>
      <c r="G137" s="734"/>
      <c r="H137" s="699">
        <f t="shared" si="8"/>
        <v>0</v>
      </c>
      <c r="I137" s="742" t="s">
        <v>1169</v>
      </c>
    </row>
    <row r="138" spans="1:50" x14ac:dyDescent="0.25">
      <c r="A138" s="738"/>
      <c r="B138" s="738"/>
      <c r="C138" s="739"/>
      <c r="D138" s="740"/>
      <c r="E138" s="740"/>
      <c r="F138" s="739"/>
      <c r="G138" s="740"/>
      <c r="H138" s="740"/>
      <c r="I138" s="741"/>
    </row>
    <row r="139" spans="1:50" x14ac:dyDescent="0.25">
      <c r="A139" s="692" t="s">
        <v>115</v>
      </c>
      <c r="B139" s="692"/>
      <c r="C139" s="2109" t="s">
        <v>1241</v>
      </c>
      <c r="D139" s="2109"/>
      <c r="E139" s="2109"/>
      <c r="F139" s="2109"/>
      <c r="G139" s="2109"/>
      <c r="H139" s="2109"/>
      <c r="I139" s="2109"/>
    </row>
    <row r="140" spans="1:50" x14ac:dyDescent="0.25">
      <c r="A140" s="692" t="s">
        <v>117</v>
      </c>
      <c r="B140" s="692"/>
      <c r="C140" s="2053" t="s">
        <v>1242</v>
      </c>
      <c r="D140" s="2053"/>
      <c r="E140" s="2053"/>
      <c r="F140" s="2053"/>
      <c r="G140" s="2053"/>
      <c r="H140" s="2053"/>
      <c r="I140" s="2053"/>
    </row>
    <row r="141" spans="1:50" x14ac:dyDescent="0.25">
      <c r="A141" s="1989" t="s">
        <v>47</v>
      </c>
      <c r="B141" s="1989" t="s">
        <v>119</v>
      </c>
      <c r="C141" s="2105" t="s">
        <v>120</v>
      </c>
      <c r="D141" s="1989" t="s">
        <v>121</v>
      </c>
      <c r="E141" s="1989" t="s">
        <v>122</v>
      </c>
      <c r="F141" s="693"/>
      <c r="G141" s="525"/>
      <c r="H141" s="525"/>
      <c r="I141" s="1989" t="s">
        <v>126</v>
      </c>
    </row>
    <row r="142" spans="1:50" ht="38.25" x14ac:dyDescent="0.25">
      <c r="A142" s="1989"/>
      <c r="B142" s="1989"/>
      <c r="C142" s="2105"/>
      <c r="D142" s="1989"/>
      <c r="E142" s="1989"/>
      <c r="F142" s="694" t="s">
        <v>129</v>
      </c>
      <c r="G142" s="526" t="s">
        <v>124</v>
      </c>
      <c r="H142" s="1797" t="s">
        <v>2165</v>
      </c>
      <c r="I142" s="1989"/>
    </row>
    <row r="143" spans="1:50" x14ac:dyDescent="0.25">
      <c r="A143" s="1980" t="s">
        <v>2182</v>
      </c>
      <c r="B143" s="1981"/>
      <c r="C143" s="695">
        <f>SUM(C144:C154)</f>
        <v>1680360</v>
      </c>
      <c r="D143" s="696">
        <f>SUM(D144:D154)</f>
        <v>1675829</v>
      </c>
      <c r="E143" s="696">
        <f>SUM(E144:E154)</f>
        <v>213717</v>
      </c>
      <c r="F143" s="695"/>
      <c r="G143" s="696">
        <f>SUM(G144:G154)</f>
        <v>213717</v>
      </c>
      <c r="H143" s="696">
        <f>SUM(H144:H154)</f>
        <v>304093</v>
      </c>
      <c r="I143" s="528"/>
    </row>
    <row r="144" spans="1:50" s="743" customFormat="1" x14ac:dyDescent="0.25">
      <c r="A144" s="2110" t="s">
        <v>763</v>
      </c>
      <c r="B144" s="2103" t="s">
        <v>1243</v>
      </c>
      <c r="C144" s="699">
        <v>1500223</v>
      </c>
      <c r="D144" s="699">
        <v>1496172</v>
      </c>
      <c r="E144" s="699">
        <v>212717</v>
      </c>
      <c r="F144" s="701">
        <v>5240</v>
      </c>
      <c r="G144" s="699">
        <v>212717</v>
      </c>
      <c r="H144" s="699">
        <f t="shared" ref="H144:H154" si="9">ROUNDUP(G144/0.702804,0)</f>
        <v>302670</v>
      </c>
      <c r="I144" s="720" t="s">
        <v>1244</v>
      </c>
    </row>
    <row r="145" spans="1:9" s="743" customFormat="1" x14ac:dyDescent="0.25">
      <c r="A145" s="2111"/>
      <c r="B145" s="2104"/>
      <c r="C145" s="699">
        <v>5000</v>
      </c>
      <c r="D145" s="699">
        <v>5000</v>
      </c>
      <c r="E145" s="699">
        <v>1000</v>
      </c>
      <c r="F145" s="701">
        <v>5240</v>
      </c>
      <c r="G145" s="699">
        <v>1000</v>
      </c>
      <c r="H145" s="699">
        <f t="shared" si="9"/>
        <v>1423</v>
      </c>
      <c r="I145" s="720"/>
    </row>
    <row r="146" spans="1:9" s="745" customFormat="1" x14ac:dyDescent="0.25">
      <c r="A146" s="744" t="s">
        <v>775</v>
      </c>
      <c r="B146" s="727" t="s">
        <v>1245</v>
      </c>
      <c r="C146" s="699">
        <v>35500</v>
      </c>
      <c r="D146" s="699">
        <v>35498</v>
      </c>
      <c r="E146" s="699">
        <v>0</v>
      </c>
      <c r="F146" s="701">
        <v>5250</v>
      </c>
      <c r="G146" s="699"/>
      <c r="H146" s="699">
        <f t="shared" si="9"/>
        <v>0</v>
      </c>
      <c r="I146" s="711"/>
    </row>
    <row r="147" spans="1:9" s="745" customFormat="1" x14ac:dyDescent="0.25">
      <c r="A147" s="706" t="s">
        <v>939</v>
      </c>
      <c r="B147" s="727" t="s">
        <v>1246</v>
      </c>
      <c r="C147" s="699">
        <v>44470</v>
      </c>
      <c r="D147" s="699">
        <v>44300</v>
      </c>
      <c r="E147" s="699">
        <v>0</v>
      </c>
      <c r="F147" s="701">
        <v>5250</v>
      </c>
      <c r="G147" s="699"/>
      <c r="H147" s="699">
        <f t="shared" si="9"/>
        <v>0</v>
      </c>
      <c r="I147" s="711"/>
    </row>
    <row r="148" spans="1:9" s="747" customFormat="1" x14ac:dyDescent="0.25">
      <c r="A148" s="744" t="s">
        <v>949</v>
      </c>
      <c r="B148" s="727" t="s">
        <v>1247</v>
      </c>
      <c r="C148" s="699">
        <v>16000</v>
      </c>
      <c r="D148" s="699">
        <v>15992</v>
      </c>
      <c r="E148" s="699">
        <v>0</v>
      </c>
      <c r="F148" s="701">
        <v>5250</v>
      </c>
      <c r="G148" s="714"/>
      <c r="H148" s="699">
        <f t="shared" si="9"/>
        <v>0</v>
      </c>
      <c r="I148" s="746"/>
    </row>
    <row r="149" spans="1:9" s="745" customFormat="1" x14ac:dyDescent="0.25">
      <c r="A149" s="706" t="s">
        <v>958</v>
      </c>
      <c r="B149" s="727" t="s">
        <v>1248</v>
      </c>
      <c r="C149" s="699">
        <v>10000</v>
      </c>
      <c r="D149" s="699">
        <v>9999</v>
      </c>
      <c r="E149" s="699">
        <v>0</v>
      </c>
      <c r="F149" s="701">
        <v>5250</v>
      </c>
      <c r="G149" s="699"/>
      <c r="H149" s="699">
        <f t="shared" si="9"/>
        <v>0</v>
      </c>
      <c r="I149" s="711"/>
    </row>
    <row r="150" spans="1:9" s="745" customFormat="1" x14ac:dyDescent="0.25">
      <c r="A150" s="744" t="s">
        <v>1055</v>
      </c>
      <c r="B150" s="727" t="s">
        <v>1249</v>
      </c>
      <c r="C150" s="699">
        <v>8970</v>
      </c>
      <c r="D150" s="699">
        <v>8969</v>
      </c>
      <c r="E150" s="699">
        <v>0</v>
      </c>
      <c r="F150" s="701">
        <v>2241</v>
      </c>
      <c r="G150" s="699"/>
      <c r="H150" s="699">
        <f t="shared" si="9"/>
        <v>0</v>
      </c>
      <c r="I150" s="711"/>
    </row>
    <row r="151" spans="1:9" s="745" customFormat="1" x14ac:dyDescent="0.25">
      <c r="A151" s="2110" t="s">
        <v>1178</v>
      </c>
      <c r="B151" s="2103" t="s">
        <v>1250</v>
      </c>
      <c r="C151" s="699">
        <v>35000</v>
      </c>
      <c r="D151" s="699">
        <v>34856</v>
      </c>
      <c r="E151" s="699">
        <v>0</v>
      </c>
      <c r="F151" s="701">
        <v>5250</v>
      </c>
      <c r="G151" s="699"/>
      <c r="H151" s="699">
        <f t="shared" si="9"/>
        <v>0</v>
      </c>
      <c r="I151" s="711"/>
    </row>
    <row r="152" spans="1:9" s="745" customFormat="1" x14ac:dyDescent="0.25">
      <c r="A152" s="2111"/>
      <c r="B152" s="2104"/>
      <c r="C152" s="699">
        <v>14839</v>
      </c>
      <c r="D152" s="699">
        <v>14736</v>
      </c>
      <c r="E152" s="699">
        <v>0</v>
      </c>
      <c r="F152" s="701">
        <v>2241</v>
      </c>
      <c r="G152" s="699"/>
      <c r="H152" s="699">
        <f t="shared" si="9"/>
        <v>0</v>
      </c>
      <c r="I152" s="711"/>
    </row>
    <row r="153" spans="1:9" s="745" customFormat="1" x14ac:dyDescent="0.25">
      <c r="A153" s="744" t="s">
        <v>1181</v>
      </c>
      <c r="B153" s="727" t="s">
        <v>1251</v>
      </c>
      <c r="C153" s="699">
        <v>9995</v>
      </c>
      <c r="D153" s="699">
        <v>9944</v>
      </c>
      <c r="E153" s="699">
        <v>0</v>
      </c>
      <c r="F153" s="701">
        <v>2241</v>
      </c>
      <c r="G153" s="699"/>
      <c r="H153" s="699">
        <f t="shared" si="9"/>
        <v>0</v>
      </c>
      <c r="I153" s="711"/>
    </row>
    <row r="154" spans="1:9" s="745" customFormat="1" x14ac:dyDescent="0.25">
      <c r="A154" s="706" t="s">
        <v>1183</v>
      </c>
      <c r="B154" s="698" t="s">
        <v>1252</v>
      </c>
      <c r="C154" s="699">
        <v>363</v>
      </c>
      <c r="D154" s="699">
        <v>363</v>
      </c>
      <c r="E154" s="699">
        <v>0</v>
      </c>
      <c r="F154" s="701">
        <v>5250</v>
      </c>
      <c r="G154" s="699"/>
      <c r="H154" s="699">
        <f t="shared" si="9"/>
        <v>0</v>
      </c>
      <c r="I154" s="711"/>
    </row>
    <row r="155" spans="1:9" x14ac:dyDescent="0.25">
      <c r="A155" s="738"/>
      <c r="B155" s="738"/>
      <c r="C155" s="739"/>
      <c r="D155" s="740"/>
      <c r="E155" s="740"/>
      <c r="F155" s="739"/>
      <c r="G155" s="740"/>
      <c r="H155" s="740"/>
      <c r="I155" s="741"/>
    </row>
    <row r="156" spans="1:9" x14ac:dyDescent="0.25">
      <c r="A156" s="738"/>
      <c r="B156" s="738"/>
      <c r="C156" s="739"/>
      <c r="D156" s="740"/>
      <c r="E156" s="740"/>
      <c r="F156" s="739"/>
      <c r="G156" s="740"/>
      <c r="H156" s="740"/>
      <c r="I156" s="741"/>
    </row>
    <row r="157" spans="1:9" x14ac:dyDescent="0.25">
      <c r="A157" s="738"/>
      <c r="B157" s="738"/>
      <c r="C157" s="739"/>
      <c r="D157" s="740"/>
      <c r="E157" s="740"/>
      <c r="F157" s="739"/>
      <c r="G157" s="740"/>
      <c r="H157" s="740"/>
      <c r="I157" s="741"/>
    </row>
    <row r="158" spans="1:9" x14ac:dyDescent="0.25">
      <c r="A158" s="692" t="s">
        <v>115</v>
      </c>
      <c r="B158" s="692"/>
      <c r="C158" s="2109" t="s">
        <v>1253</v>
      </c>
      <c r="D158" s="2109"/>
      <c r="E158" s="2109"/>
      <c r="F158" s="2109"/>
      <c r="G158" s="2109"/>
      <c r="H158" s="2109"/>
      <c r="I158" s="2109"/>
    </row>
    <row r="159" spans="1:9" x14ac:dyDescent="0.25">
      <c r="A159" s="692" t="s">
        <v>117</v>
      </c>
      <c r="B159" s="692"/>
      <c r="C159" s="2053" t="s">
        <v>1254</v>
      </c>
      <c r="D159" s="2053"/>
      <c r="E159" s="2053"/>
      <c r="F159" s="2053"/>
      <c r="G159" s="2053"/>
      <c r="H159" s="2053"/>
      <c r="I159" s="2053"/>
    </row>
    <row r="160" spans="1:9" x14ac:dyDescent="0.25">
      <c r="A160" s="1989" t="s">
        <v>47</v>
      </c>
      <c r="B160" s="1989" t="s">
        <v>119</v>
      </c>
      <c r="C160" s="2105" t="s">
        <v>120</v>
      </c>
      <c r="D160" s="1989" t="s">
        <v>121</v>
      </c>
      <c r="E160" s="1989" t="s">
        <v>122</v>
      </c>
      <c r="F160" s="693"/>
      <c r="G160" s="525"/>
      <c r="H160" s="525"/>
      <c r="I160" s="1989" t="s">
        <v>126</v>
      </c>
    </row>
    <row r="161" spans="1:9" ht="38.25" x14ac:dyDescent="0.25">
      <c r="A161" s="1989"/>
      <c r="B161" s="1989"/>
      <c r="C161" s="2105"/>
      <c r="D161" s="1989"/>
      <c r="E161" s="1989"/>
      <c r="F161" s="694" t="s">
        <v>129</v>
      </c>
      <c r="G161" s="526" t="s">
        <v>124</v>
      </c>
      <c r="H161" s="1797" t="s">
        <v>2165</v>
      </c>
      <c r="I161" s="1989"/>
    </row>
    <row r="162" spans="1:9" x14ac:dyDescent="0.25">
      <c r="A162" s="1980" t="s">
        <v>2182</v>
      </c>
      <c r="B162" s="1981"/>
      <c r="C162" s="695">
        <f>SUM(C163:C187)</f>
        <v>1159400</v>
      </c>
      <c r="D162" s="696">
        <f>SUM(D163:D187)</f>
        <v>336734</v>
      </c>
      <c r="E162" s="696">
        <f>SUM(E163:E187)</f>
        <v>4957500</v>
      </c>
      <c r="F162" s="695"/>
      <c r="G162" s="696">
        <f>SUM(G163:G187)</f>
        <v>3982243</v>
      </c>
      <c r="H162" s="696">
        <f>SUM(H163:H187)</f>
        <v>5666224</v>
      </c>
      <c r="I162" s="528"/>
    </row>
    <row r="163" spans="1:9" s="743" customFormat="1" ht="32.25" customHeight="1" x14ac:dyDescent="0.25">
      <c r="A163" s="2110" t="s">
        <v>763</v>
      </c>
      <c r="B163" s="2103" t="s">
        <v>1255</v>
      </c>
      <c r="C163" s="699">
        <v>800000</v>
      </c>
      <c r="D163" s="699">
        <v>0</v>
      </c>
      <c r="E163" s="699">
        <v>3700000</v>
      </c>
      <c r="F163" s="701">
        <v>5240</v>
      </c>
      <c r="G163" s="699">
        <v>3700000</v>
      </c>
      <c r="H163" s="699">
        <f t="shared" ref="H163:H187" si="10">ROUNDUP(G163/0.702804,0)</f>
        <v>5264626</v>
      </c>
      <c r="I163" s="711" t="s">
        <v>1256</v>
      </c>
    </row>
    <row r="164" spans="1:9" s="743" customFormat="1" ht="72.75" customHeight="1" x14ac:dyDescent="0.25">
      <c r="A164" s="2111"/>
      <c r="B164" s="2104"/>
      <c r="C164" s="699">
        <v>37850</v>
      </c>
      <c r="D164" s="699">
        <v>37765</v>
      </c>
      <c r="E164" s="699">
        <v>5000</v>
      </c>
      <c r="F164" s="701">
        <v>5240</v>
      </c>
      <c r="G164" s="699">
        <v>5000</v>
      </c>
      <c r="H164" s="699">
        <f t="shared" si="10"/>
        <v>7115</v>
      </c>
      <c r="I164" s="720" t="s">
        <v>1257</v>
      </c>
    </row>
    <row r="165" spans="1:9" s="743" customFormat="1" ht="33.75" customHeight="1" x14ac:dyDescent="0.25">
      <c r="A165" s="2110" t="s">
        <v>775</v>
      </c>
      <c r="B165" s="2103" t="s">
        <v>1258</v>
      </c>
      <c r="C165" s="699">
        <v>0</v>
      </c>
      <c r="D165" s="699">
        <v>0</v>
      </c>
      <c r="E165" s="699">
        <v>87000</v>
      </c>
      <c r="F165" s="701">
        <v>5240</v>
      </c>
      <c r="G165" s="699"/>
      <c r="H165" s="699">
        <f t="shared" si="10"/>
        <v>0</v>
      </c>
      <c r="I165" s="711" t="s">
        <v>1256</v>
      </c>
    </row>
    <row r="166" spans="1:9" s="743" customFormat="1" ht="72.75" customHeight="1" x14ac:dyDescent="0.25">
      <c r="A166" s="2111"/>
      <c r="B166" s="2104"/>
      <c r="C166" s="699">
        <v>0</v>
      </c>
      <c r="D166" s="699">
        <v>0</v>
      </c>
      <c r="E166" s="699">
        <v>2000</v>
      </c>
      <c r="F166" s="701">
        <v>5240</v>
      </c>
      <c r="G166" s="699"/>
      <c r="H166" s="699">
        <f t="shared" si="10"/>
        <v>0</v>
      </c>
      <c r="I166" s="720" t="s">
        <v>1257</v>
      </c>
    </row>
    <row r="167" spans="1:9" s="743" customFormat="1" ht="25.5" x14ac:dyDescent="0.25">
      <c r="A167" s="706" t="s">
        <v>939</v>
      </c>
      <c r="B167" s="698" t="s">
        <v>1259</v>
      </c>
      <c r="C167" s="699">
        <v>0</v>
      </c>
      <c r="D167" s="699">
        <v>0</v>
      </c>
      <c r="E167" s="699">
        <v>100000</v>
      </c>
      <c r="F167" s="701">
        <v>5250</v>
      </c>
      <c r="G167" s="699"/>
      <c r="H167" s="699">
        <f t="shared" si="10"/>
        <v>0</v>
      </c>
      <c r="I167" s="720"/>
    </row>
    <row r="168" spans="1:9" s="743" customFormat="1" ht="25.5" x14ac:dyDescent="0.25">
      <c r="A168" s="706" t="s">
        <v>949</v>
      </c>
      <c r="B168" s="698" t="s">
        <v>1260</v>
      </c>
      <c r="C168" s="748">
        <v>3449</v>
      </c>
      <c r="D168" s="699">
        <v>3449</v>
      </c>
      <c r="E168" s="699">
        <v>0</v>
      </c>
      <c r="F168" s="701">
        <v>5250</v>
      </c>
      <c r="G168" s="699"/>
      <c r="H168" s="699">
        <f t="shared" si="10"/>
        <v>0</v>
      </c>
      <c r="I168" s="720"/>
    </row>
    <row r="169" spans="1:9" s="743" customFormat="1" ht="84" customHeight="1" x14ac:dyDescent="0.25">
      <c r="A169" s="706" t="s">
        <v>958</v>
      </c>
      <c r="B169" s="698" t="s">
        <v>1261</v>
      </c>
      <c r="C169" s="748">
        <v>0</v>
      </c>
      <c r="D169" s="699">
        <v>0</v>
      </c>
      <c r="E169" s="699">
        <v>155000</v>
      </c>
      <c r="F169" s="701">
        <v>5250</v>
      </c>
      <c r="G169" s="699">
        <v>155000</v>
      </c>
      <c r="H169" s="699">
        <f t="shared" si="10"/>
        <v>220546</v>
      </c>
      <c r="I169" s="720" t="s">
        <v>1262</v>
      </c>
    </row>
    <row r="170" spans="1:9" s="743" customFormat="1" ht="75" customHeight="1" x14ac:dyDescent="0.25">
      <c r="A170" s="706" t="s">
        <v>1055</v>
      </c>
      <c r="B170" s="698" t="s">
        <v>1263</v>
      </c>
      <c r="C170" s="699">
        <v>0</v>
      </c>
      <c r="D170" s="699">
        <v>0</v>
      </c>
      <c r="E170" s="699">
        <v>253500</v>
      </c>
      <c r="F170" s="701">
        <v>5250</v>
      </c>
      <c r="G170" s="699"/>
      <c r="H170" s="699">
        <f t="shared" si="10"/>
        <v>0</v>
      </c>
      <c r="I170" s="720" t="s">
        <v>1264</v>
      </c>
    </row>
    <row r="171" spans="1:9" s="745" customFormat="1" ht="89.25" customHeight="1" x14ac:dyDescent="0.25">
      <c r="A171" s="706" t="s">
        <v>1178</v>
      </c>
      <c r="B171" s="698" t="s">
        <v>1265</v>
      </c>
      <c r="C171" s="699">
        <v>54000</v>
      </c>
      <c r="D171" s="699">
        <v>53920</v>
      </c>
      <c r="E171" s="699">
        <v>5000</v>
      </c>
      <c r="F171" s="701">
        <v>5250</v>
      </c>
      <c r="G171" s="699"/>
      <c r="H171" s="699">
        <f t="shared" si="10"/>
        <v>0</v>
      </c>
      <c r="I171" s="720" t="s">
        <v>1266</v>
      </c>
    </row>
    <row r="172" spans="1:9" s="745" customFormat="1" ht="38.25" x14ac:dyDescent="0.25">
      <c r="A172" s="744" t="s">
        <v>1181</v>
      </c>
      <c r="B172" s="698" t="s">
        <v>1267</v>
      </c>
      <c r="C172" s="748">
        <v>22187</v>
      </c>
      <c r="D172" s="699">
        <v>22187</v>
      </c>
      <c r="E172" s="699">
        <v>0</v>
      </c>
      <c r="F172" s="701">
        <v>5250</v>
      </c>
      <c r="G172" s="699"/>
      <c r="H172" s="699">
        <f t="shared" si="10"/>
        <v>0</v>
      </c>
      <c r="I172" s="711"/>
    </row>
    <row r="173" spans="1:9" s="747" customFormat="1" x14ac:dyDescent="0.25">
      <c r="A173" s="744" t="s">
        <v>1183</v>
      </c>
      <c r="B173" s="698" t="s">
        <v>1268</v>
      </c>
      <c r="C173" s="748">
        <v>60589</v>
      </c>
      <c r="D173" s="699">
        <v>60589</v>
      </c>
      <c r="E173" s="699">
        <v>0</v>
      </c>
      <c r="F173" s="701">
        <v>5250</v>
      </c>
      <c r="G173" s="699"/>
      <c r="H173" s="699">
        <f t="shared" si="10"/>
        <v>0</v>
      </c>
      <c r="I173" s="711"/>
    </row>
    <row r="174" spans="1:9" s="743" customFormat="1" ht="25.5" x14ac:dyDescent="0.25">
      <c r="A174" s="749" t="s">
        <v>1184</v>
      </c>
      <c r="B174" s="737" t="s">
        <v>1269</v>
      </c>
      <c r="C174" s="750">
        <v>1000</v>
      </c>
      <c r="D174" s="750">
        <v>958</v>
      </c>
      <c r="E174" s="750">
        <v>0</v>
      </c>
      <c r="F174" s="1750">
        <v>5240</v>
      </c>
      <c r="G174" s="750"/>
      <c r="H174" s="699">
        <f t="shared" si="10"/>
        <v>0</v>
      </c>
      <c r="I174" s="751"/>
    </row>
    <row r="175" spans="1:9" s="743" customFormat="1" ht="36" customHeight="1" x14ac:dyDescent="0.25">
      <c r="A175" s="706" t="s">
        <v>1185</v>
      </c>
      <c r="B175" s="698" t="s">
        <v>1270</v>
      </c>
      <c r="C175" s="699">
        <v>0</v>
      </c>
      <c r="D175" s="699">
        <v>0</v>
      </c>
      <c r="E175" s="699">
        <v>150000</v>
      </c>
      <c r="F175" s="701">
        <v>5240</v>
      </c>
      <c r="G175" s="699"/>
      <c r="H175" s="699">
        <f t="shared" si="10"/>
        <v>0</v>
      </c>
      <c r="I175" s="720" t="s">
        <v>1271</v>
      </c>
    </row>
    <row r="176" spans="1:9" s="745" customFormat="1" ht="67.5" customHeight="1" x14ac:dyDescent="0.25">
      <c r="A176" s="706" t="s">
        <v>1188</v>
      </c>
      <c r="B176" s="698" t="s">
        <v>1272</v>
      </c>
      <c r="C176" s="699">
        <v>0</v>
      </c>
      <c r="D176" s="699">
        <v>0</v>
      </c>
      <c r="E176" s="699">
        <v>0</v>
      </c>
      <c r="F176" s="701">
        <v>5250</v>
      </c>
      <c r="G176" s="699"/>
      <c r="H176" s="699">
        <f t="shared" si="10"/>
        <v>0</v>
      </c>
      <c r="I176" s="720" t="s">
        <v>1273</v>
      </c>
    </row>
    <row r="177" spans="1:9" s="745" customFormat="1" x14ac:dyDescent="0.25">
      <c r="A177" s="706" t="s">
        <v>1190</v>
      </c>
      <c r="B177" s="698" t="s">
        <v>1274</v>
      </c>
      <c r="C177" s="699">
        <v>10000</v>
      </c>
      <c r="D177" s="699">
        <v>9946</v>
      </c>
      <c r="E177" s="699">
        <v>0</v>
      </c>
      <c r="F177" s="701">
        <v>2241</v>
      </c>
      <c r="G177" s="699"/>
      <c r="H177" s="699">
        <f t="shared" si="10"/>
        <v>0</v>
      </c>
      <c r="I177" s="720"/>
    </row>
    <row r="178" spans="1:9" s="745" customFormat="1" x14ac:dyDescent="0.25">
      <c r="A178" s="706" t="s">
        <v>1191</v>
      </c>
      <c r="B178" s="698" t="s">
        <v>1275</v>
      </c>
      <c r="C178" s="699">
        <v>14634</v>
      </c>
      <c r="D178" s="699">
        <v>14634</v>
      </c>
      <c r="E178" s="699">
        <v>0</v>
      </c>
      <c r="F178" s="701">
        <v>5250</v>
      </c>
      <c r="G178" s="699"/>
      <c r="H178" s="699">
        <f t="shared" si="10"/>
        <v>0</v>
      </c>
      <c r="I178" s="720"/>
    </row>
    <row r="179" spans="1:9" s="745" customFormat="1" x14ac:dyDescent="0.25">
      <c r="A179" s="706" t="s">
        <v>1276</v>
      </c>
      <c r="B179" s="698" t="s">
        <v>1277</v>
      </c>
      <c r="C179" s="699">
        <v>14647</v>
      </c>
      <c r="D179" s="699">
        <v>14647</v>
      </c>
      <c r="E179" s="699">
        <v>0</v>
      </c>
      <c r="F179" s="701">
        <v>5250</v>
      </c>
      <c r="G179" s="699"/>
      <c r="H179" s="699">
        <f t="shared" si="10"/>
        <v>0</v>
      </c>
      <c r="I179" s="720"/>
    </row>
    <row r="180" spans="1:9" s="745" customFormat="1" x14ac:dyDescent="0.25">
      <c r="A180" s="706" t="s">
        <v>1278</v>
      </c>
      <c r="B180" s="698" t="s">
        <v>1279</v>
      </c>
      <c r="C180" s="699">
        <v>45000</v>
      </c>
      <c r="D180" s="699">
        <v>44999</v>
      </c>
      <c r="E180" s="699">
        <v>0</v>
      </c>
      <c r="F180" s="701">
        <v>5250</v>
      </c>
      <c r="G180" s="699"/>
      <c r="H180" s="699">
        <f t="shared" si="10"/>
        <v>0</v>
      </c>
      <c r="I180" s="720"/>
    </row>
    <row r="181" spans="1:9" s="745" customFormat="1" x14ac:dyDescent="0.25">
      <c r="A181" s="706" t="s">
        <v>1280</v>
      </c>
      <c r="B181" s="698" t="s">
        <v>1281</v>
      </c>
      <c r="C181" s="699">
        <v>12000</v>
      </c>
      <c r="D181" s="699">
        <v>11921</v>
      </c>
      <c r="E181" s="699">
        <v>0</v>
      </c>
      <c r="F181" s="701">
        <v>2241</v>
      </c>
      <c r="G181" s="699"/>
      <c r="H181" s="699">
        <f t="shared" si="10"/>
        <v>0</v>
      </c>
      <c r="I181" s="720"/>
    </row>
    <row r="182" spans="1:9" s="745" customFormat="1" x14ac:dyDescent="0.25">
      <c r="A182" s="706" t="s">
        <v>1282</v>
      </c>
      <c r="B182" s="698" t="s">
        <v>1283</v>
      </c>
      <c r="C182" s="699">
        <v>8464</v>
      </c>
      <c r="D182" s="699">
        <v>8464</v>
      </c>
      <c r="E182" s="699">
        <v>0</v>
      </c>
      <c r="F182" s="701">
        <v>2241</v>
      </c>
      <c r="G182" s="699"/>
      <c r="H182" s="699">
        <f t="shared" si="10"/>
        <v>0</v>
      </c>
      <c r="I182" s="720"/>
    </row>
    <row r="183" spans="1:9" s="745" customFormat="1" x14ac:dyDescent="0.25">
      <c r="A183" s="706" t="s">
        <v>1284</v>
      </c>
      <c r="B183" s="698" t="s">
        <v>1285</v>
      </c>
      <c r="C183" s="699">
        <v>8000</v>
      </c>
      <c r="D183" s="699">
        <v>7973</v>
      </c>
      <c r="E183" s="699">
        <v>0</v>
      </c>
      <c r="F183" s="701">
        <v>2241</v>
      </c>
      <c r="G183" s="699"/>
      <c r="H183" s="699">
        <f t="shared" si="10"/>
        <v>0</v>
      </c>
      <c r="I183" s="720"/>
    </row>
    <row r="184" spans="1:9" s="745" customFormat="1" x14ac:dyDescent="0.25">
      <c r="A184" s="2110" t="s">
        <v>1286</v>
      </c>
      <c r="B184" s="2103" t="s">
        <v>1287</v>
      </c>
      <c r="C184" s="699">
        <v>14980</v>
      </c>
      <c r="D184" s="699">
        <v>14978</v>
      </c>
      <c r="E184" s="699">
        <v>0</v>
      </c>
      <c r="F184" s="701">
        <v>5240</v>
      </c>
      <c r="G184" s="699"/>
      <c r="H184" s="699">
        <f t="shared" si="10"/>
        <v>0</v>
      </c>
      <c r="I184" s="720"/>
    </row>
    <row r="185" spans="1:9" s="745" customFormat="1" x14ac:dyDescent="0.25">
      <c r="A185" s="2112"/>
      <c r="B185" s="2113"/>
      <c r="C185" s="699">
        <v>42600</v>
      </c>
      <c r="D185" s="699">
        <f>42600-22243</f>
        <v>20357</v>
      </c>
      <c r="E185" s="699">
        <v>0</v>
      </c>
      <c r="F185" s="701">
        <v>5250</v>
      </c>
      <c r="G185" s="699">
        <v>22243</v>
      </c>
      <c r="H185" s="699">
        <f t="shared" si="10"/>
        <v>31649</v>
      </c>
      <c r="I185" s="720" t="s">
        <v>1986</v>
      </c>
    </row>
    <row r="186" spans="1:9" s="745" customFormat="1" x14ac:dyDescent="0.25">
      <c r="A186" s="2111"/>
      <c r="B186" s="2104"/>
      <c r="C186" s="699">
        <v>10000</v>
      </c>
      <c r="D186" s="699">
        <v>9947</v>
      </c>
      <c r="E186" s="699">
        <v>0</v>
      </c>
      <c r="F186" s="701">
        <v>2241</v>
      </c>
      <c r="G186" s="699"/>
      <c r="H186" s="699">
        <f t="shared" si="10"/>
        <v>0</v>
      </c>
      <c r="I186" s="720"/>
    </row>
    <row r="187" spans="1:9" s="745" customFormat="1" ht="26.25" x14ac:dyDescent="0.25">
      <c r="A187" s="729" t="s">
        <v>1288</v>
      </c>
      <c r="B187" s="730" t="s">
        <v>1289</v>
      </c>
      <c r="C187" s="699">
        <v>0</v>
      </c>
      <c r="D187" s="699">
        <v>0</v>
      </c>
      <c r="E187" s="699">
        <v>500000</v>
      </c>
      <c r="F187" s="701">
        <v>2275</v>
      </c>
      <c r="G187" s="699">
        <v>100000</v>
      </c>
      <c r="H187" s="699">
        <f t="shared" si="10"/>
        <v>142288</v>
      </c>
      <c r="I187" s="711" t="s">
        <v>1290</v>
      </c>
    </row>
    <row r="188" spans="1:9" x14ac:dyDescent="0.25">
      <c r="A188" s="738"/>
      <c r="B188" s="738"/>
      <c r="C188" s="739"/>
      <c r="D188" s="740"/>
      <c r="E188" s="740"/>
      <c r="F188" s="739"/>
      <c r="G188" s="740"/>
      <c r="H188" s="740"/>
      <c r="I188" s="741"/>
    </row>
    <row r="189" spans="1:9" x14ac:dyDescent="0.25">
      <c r="A189" s="692" t="s">
        <v>115</v>
      </c>
      <c r="B189" s="692"/>
      <c r="C189" s="2109" t="s">
        <v>1291</v>
      </c>
      <c r="D189" s="2109"/>
      <c r="E189" s="2109"/>
      <c r="F189" s="2109"/>
      <c r="G189" s="2109"/>
      <c r="H189" s="2109"/>
      <c r="I189" s="2109"/>
    </row>
    <row r="190" spans="1:9" x14ac:dyDescent="0.25">
      <c r="A190" s="692" t="s">
        <v>117</v>
      </c>
      <c r="B190" s="692"/>
      <c r="C190" s="2053" t="s">
        <v>1292</v>
      </c>
      <c r="D190" s="2053"/>
      <c r="E190" s="2053"/>
      <c r="F190" s="2053"/>
      <c r="G190" s="2053"/>
      <c r="H190" s="2053"/>
      <c r="I190" s="2053"/>
    </row>
    <row r="191" spans="1:9" x14ac:dyDescent="0.25">
      <c r="A191" s="1989" t="s">
        <v>47</v>
      </c>
      <c r="B191" s="1989" t="s">
        <v>119</v>
      </c>
      <c r="C191" s="2105" t="s">
        <v>120</v>
      </c>
      <c r="D191" s="1989" t="s">
        <v>121</v>
      </c>
      <c r="E191" s="1989" t="s">
        <v>122</v>
      </c>
      <c r="F191" s="693"/>
      <c r="G191" s="525"/>
      <c r="H191" s="525"/>
      <c r="I191" s="1989" t="s">
        <v>126</v>
      </c>
    </row>
    <row r="192" spans="1:9" ht="38.25" x14ac:dyDescent="0.25">
      <c r="A192" s="1989"/>
      <c r="B192" s="1989"/>
      <c r="C192" s="2105"/>
      <c r="D192" s="1989"/>
      <c r="E192" s="1989"/>
      <c r="F192" s="694" t="s">
        <v>129</v>
      </c>
      <c r="G192" s="526" t="s">
        <v>124</v>
      </c>
      <c r="H192" s="1797" t="s">
        <v>2165</v>
      </c>
      <c r="I192" s="1989"/>
    </row>
    <row r="193" spans="1:9" x14ac:dyDescent="0.25">
      <c r="A193" s="1980" t="s">
        <v>2182</v>
      </c>
      <c r="B193" s="1981"/>
      <c r="C193" s="695">
        <f>SUM(C194:C196)</f>
        <v>29308</v>
      </c>
      <c r="D193" s="696">
        <f>SUM(D194:D196)</f>
        <v>29308</v>
      </c>
      <c r="E193" s="696">
        <f>SUM(E194:E196)</f>
        <v>90000</v>
      </c>
      <c r="F193" s="695"/>
      <c r="G193" s="696">
        <f>SUM(G194:G196)</f>
        <v>40000</v>
      </c>
      <c r="H193" s="696">
        <f>SUM(H194:H196)</f>
        <v>56915</v>
      </c>
      <c r="I193" s="528"/>
    </row>
    <row r="194" spans="1:9" s="745" customFormat="1" x14ac:dyDescent="0.25">
      <c r="A194" s="744" t="s">
        <v>763</v>
      </c>
      <c r="B194" s="698" t="s">
        <v>1293</v>
      </c>
      <c r="C194" s="699">
        <v>29308</v>
      </c>
      <c r="D194" s="699">
        <v>29308</v>
      </c>
      <c r="E194" s="699">
        <v>0</v>
      </c>
      <c r="F194" s="701">
        <v>5250</v>
      </c>
      <c r="G194" s="699"/>
      <c r="H194" s="699">
        <f t="shared" ref="H194:H196" si="11">ROUNDUP(G194/0.702804,0)</f>
        <v>0</v>
      </c>
      <c r="I194" s="711"/>
    </row>
    <row r="195" spans="1:9" s="745" customFormat="1" ht="26.25" x14ac:dyDescent="0.25">
      <c r="A195" s="706" t="s">
        <v>775</v>
      </c>
      <c r="B195" s="698" t="s">
        <v>1294</v>
      </c>
      <c r="C195" s="699">
        <v>0</v>
      </c>
      <c r="D195" s="699">
        <v>0</v>
      </c>
      <c r="E195" s="699">
        <v>50000</v>
      </c>
      <c r="F195" s="701">
        <v>5240</v>
      </c>
      <c r="G195" s="699"/>
      <c r="H195" s="699">
        <f t="shared" si="11"/>
        <v>0</v>
      </c>
      <c r="I195" s="711" t="s">
        <v>1295</v>
      </c>
    </row>
    <row r="196" spans="1:9" x14ac:dyDescent="0.25">
      <c r="A196" s="1683">
        <v>3</v>
      </c>
      <c r="B196" s="1684" t="s">
        <v>1814</v>
      </c>
      <c r="C196" s="1685"/>
      <c r="D196" s="1685"/>
      <c r="E196" s="1217">
        <v>40000</v>
      </c>
      <c r="F196" s="1749">
        <v>5250</v>
      </c>
      <c r="G196" s="1217">
        <v>40000</v>
      </c>
      <c r="H196" s="699">
        <f t="shared" si="11"/>
        <v>56915</v>
      </c>
      <c r="I196" s="1218" t="s">
        <v>1939</v>
      </c>
    </row>
    <row r="197" spans="1:9" x14ac:dyDescent="0.25">
      <c r="A197" s="738"/>
      <c r="B197" s="738"/>
      <c r="C197" s="739"/>
      <c r="D197" s="740"/>
      <c r="E197" s="740"/>
      <c r="F197" s="739"/>
      <c r="G197" s="740"/>
      <c r="H197" s="740"/>
      <c r="I197" s="741"/>
    </row>
    <row r="198" spans="1:9" x14ac:dyDescent="0.25">
      <c r="A198" s="738"/>
      <c r="B198" s="738"/>
      <c r="C198" s="739"/>
      <c r="D198" s="740"/>
      <c r="E198" s="740"/>
      <c r="F198" s="739"/>
      <c r="G198" s="740"/>
      <c r="H198" s="740"/>
      <c r="I198" s="741"/>
    </row>
    <row r="199" spans="1:9" x14ac:dyDescent="0.25">
      <c r="A199" s="738"/>
      <c r="B199" s="738"/>
      <c r="C199" s="739"/>
      <c r="D199" s="740"/>
      <c r="E199" s="740"/>
      <c r="F199" s="739"/>
      <c r="G199" s="740"/>
      <c r="H199" s="740"/>
      <c r="I199" s="741"/>
    </row>
    <row r="200" spans="1:9" x14ac:dyDescent="0.25">
      <c r="A200" s="738"/>
      <c r="B200" s="738"/>
      <c r="C200" s="739"/>
      <c r="D200" s="740"/>
      <c r="E200" s="740"/>
      <c r="F200" s="739"/>
      <c r="G200" s="740"/>
      <c r="H200" s="740"/>
      <c r="I200" s="741"/>
    </row>
    <row r="201" spans="1:9" x14ac:dyDescent="0.25">
      <c r="A201" s="692" t="s">
        <v>115</v>
      </c>
      <c r="B201" s="692"/>
      <c r="C201" s="2109" t="s">
        <v>1296</v>
      </c>
      <c r="D201" s="2109"/>
      <c r="E201" s="2109"/>
      <c r="F201" s="2109"/>
      <c r="G201" s="2109"/>
      <c r="H201" s="2109"/>
      <c r="I201" s="2109"/>
    </row>
    <row r="202" spans="1:9" x14ac:dyDescent="0.25">
      <c r="A202" s="692" t="s">
        <v>117</v>
      </c>
      <c r="B202" s="692"/>
      <c r="C202" s="2053" t="s">
        <v>1297</v>
      </c>
      <c r="D202" s="2053"/>
      <c r="E202" s="2053"/>
      <c r="F202" s="2053"/>
      <c r="G202" s="2053"/>
      <c r="H202" s="2053"/>
      <c r="I202" s="2053"/>
    </row>
    <row r="203" spans="1:9" x14ac:dyDescent="0.25">
      <c r="A203" s="1989" t="s">
        <v>47</v>
      </c>
      <c r="B203" s="1989" t="s">
        <v>119</v>
      </c>
      <c r="C203" s="2105" t="s">
        <v>120</v>
      </c>
      <c r="D203" s="1989" t="s">
        <v>121</v>
      </c>
      <c r="E203" s="1989" t="s">
        <v>122</v>
      </c>
      <c r="F203" s="693"/>
      <c r="G203" s="525"/>
      <c r="H203" s="525"/>
      <c r="I203" s="1989" t="s">
        <v>126</v>
      </c>
    </row>
    <row r="204" spans="1:9" ht="38.25" x14ac:dyDescent="0.25">
      <c r="A204" s="1989"/>
      <c r="B204" s="1989"/>
      <c r="C204" s="2105"/>
      <c r="D204" s="1989"/>
      <c r="E204" s="1989"/>
      <c r="F204" s="694" t="s">
        <v>129</v>
      </c>
      <c r="G204" s="526" t="s">
        <v>124</v>
      </c>
      <c r="H204" s="1797" t="s">
        <v>2165</v>
      </c>
      <c r="I204" s="1989"/>
    </row>
    <row r="205" spans="1:9" x14ac:dyDescent="0.25">
      <c r="A205" s="1980" t="s">
        <v>2182</v>
      </c>
      <c r="B205" s="1981"/>
      <c r="C205" s="695">
        <f>SUM(C206:C209)</f>
        <v>714691</v>
      </c>
      <c r="D205" s="696">
        <f>SUM(D206:D209)</f>
        <v>685289</v>
      </c>
      <c r="E205" s="696">
        <f>SUM(E206:E209)</f>
        <v>2100</v>
      </c>
      <c r="F205" s="695"/>
      <c r="G205" s="696">
        <f>SUM(G206:G209)</f>
        <v>2100</v>
      </c>
      <c r="H205" s="696">
        <f>SUM(H206:H209)</f>
        <v>2989</v>
      </c>
      <c r="I205" s="528"/>
    </row>
    <row r="206" spans="1:9" s="713" customFormat="1" ht="15" x14ac:dyDescent="0.2">
      <c r="A206" s="706" t="s">
        <v>763</v>
      </c>
      <c r="B206" s="698" t="s">
        <v>1298</v>
      </c>
      <c r="C206" s="699">
        <v>2100</v>
      </c>
      <c r="D206" s="699">
        <v>2100</v>
      </c>
      <c r="E206" s="699">
        <v>2100</v>
      </c>
      <c r="F206" s="701">
        <v>2241</v>
      </c>
      <c r="G206" s="877">
        <v>2100</v>
      </c>
      <c r="H206" s="877">
        <f t="shared" ref="H206:H209" si="12">ROUNDUP(G206/0.702804,0)</f>
        <v>2989</v>
      </c>
      <c r="I206" s="711"/>
    </row>
    <row r="207" spans="1:9" s="713" customFormat="1" ht="15" x14ac:dyDescent="0.2">
      <c r="A207" s="2107" t="s">
        <v>775</v>
      </c>
      <c r="B207" s="2106" t="s">
        <v>1299</v>
      </c>
      <c r="C207" s="699">
        <v>698389</v>
      </c>
      <c r="D207" s="699">
        <v>669524</v>
      </c>
      <c r="E207" s="699">
        <v>0</v>
      </c>
      <c r="F207" s="701">
        <v>5250</v>
      </c>
      <c r="G207" s="877"/>
      <c r="H207" s="877">
        <f t="shared" si="12"/>
        <v>0</v>
      </c>
      <c r="I207" s="698" t="s">
        <v>1244</v>
      </c>
    </row>
    <row r="208" spans="1:9" s="713" customFormat="1" ht="32.25" customHeight="1" x14ac:dyDescent="0.2">
      <c r="A208" s="2107"/>
      <c r="B208" s="2106"/>
      <c r="C208" s="699">
        <v>7727</v>
      </c>
      <c r="D208" s="699">
        <v>7190</v>
      </c>
      <c r="E208" s="699">
        <v>0</v>
      </c>
      <c r="F208" s="701">
        <v>5250</v>
      </c>
      <c r="G208" s="877"/>
      <c r="H208" s="877">
        <f t="shared" si="12"/>
        <v>0</v>
      </c>
      <c r="I208" s="711"/>
    </row>
    <row r="209" spans="1:9" s="713" customFormat="1" ht="15" x14ac:dyDescent="0.2">
      <c r="A209" s="706" t="s">
        <v>939</v>
      </c>
      <c r="B209" s="698" t="s">
        <v>1300</v>
      </c>
      <c r="C209" s="699">
        <v>6475</v>
      </c>
      <c r="D209" s="699">
        <v>6475</v>
      </c>
      <c r="E209" s="699">
        <v>0</v>
      </c>
      <c r="F209" s="701">
        <v>5250</v>
      </c>
      <c r="G209" s="877"/>
      <c r="H209" s="877">
        <f t="shared" si="12"/>
        <v>0</v>
      </c>
      <c r="I209" s="711"/>
    </row>
    <row r="210" spans="1:9" x14ac:dyDescent="0.25">
      <c r="A210" s="752"/>
      <c r="B210" s="752"/>
      <c r="C210" s="739"/>
      <c r="D210" s="739"/>
      <c r="E210" s="739"/>
      <c r="F210" s="739"/>
      <c r="G210" s="739"/>
      <c r="H210" s="739"/>
      <c r="I210" s="753"/>
    </row>
    <row r="211" spans="1:9" x14ac:dyDescent="0.25">
      <c r="A211" s="752"/>
      <c r="B211" s="752"/>
      <c r="C211" s="739"/>
      <c r="D211" s="739"/>
      <c r="E211" s="739"/>
      <c r="F211" s="739"/>
      <c r="G211" s="739"/>
      <c r="H211" s="739"/>
      <c r="I211" s="753"/>
    </row>
    <row r="212" spans="1:9" x14ac:dyDescent="0.25">
      <c r="A212" s="242" t="s">
        <v>115</v>
      </c>
      <c r="B212" s="242"/>
      <c r="C212" s="2108" t="s">
        <v>1301</v>
      </c>
      <c r="D212" s="2108"/>
      <c r="E212" s="2108"/>
      <c r="F212" s="2108"/>
      <c r="G212" s="2108"/>
      <c r="H212" s="2108"/>
      <c r="I212" s="2108"/>
    </row>
    <row r="213" spans="1:9" x14ac:dyDescent="0.25">
      <c r="A213" s="692" t="s">
        <v>117</v>
      </c>
      <c r="B213" s="692"/>
      <c r="C213" s="2053" t="s">
        <v>1302</v>
      </c>
      <c r="D213" s="2053"/>
      <c r="E213" s="2053"/>
      <c r="F213" s="2053"/>
      <c r="G213" s="2053"/>
      <c r="H213" s="2053"/>
      <c r="I213" s="2053"/>
    </row>
    <row r="214" spans="1:9" ht="49.5" customHeight="1" x14ac:dyDescent="0.25">
      <c r="A214" s="1989" t="s">
        <v>47</v>
      </c>
      <c r="B214" s="1989" t="s">
        <v>119</v>
      </c>
      <c r="C214" s="2105" t="s">
        <v>120</v>
      </c>
      <c r="D214" s="1989" t="s">
        <v>121</v>
      </c>
      <c r="E214" s="1989" t="s">
        <v>122</v>
      </c>
      <c r="F214" s="693"/>
      <c r="G214" s="525"/>
      <c r="H214" s="525"/>
      <c r="I214" s="1989" t="s">
        <v>126</v>
      </c>
    </row>
    <row r="215" spans="1:9" ht="38.25" x14ac:dyDescent="0.25">
      <c r="A215" s="1989"/>
      <c r="B215" s="1989"/>
      <c r="C215" s="2105"/>
      <c r="D215" s="1989"/>
      <c r="E215" s="1989"/>
      <c r="F215" s="694" t="s">
        <v>129</v>
      </c>
      <c r="G215" s="526" t="s">
        <v>124</v>
      </c>
      <c r="H215" s="1797" t="s">
        <v>2165</v>
      </c>
      <c r="I215" s="1989"/>
    </row>
    <row r="216" spans="1:9" x14ac:dyDescent="0.25">
      <c r="A216" s="1980" t="s">
        <v>2182</v>
      </c>
      <c r="B216" s="1981"/>
      <c r="C216" s="695">
        <f>SUM(C217:C220)</f>
        <v>1376580</v>
      </c>
      <c r="D216" s="696">
        <f>SUM(D217:D220)</f>
        <v>400857</v>
      </c>
      <c r="E216" s="696">
        <f>SUM(E217:E220)</f>
        <v>1544523</v>
      </c>
      <c r="F216" s="695"/>
      <c r="G216" s="696">
        <f>SUM(G217:G220)</f>
        <v>1544523</v>
      </c>
      <c r="H216" s="696">
        <f>SUM(H217:H220)</f>
        <v>2197659</v>
      </c>
      <c r="I216" s="526"/>
    </row>
    <row r="217" spans="1:9" ht="25.5" customHeight="1" x14ac:dyDescent="0.25">
      <c r="A217" s="2101">
        <v>1</v>
      </c>
      <c r="B217" s="2103" t="s">
        <v>1303</v>
      </c>
      <c r="C217" s="699">
        <v>750000</v>
      </c>
      <c r="D217" s="699">
        <v>387547</v>
      </c>
      <c r="E217" s="699">
        <v>25723</v>
      </c>
      <c r="F217" s="701">
        <v>5250</v>
      </c>
      <c r="G217" s="877">
        <v>25723</v>
      </c>
      <c r="H217" s="877">
        <f t="shared" ref="H217:H220" si="13">ROUNDUP(G217/0.702804,0)</f>
        <v>36601</v>
      </c>
      <c r="I217" s="917" t="s">
        <v>1244</v>
      </c>
    </row>
    <row r="218" spans="1:9" ht="25.5" customHeight="1" x14ac:dyDescent="0.25">
      <c r="A218" s="2102"/>
      <c r="B218" s="2104"/>
      <c r="C218" s="699">
        <v>7710</v>
      </c>
      <c r="D218" s="699">
        <v>7710</v>
      </c>
      <c r="E218" s="699">
        <v>0</v>
      </c>
      <c r="F218" s="701">
        <v>5250</v>
      </c>
      <c r="G218" s="877"/>
      <c r="H218" s="877">
        <f t="shared" si="13"/>
        <v>0</v>
      </c>
      <c r="I218" s="755"/>
    </row>
    <row r="219" spans="1:9" ht="25.5" x14ac:dyDescent="0.25">
      <c r="A219" s="2105">
        <v>2</v>
      </c>
      <c r="B219" s="2106" t="s">
        <v>1304</v>
      </c>
      <c r="C219" s="756">
        <v>600000</v>
      </c>
      <c r="D219" s="756">
        <v>0</v>
      </c>
      <c r="E219" s="756">
        <v>1500000</v>
      </c>
      <c r="F219" s="701">
        <v>5240</v>
      </c>
      <c r="G219" s="699">
        <v>1500000</v>
      </c>
      <c r="H219" s="877">
        <f t="shared" si="13"/>
        <v>2134308</v>
      </c>
      <c r="I219" s="712" t="s">
        <v>1256</v>
      </c>
    </row>
    <row r="220" spans="1:9" ht="25.5" x14ac:dyDescent="0.25">
      <c r="A220" s="2105"/>
      <c r="B220" s="2106"/>
      <c r="C220" s="757">
        <v>18870</v>
      </c>
      <c r="D220" s="757">
        <v>5600</v>
      </c>
      <c r="E220" s="757">
        <v>18800</v>
      </c>
      <c r="F220" s="1064">
        <v>5240</v>
      </c>
      <c r="G220" s="733">
        <v>18800</v>
      </c>
      <c r="H220" s="877">
        <f t="shared" si="13"/>
        <v>26750</v>
      </c>
      <c r="I220" s="529" t="s">
        <v>1153</v>
      </c>
    </row>
    <row r="221" spans="1:9" x14ac:dyDescent="0.25">
      <c r="A221" s="738"/>
      <c r="B221" s="738"/>
      <c r="C221" s="739"/>
      <c r="D221" s="740"/>
      <c r="E221" s="740"/>
      <c r="F221" s="739"/>
      <c r="G221" s="740"/>
      <c r="H221" s="740"/>
      <c r="I221" s="741"/>
    </row>
    <row r="222" spans="1:9" x14ac:dyDescent="0.25">
      <c r="A222" s="2099" t="s">
        <v>2170</v>
      </c>
      <c r="B222" s="2100"/>
      <c r="C222" s="758">
        <f>C15+C23+C32+C63+C79+C92+C99+C109+C120+C133+C143+C162+C193+C205+C216-1578775</f>
        <v>11260503</v>
      </c>
      <c r="D222" s="759">
        <f>D15+D23+D32+D63+D79+D92+D99+D109+D120+D133+D143+D162+D193+D205+D216-1573498</f>
        <v>7916485</v>
      </c>
      <c r="E222" s="759">
        <f>E15+E23+E32+E63+E79+E92+E99+E109+E120+E133+E143+E162+E193+E205+E216-2019777</f>
        <v>17065595</v>
      </c>
      <c r="F222" s="758"/>
      <c r="G222" s="759">
        <f>G15+G23+G32+G63+G79+G92+G99+G109+G120+G133+G143+G162+G193+G205+G216-1681747</f>
        <v>13404707</v>
      </c>
      <c r="H222" s="759">
        <f>H15+H23+H32+H63+H79+H92+H99+H109+H120+H133+H143+H162+H193+H205+H216-2392917</f>
        <v>19073198</v>
      </c>
      <c r="I222" s="760"/>
    </row>
    <row r="223" spans="1:9" x14ac:dyDescent="0.25">
      <c r="A223" s="692"/>
      <c r="B223" s="692"/>
      <c r="C223" s="242"/>
      <c r="D223" s="692"/>
      <c r="E223" s="692"/>
      <c r="F223" s="242"/>
      <c r="G223" s="692"/>
      <c r="H223" s="692"/>
      <c r="I223" s="692"/>
    </row>
    <row r="224" spans="1:9" x14ac:dyDescent="0.25">
      <c r="A224" s="242"/>
      <c r="B224" s="1802"/>
      <c r="C224" s="242"/>
      <c r="D224" s="242"/>
      <c r="E224" s="1803"/>
      <c r="F224" s="242"/>
      <c r="G224" s="692"/>
      <c r="H224" s="692"/>
      <c r="I224" s="692"/>
    </row>
    <row r="225" spans="1:9" ht="18" customHeight="1" x14ac:dyDescent="0.25">
      <c r="A225" s="242"/>
      <c r="B225" s="242"/>
      <c r="C225" s="242"/>
      <c r="D225" s="242"/>
      <c r="E225" s="242"/>
      <c r="F225" s="242"/>
      <c r="G225" s="692"/>
      <c r="H225" s="692"/>
      <c r="I225" s="692"/>
    </row>
    <row r="226" spans="1:9" ht="18" customHeight="1" x14ac:dyDescent="0.25">
      <c r="A226" s="692"/>
      <c r="B226" s="692"/>
      <c r="C226" s="242"/>
      <c r="D226" s="692"/>
      <c r="E226" s="692"/>
      <c r="F226" s="242"/>
      <c r="G226" s="692"/>
      <c r="H226" s="692"/>
      <c r="I226" s="692"/>
    </row>
    <row r="227" spans="1:9" ht="18" customHeight="1" x14ac:dyDescent="0.25">
      <c r="A227" s="692"/>
      <c r="B227" s="692"/>
      <c r="C227" s="242"/>
      <c r="D227" s="692"/>
      <c r="E227" s="692"/>
      <c r="F227" s="242"/>
      <c r="G227" s="692"/>
      <c r="H227" s="692"/>
      <c r="I227" s="692"/>
    </row>
    <row r="228" spans="1:9" x14ac:dyDescent="0.25">
      <c r="A228" s="692"/>
      <c r="B228" s="692"/>
      <c r="C228" s="242"/>
      <c r="D228" s="692"/>
      <c r="E228" s="692"/>
      <c r="F228" s="242"/>
      <c r="G228" s="692"/>
      <c r="H228" s="692"/>
      <c r="I228" s="692"/>
    </row>
    <row r="229" spans="1:9" x14ac:dyDescent="0.25">
      <c r="A229" s="692"/>
      <c r="B229" s="692"/>
      <c r="C229" s="242"/>
      <c r="D229" s="692"/>
      <c r="E229" s="692"/>
      <c r="F229" s="242"/>
      <c r="G229" s="692"/>
      <c r="H229" s="692"/>
      <c r="I229" s="692"/>
    </row>
    <row r="230" spans="1:9" x14ac:dyDescent="0.25">
      <c r="A230" s="692"/>
      <c r="B230" s="692"/>
      <c r="C230" s="242"/>
      <c r="D230" s="692"/>
      <c r="E230" s="692"/>
      <c r="F230" s="242"/>
      <c r="G230" s="692"/>
      <c r="H230" s="692"/>
      <c r="I230" s="692"/>
    </row>
  </sheetData>
  <sheetProtection password="CA5B" sheet="1" objects="1" scenarios="1"/>
  <mergeCells count="177">
    <mergeCell ref="A8:I8"/>
    <mergeCell ref="C10:I10"/>
    <mergeCell ref="C11:I11"/>
    <mergeCell ref="C12:I12"/>
    <mergeCell ref="A13:A14"/>
    <mergeCell ref="B13:B14"/>
    <mergeCell ref="C13:C14"/>
    <mergeCell ref="D13:D14"/>
    <mergeCell ref="E13:E14"/>
    <mergeCell ref="I13:I14"/>
    <mergeCell ref="A15:B15"/>
    <mergeCell ref="C19:I19"/>
    <mergeCell ref="C20:I20"/>
    <mergeCell ref="A21:A22"/>
    <mergeCell ref="B21:B22"/>
    <mergeCell ref="C21:C22"/>
    <mergeCell ref="D21:D22"/>
    <mergeCell ref="E21:E22"/>
    <mergeCell ref="I21:I22"/>
    <mergeCell ref="C28:I28"/>
    <mergeCell ref="C29:I29"/>
    <mergeCell ref="A30:A31"/>
    <mergeCell ref="B30:B31"/>
    <mergeCell ref="C30:C31"/>
    <mergeCell ref="D30:D31"/>
    <mergeCell ref="E30:E31"/>
    <mergeCell ref="I30:I31"/>
    <mergeCell ref="A23:B23"/>
    <mergeCell ref="A32:B32"/>
    <mergeCell ref="A43:A44"/>
    <mergeCell ref="B43:B44"/>
    <mergeCell ref="C59:I59"/>
    <mergeCell ref="C60:I60"/>
    <mergeCell ref="A61:A62"/>
    <mergeCell ref="B61:B62"/>
    <mergeCell ref="C61:C62"/>
    <mergeCell ref="D61:D62"/>
    <mergeCell ref="E61:E62"/>
    <mergeCell ref="C75:I75"/>
    <mergeCell ref="C76:I76"/>
    <mergeCell ref="A77:A78"/>
    <mergeCell ref="B77:B78"/>
    <mergeCell ref="C77:C78"/>
    <mergeCell ref="D77:D78"/>
    <mergeCell ref="E77:E78"/>
    <mergeCell ref="I77:I78"/>
    <mergeCell ref="I61:I62"/>
    <mergeCell ref="A63:B63"/>
    <mergeCell ref="A65:A66"/>
    <mergeCell ref="B65:B66"/>
    <mergeCell ref="A67:A68"/>
    <mergeCell ref="B67:B68"/>
    <mergeCell ref="A79:B79"/>
    <mergeCell ref="A80:A83"/>
    <mergeCell ref="B80:B83"/>
    <mergeCell ref="C88:I88"/>
    <mergeCell ref="C89:I89"/>
    <mergeCell ref="A90:A91"/>
    <mergeCell ref="B90:B91"/>
    <mergeCell ref="C90:C91"/>
    <mergeCell ref="D90:D91"/>
    <mergeCell ref="E90:E91"/>
    <mergeCell ref="I90:I91"/>
    <mergeCell ref="A92:B92"/>
    <mergeCell ref="C95:I95"/>
    <mergeCell ref="C96:I96"/>
    <mergeCell ref="A97:A98"/>
    <mergeCell ref="B97:B98"/>
    <mergeCell ref="C97:C98"/>
    <mergeCell ref="D97:D98"/>
    <mergeCell ref="E97:E98"/>
    <mergeCell ref="I97:I98"/>
    <mergeCell ref="I107:I108"/>
    <mergeCell ref="A109:B109"/>
    <mergeCell ref="A110:A112"/>
    <mergeCell ref="B110:B112"/>
    <mergeCell ref="A113:A114"/>
    <mergeCell ref="B113:B114"/>
    <mergeCell ref="A99:B99"/>
    <mergeCell ref="A102:A103"/>
    <mergeCell ref="B102:B103"/>
    <mergeCell ref="C105:I105"/>
    <mergeCell ref="C106:I106"/>
    <mergeCell ref="A107:A108"/>
    <mergeCell ref="B107:B108"/>
    <mergeCell ref="C107:C108"/>
    <mergeCell ref="D107:D108"/>
    <mergeCell ref="E107:E108"/>
    <mergeCell ref="A120:B120"/>
    <mergeCell ref="A121:A123"/>
    <mergeCell ref="B121:B123"/>
    <mergeCell ref="A125:A127"/>
    <mergeCell ref="B125:B127"/>
    <mergeCell ref="C129:I129"/>
    <mergeCell ref="C116:I116"/>
    <mergeCell ref="C117:I117"/>
    <mergeCell ref="A118:A119"/>
    <mergeCell ref="B118:B119"/>
    <mergeCell ref="C118:C119"/>
    <mergeCell ref="D118:D119"/>
    <mergeCell ref="E118:E119"/>
    <mergeCell ref="I118:I119"/>
    <mergeCell ref="A133:B133"/>
    <mergeCell ref="A134:A135"/>
    <mergeCell ref="B134:B135"/>
    <mergeCell ref="A136:A137"/>
    <mergeCell ref="B136:B137"/>
    <mergeCell ref="C139:I139"/>
    <mergeCell ref="C130:I130"/>
    <mergeCell ref="A131:A132"/>
    <mergeCell ref="B131:B132"/>
    <mergeCell ref="C131:C132"/>
    <mergeCell ref="D131:D132"/>
    <mergeCell ref="E131:E132"/>
    <mergeCell ref="I131:I132"/>
    <mergeCell ref="A143:B143"/>
    <mergeCell ref="A144:A145"/>
    <mergeCell ref="B144:B145"/>
    <mergeCell ref="A151:A152"/>
    <mergeCell ref="B151:B152"/>
    <mergeCell ref="C158:I158"/>
    <mergeCell ref="C140:I140"/>
    <mergeCell ref="A141:A142"/>
    <mergeCell ref="B141:B142"/>
    <mergeCell ref="C141:C142"/>
    <mergeCell ref="D141:D142"/>
    <mergeCell ref="E141:E142"/>
    <mergeCell ref="I141:I142"/>
    <mergeCell ref="A162:B162"/>
    <mergeCell ref="A163:A164"/>
    <mergeCell ref="B163:B164"/>
    <mergeCell ref="A165:A166"/>
    <mergeCell ref="B165:B166"/>
    <mergeCell ref="A184:A186"/>
    <mergeCell ref="B184:B186"/>
    <mergeCell ref="C159:I159"/>
    <mergeCell ref="A160:A161"/>
    <mergeCell ref="B160:B161"/>
    <mergeCell ref="C160:C161"/>
    <mergeCell ref="D160:D161"/>
    <mergeCell ref="E160:E161"/>
    <mergeCell ref="I160:I161"/>
    <mergeCell ref="D203:D204"/>
    <mergeCell ref="E203:E204"/>
    <mergeCell ref="I203:I204"/>
    <mergeCell ref="C189:I189"/>
    <mergeCell ref="C190:I190"/>
    <mergeCell ref="A191:A192"/>
    <mergeCell ref="B191:B192"/>
    <mergeCell ref="C191:C192"/>
    <mergeCell ref="D191:D192"/>
    <mergeCell ref="E191:E192"/>
    <mergeCell ref="I191:I192"/>
    <mergeCell ref="H1:I3"/>
    <mergeCell ref="A222:B222"/>
    <mergeCell ref="I214:I215"/>
    <mergeCell ref="A216:B216"/>
    <mergeCell ref="A217:A218"/>
    <mergeCell ref="B217:B218"/>
    <mergeCell ref="A219:A220"/>
    <mergeCell ref="B219:B220"/>
    <mergeCell ref="A205:B205"/>
    <mergeCell ref="A207:A208"/>
    <mergeCell ref="B207:B208"/>
    <mergeCell ref="C212:I212"/>
    <mergeCell ref="C213:I213"/>
    <mergeCell ref="A214:A215"/>
    <mergeCell ref="B214:B215"/>
    <mergeCell ref="C214:C215"/>
    <mergeCell ref="D214:D215"/>
    <mergeCell ref="E214:E215"/>
    <mergeCell ref="A193:B193"/>
    <mergeCell ref="C201:I201"/>
    <mergeCell ref="C202:I202"/>
    <mergeCell ref="A203:A204"/>
    <mergeCell ref="B203:B204"/>
    <mergeCell ref="C203:C204"/>
  </mergeCells>
  <printOptions horizontalCentered="1"/>
  <pageMargins left="0.59055118110236227" right="0.19685039370078741" top="0.39370078740157483" bottom="0.39370078740157483" header="0.51181102362204722" footer="0.51181102362204722"/>
  <pageSetup paperSize="9" scale="60" fitToHeight="0" orientation="portrait" r:id="rId1"/>
  <headerFooter alignWithMargins="0">
    <oddFooter xml:space="preserve">&amp;R&amp;"Times New Roman,Regular"&amp;8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24"/>
  <sheetViews>
    <sheetView zoomScaleNormal="100" workbookViewId="0">
      <selection activeCell="J8" sqref="J8"/>
    </sheetView>
  </sheetViews>
  <sheetFormatPr defaultRowHeight="12" x14ac:dyDescent="0.2"/>
  <cols>
    <col min="1" max="1" width="6.140625" style="215" customWidth="1"/>
    <col min="2" max="2" width="35.85546875" style="215" customWidth="1"/>
    <col min="3" max="3" width="10" style="225" customWidth="1"/>
    <col min="4" max="4" width="9.140625" style="215" customWidth="1"/>
    <col min="5" max="5" width="9.5703125" style="215" customWidth="1"/>
    <col min="6" max="6" width="10.5703125" style="215" customWidth="1"/>
    <col min="7" max="7" width="9.7109375" style="215" hidden="1" customWidth="1"/>
    <col min="8" max="8" width="9.7109375" style="215" customWidth="1"/>
    <col min="9" max="9" width="29.5703125" style="215" customWidth="1"/>
    <col min="10" max="252" width="9.140625" style="215"/>
    <col min="253" max="253" width="6.140625" style="215" customWidth="1"/>
    <col min="254" max="254" width="35.85546875" style="215" customWidth="1"/>
    <col min="255" max="255" width="11.85546875" style="215" customWidth="1"/>
    <col min="256" max="256" width="11.140625" style="215" customWidth="1"/>
    <col min="257" max="257" width="10.28515625" style="215" customWidth="1"/>
    <col min="258" max="258" width="10.5703125" style="215" customWidth="1"/>
    <col min="259" max="260" width="9.7109375" style="215" customWidth="1"/>
    <col min="261" max="261" width="29.5703125" style="215" customWidth="1"/>
    <col min="262" max="508" width="9.140625" style="215"/>
    <col min="509" max="509" width="6.140625" style="215" customWidth="1"/>
    <col min="510" max="510" width="35.85546875" style="215" customWidth="1"/>
    <col min="511" max="511" width="11.85546875" style="215" customWidth="1"/>
    <col min="512" max="512" width="11.140625" style="215" customWidth="1"/>
    <col min="513" max="513" width="10.28515625" style="215" customWidth="1"/>
    <col min="514" max="514" width="10.5703125" style="215" customWidth="1"/>
    <col min="515" max="516" width="9.7109375" style="215" customWidth="1"/>
    <col min="517" max="517" width="29.5703125" style="215" customWidth="1"/>
    <col min="518" max="764" width="9.140625" style="215"/>
    <col min="765" max="765" width="6.140625" style="215" customWidth="1"/>
    <col min="766" max="766" width="35.85546875" style="215" customWidth="1"/>
    <col min="767" max="767" width="11.85546875" style="215" customWidth="1"/>
    <col min="768" max="768" width="11.140625" style="215" customWidth="1"/>
    <col min="769" max="769" width="10.28515625" style="215" customWidth="1"/>
    <col min="770" max="770" width="10.5703125" style="215" customWidth="1"/>
    <col min="771" max="772" width="9.7109375" style="215" customWidth="1"/>
    <col min="773" max="773" width="29.5703125" style="215" customWidth="1"/>
    <col min="774" max="1020" width="9.140625" style="215"/>
    <col min="1021" max="1021" width="6.140625" style="215" customWidth="1"/>
    <col min="1022" max="1022" width="35.85546875" style="215" customWidth="1"/>
    <col min="1023" max="1023" width="11.85546875" style="215" customWidth="1"/>
    <col min="1024" max="1024" width="11.140625" style="215" customWidth="1"/>
    <col min="1025" max="1025" width="10.28515625" style="215" customWidth="1"/>
    <col min="1026" max="1026" width="10.5703125" style="215" customWidth="1"/>
    <col min="1027" max="1028" width="9.7109375" style="215" customWidth="1"/>
    <col min="1029" max="1029" width="29.5703125" style="215" customWidth="1"/>
    <col min="1030" max="1276" width="9.140625" style="215"/>
    <col min="1277" max="1277" width="6.140625" style="215" customWidth="1"/>
    <col min="1278" max="1278" width="35.85546875" style="215" customWidth="1"/>
    <col min="1279" max="1279" width="11.85546875" style="215" customWidth="1"/>
    <col min="1280" max="1280" width="11.140625" style="215" customWidth="1"/>
    <col min="1281" max="1281" width="10.28515625" style="215" customWidth="1"/>
    <col min="1282" max="1282" width="10.5703125" style="215" customWidth="1"/>
    <col min="1283" max="1284" width="9.7109375" style="215" customWidth="1"/>
    <col min="1285" max="1285" width="29.5703125" style="215" customWidth="1"/>
    <col min="1286" max="1532" width="9.140625" style="215"/>
    <col min="1533" max="1533" width="6.140625" style="215" customWidth="1"/>
    <col min="1534" max="1534" width="35.85546875" style="215" customWidth="1"/>
    <col min="1535" max="1535" width="11.85546875" style="215" customWidth="1"/>
    <col min="1536" max="1536" width="11.140625" style="215" customWidth="1"/>
    <col min="1537" max="1537" width="10.28515625" style="215" customWidth="1"/>
    <col min="1538" max="1538" width="10.5703125" style="215" customWidth="1"/>
    <col min="1539" max="1540" width="9.7109375" style="215" customWidth="1"/>
    <col min="1541" max="1541" width="29.5703125" style="215" customWidth="1"/>
    <col min="1542" max="1788" width="9.140625" style="215"/>
    <col min="1789" max="1789" width="6.140625" style="215" customWidth="1"/>
    <col min="1790" max="1790" width="35.85546875" style="215" customWidth="1"/>
    <col min="1791" max="1791" width="11.85546875" style="215" customWidth="1"/>
    <col min="1792" max="1792" width="11.140625" style="215" customWidth="1"/>
    <col min="1793" max="1793" width="10.28515625" style="215" customWidth="1"/>
    <col min="1794" max="1794" width="10.5703125" style="215" customWidth="1"/>
    <col min="1795" max="1796" width="9.7109375" style="215" customWidth="1"/>
    <col min="1797" max="1797" width="29.5703125" style="215" customWidth="1"/>
    <col min="1798" max="2044" width="9.140625" style="215"/>
    <col min="2045" max="2045" width="6.140625" style="215" customWidth="1"/>
    <col min="2046" max="2046" width="35.85546875" style="215" customWidth="1"/>
    <col min="2047" max="2047" width="11.85546875" style="215" customWidth="1"/>
    <col min="2048" max="2048" width="11.140625" style="215" customWidth="1"/>
    <col min="2049" max="2049" width="10.28515625" style="215" customWidth="1"/>
    <col min="2050" max="2050" width="10.5703125" style="215" customWidth="1"/>
    <col min="2051" max="2052" width="9.7109375" style="215" customWidth="1"/>
    <col min="2053" max="2053" width="29.5703125" style="215" customWidth="1"/>
    <col min="2054" max="2300" width="9.140625" style="215"/>
    <col min="2301" max="2301" width="6.140625" style="215" customWidth="1"/>
    <col min="2302" max="2302" width="35.85546875" style="215" customWidth="1"/>
    <col min="2303" max="2303" width="11.85546875" style="215" customWidth="1"/>
    <col min="2304" max="2304" width="11.140625" style="215" customWidth="1"/>
    <col min="2305" max="2305" width="10.28515625" style="215" customWidth="1"/>
    <col min="2306" max="2306" width="10.5703125" style="215" customWidth="1"/>
    <col min="2307" max="2308" width="9.7109375" style="215" customWidth="1"/>
    <col min="2309" max="2309" width="29.5703125" style="215" customWidth="1"/>
    <col min="2310" max="2556" width="9.140625" style="215"/>
    <col min="2557" max="2557" width="6.140625" style="215" customWidth="1"/>
    <col min="2558" max="2558" width="35.85546875" style="215" customWidth="1"/>
    <col min="2559" max="2559" width="11.85546875" style="215" customWidth="1"/>
    <col min="2560" max="2560" width="11.140625" style="215" customWidth="1"/>
    <col min="2561" max="2561" width="10.28515625" style="215" customWidth="1"/>
    <col min="2562" max="2562" width="10.5703125" style="215" customWidth="1"/>
    <col min="2563" max="2564" width="9.7109375" style="215" customWidth="1"/>
    <col min="2565" max="2565" width="29.5703125" style="215" customWidth="1"/>
    <col min="2566" max="2812" width="9.140625" style="215"/>
    <col min="2813" max="2813" width="6.140625" style="215" customWidth="1"/>
    <col min="2814" max="2814" width="35.85546875" style="215" customWidth="1"/>
    <col min="2815" max="2815" width="11.85546875" style="215" customWidth="1"/>
    <col min="2816" max="2816" width="11.140625" style="215" customWidth="1"/>
    <col min="2817" max="2817" width="10.28515625" style="215" customWidth="1"/>
    <col min="2818" max="2818" width="10.5703125" style="215" customWidth="1"/>
    <col min="2819" max="2820" width="9.7109375" style="215" customWidth="1"/>
    <col min="2821" max="2821" width="29.5703125" style="215" customWidth="1"/>
    <col min="2822" max="3068" width="9.140625" style="215"/>
    <col min="3069" max="3069" width="6.140625" style="215" customWidth="1"/>
    <col min="3070" max="3070" width="35.85546875" style="215" customWidth="1"/>
    <col min="3071" max="3071" width="11.85546875" style="215" customWidth="1"/>
    <col min="3072" max="3072" width="11.140625" style="215" customWidth="1"/>
    <col min="3073" max="3073" width="10.28515625" style="215" customWidth="1"/>
    <col min="3074" max="3074" width="10.5703125" style="215" customWidth="1"/>
    <col min="3075" max="3076" width="9.7109375" style="215" customWidth="1"/>
    <col min="3077" max="3077" width="29.5703125" style="215" customWidth="1"/>
    <col min="3078" max="3324" width="9.140625" style="215"/>
    <col min="3325" max="3325" width="6.140625" style="215" customWidth="1"/>
    <col min="3326" max="3326" width="35.85546875" style="215" customWidth="1"/>
    <col min="3327" max="3327" width="11.85546875" style="215" customWidth="1"/>
    <col min="3328" max="3328" width="11.140625" style="215" customWidth="1"/>
    <col min="3329" max="3329" width="10.28515625" style="215" customWidth="1"/>
    <col min="3330" max="3330" width="10.5703125" style="215" customWidth="1"/>
    <col min="3331" max="3332" width="9.7109375" style="215" customWidth="1"/>
    <col min="3333" max="3333" width="29.5703125" style="215" customWidth="1"/>
    <col min="3334" max="3580" width="9.140625" style="215"/>
    <col min="3581" max="3581" width="6.140625" style="215" customWidth="1"/>
    <col min="3582" max="3582" width="35.85546875" style="215" customWidth="1"/>
    <col min="3583" max="3583" width="11.85546875" style="215" customWidth="1"/>
    <col min="3584" max="3584" width="11.140625" style="215" customWidth="1"/>
    <col min="3585" max="3585" width="10.28515625" style="215" customWidth="1"/>
    <col min="3586" max="3586" width="10.5703125" style="215" customWidth="1"/>
    <col min="3587" max="3588" width="9.7109375" style="215" customWidth="1"/>
    <col min="3589" max="3589" width="29.5703125" style="215" customWidth="1"/>
    <col min="3590" max="3836" width="9.140625" style="215"/>
    <col min="3837" max="3837" width="6.140625" style="215" customWidth="1"/>
    <col min="3838" max="3838" width="35.85546875" style="215" customWidth="1"/>
    <col min="3839" max="3839" width="11.85546875" style="215" customWidth="1"/>
    <col min="3840" max="3840" width="11.140625" style="215" customWidth="1"/>
    <col min="3841" max="3841" width="10.28515625" style="215" customWidth="1"/>
    <col min="3842" max="3842" width="10.5703125" style="215" customWidth="1"/>
    <col min="3843" max="3844" width="9.7109375" style="215" customWidth="1"/>
    <col min="3845" max="3845" width="29.5703125" style="215" customWidth="1"/>
    <col min="3846" max="4092" width="9.140625" style="215"/>
    <col min="4093" max="4093" width="6.140625" style="215" customWidth="1"/>
    <col min="4094" max="4094" width="35.85546875" style="215" customWidth="1"/>
    <col min="4095" max="4095" width="11.85546875" style="215" customWidth="1"/>
    <col min="4096" max="4096" width="11.140625" style="215" customWidth="1"/>
    <col min="4097" max="4097" width="10.28515625" style="215" customWidth="1"/>
    <col min="4098" max="4098" width="10.5703125" style="215" customWidth="1"/>
    <col min="4099" max="4100" width="9.7109375" style="215" customWidth="1"/>
    <col min="4101" max="4101" width="29.5703125" style="215" customWidth="1"/>
    <col min="4102" max="4348" width="9.140625" style="215"/>
    <col min="4349" max="4349" width="6.140625" style="215" customWidth="1"/>
    <col min="4350" max="4350" width="35.85546875" style="215" customWidth="1"/>
    <col min="4351" max="4351" width="11.85546875" style="215" customWidth="1"/>
    <col min="4352" max="4352" width="11.140625" style="215" customWidth="1"/>
    <col min="4353" max="4353" width="10.28515625" style="215" customWidth="1"/>
    <col min="4354" max="4354" width="10.5703125" style="215" customWidth="1"/>
    <col min="4355" max="4356" width="9.7109375" style="215" customWidth="1"/>
    <col min="4357" max="4357" width="29.5703125" style="215" customWidth="1"/>
    <col min="4358" max="4604" width="9.140625" style="215"/>
    <col min="4605" max="4605" width="6.140625" style="215" customWidth="1"/>
    <col min="4606" max="4606" width="35.85546875" style="215" customWidth="1"/>
    <col min="4607" max="4607" width="11.85546875" style="215" customWidth="1"/>
    <col min="4608" max="4608" width="11.140625" style="215" customWidth="1"/>
    <col min="4609" max="4609" width="10.28515625" style="215" customWidth="1"/>
    <col min="4610" max="4610" width="10.5703125" style="215" customWidth="1"/>
    <col min="4611" max="4612" width="9.7109375" style="215" customWidth="1"/>
    <col min="4613" max="4613" width="29.5703125" style="215" customWidth="1"/>
    <col min="4614" max="4860" width="9.140625" style="215"/>
    <col min="4861" max="4861" width="6.140625" style="215" customWidth="1"/>
    <col min="4862" max="4862" width="35.85546875" style="215" customWidth="1"/>
    <col min="4863" max="4863" width="11.85546875" style="215" customWidth="1"/>
    <col min="4864" max="4864" width="11.140625" style="215" customWidth="1"/>
    <col min="4865" max="4865" width="10.28515625" style="215" customWidth="1"/>
    <col min="4866" max="4866" width="10.5703125" style="215" customWidth="1"/>
    <col min="4867" max="4868" width="9.7109375" style="215" customWidth="1"/>
    <col min="4869" max="4869" width="29.5703125" style="215" customWidth="1"/>
    <col min="4870" max="5116" width="9.140625" style="215"/>
    <col min="5117" max="5117" width="6.140625" style="215" customWidth="1"/>
    <col min="5118" max="5118" width="35.85546875" style="215" customWidth="1"/>
    <col min="5119" max="5119" width="11.85546875" style="215" customWidth="1"/>
    <col min="5120" max="5120" width="11.140625" style="215" customWidth="1"/>
    <col min="5121" max="5121" width="10.28515625" style="215" customWidth="1"/>
    <col min="5122" max="5122" width="10.5703125" style="215" customWidth="1"/>
    <col min="5123" max="5124" width="9.7109375" style="215" customWidth="1"/>
    <col min="5125" max="5125" width="29.5703125" style="215" customWidth="1"/>
    <col min="5126" max="5372" width="9.140625" style="215"/>
    <col min="5373" max="5373" width="6.140625" style="215" customWidth="1"/>
    <col min="5374" max="5374" width="35.85546875" style="215" customWidth="1"/>
    <col min="5375" max="5375" width="11.85546875" style="215" customWidth="1"/>
    <col min="5376" max="5376" width="11.140625" style="215" customWidth="1"/>
    <col min="5377" max="5377" width="10.28515625" style="215" customWidth="1"/>
    <col min="5378" max="5378" width="10.5703125" style="215" customWidth="1"/>
    <col min="5379" max="5380" width="9.7109375" style="215" customWidth="1"/>
    <col min="5381" max="5381" width="29.5703125" style="215" customWidth="1"/>
    <col min="5382" max="5628" width="9.140625" style="215"/>
    <col min="5629" max="5629" width="6.140625" style="215" customWidth="1"/>
    <col min="5630" max="5630" width="35.85546875" style="215" customWidth="1"/>
    <col min="5631" max="5631" width="11.85546875" style="215" customWidth="1"/>
    <col min="5632" max="5632" width="11.140625" style="215" customWidth="1"/>
    <col min="5633" max="5633" width="10.28515625" style="215" customWidth="1"/>
    <col min="5634" max="5634" width="10.5703125" style="215" customWidth="1"/>
    <col min="5635" max="5636" width="9.7109375" style="215" customWidth="1"/>
    <col min="5637" max="5637" width="29.5703125" style="215" customWidth="1"/>
    <col min="5638" max="5884" width="9.140625" style="215"/>
    <col min="5885" max="5885" width="6.140625" style="215" customWidth="1"/>
    <col min="5886" max="5886" width="35.85546875" style="215" customWidth="1"/>
    <col min="5887" max="5887" width="11.85546875" style="215" customWidth="1"/>
    <col min="5888" max="5888" width="11.140625" style="215" customWidth="1"/>
    <col min="5889" max="5889" width="10.28515625" style="215" customWidth="1"/>
    <col min="5890" max="5890" width="10.5703125" style="215" customWidth="1"/>
    <col min="5891" max="5892" width="9.7109375" style="215" customWidth="1"/>
    <col min="5893" max="5893" width="29.5703125" style="215" customWidth="1"/>
    <col min="5894" max="6140" width="9.140625" style="215"/>
    <col min="6141" max="6141" width="6.140625" style="215" customWidth="1"/>
    <col min="6142" max="6142" width="35.85546875" style="215" customWidth="1"/>
    <col min="6143" max="6143" width="11.85546875" style="215" customWidth="1"/>
    <col min="6144" max="6144" width="11.140625" style="215" customWidth="1"/>
    <col min="6145" max="6145" width="10.28515625" style="215" customWidth="1"/>
    <col min="6146" max="6146" width="10.5703125" style="215" customWidth="1"/>
    <col min="6147" max="6148" width="9.7109375" style="215" customWidth="1"/>
    <col min="6149" max="6149" width="29.5703125" style="215" customWidth="1"/>
    <col min="6150" max="6396" width="9.140625" style="215"/>
    <col min="6397" max="6397" width="6.140625" style="215" customWidth="1"/>
    <col min="6398" max="6398" width="35.85546875" style="215" customWidth="1"/>
    <col min="6399" max="6399" width="11.85546875" style="215" customWidth="1"/>
    <col min="6400" max="6400" width="11.140625" style="215" customWidth="1"/>
    <col min="6401" max="6401" width="10.28515625" style="215" customWidth="1"/>
    <col min="6402" max="6402" width="10.5703125" style="215" customWidth="1"/>
    <col min="6403" max="6404" width="9.7109375" style="215" customWidth="1"/>
    <col min="6405" max="6405" width="29.5703125" style="215" customWidth="1"/>
    <col min="6406" max="6652" width="9.140625" style="215"/>
    <col min="6653" max="6653" width="6.140625" style="215" customWidth="1"/>
    <col min="6654" max="6654" width="35.85546875" style="215" customWidth="1"/>
    <col min="6655" max="6655" width="11.85546875" style="215" customWidth="1"/>
    <col min="6656" max="6656" width="11.140625" style="215" customWidth="1"/>
    <col min="6657" max="6657" width="10.28515625" style="215" customWidth="1"/>
    <col min="6658" max="6658" width="10.5703125" style="215" customWidth="1"/>
    <col min="6659" max="6660" width="9.7109375" style="215" customWidth="1"/>
    <col min="6661" max="6661" width="29.5703125" style="215" customWidth="1"/>
    <col min="6662" max="6908" width="9.140625" style="215"/>
    <col min="6909" max="6909" width="6.140625" style="215" customWidth="1"/>
    <col min="6910" max="6910" width="35.85546875" style="215" customWidth="1"/>
    <col min="6911" max="6911" width="11.85546875" style="215" customWidth="1"/>
    <col min="6912" max="6912" width="11.140625" style="215" customWidth="1"/>
    <col min="6913" max="6913" width="10.28515625" style="215" customWidth="1"/>
    <col min="6914" max="6914" width="10.5703125" style="215" customWidth="1"/>
    <col min="6915" max="6916" width="9.7109375" style="215" customWidth="1"/>
    <col min="6917" max="6917" width="29.5703125" style="215" customWidth="1"/>
    <col min="6918" max="7164" width="9.140625" style="215"/>
    <col min="7165" max="7165" width="6.140625" style="215" customWidth="1"/>
    <col min="7166" max="7166" width="35.85546875" style="215" customWidth="1"/>
    <col min="7167" max="7167" width="11.85546875" style="215" customWidth="1"/>
    <col min="7168" max="7168" width="11.140625" style="215" customWidth="1"/>
    <col min="7169" max="7169" width="10.28515625" style="215" customWidth="1"/>
    <col min="7170" max="7170" width="10.5703125" style="215" customWidth="1"/>
    <col min="7171" max="7172" width="9.7109375" style="215" customWidth="1"/>
    <col min="7173" max="7173" width="29.5703125" style="215" customWidth="1"/>
    <col min="7174" max="7420" width="9.140625" style="215"/>
    <col min="7421" max="7421" width="6.140625" style="215" customWidth="1"/>
    <col min="7422" max="7422" width="35.85546875" style="215" customWidth="1"/>
    <col min="7423" max="7423" width="11.85546875" style="215" customWidth="1"/>
    <col min="7424" max="7424" width="11.140625" style="215" customWidth="1"/>
    <col min="7425" max="7425" width="10.28515625" style="215" customWidth="1"/>
    <col min="7426" max="7426" width="10.5703125" style="215" customWidth="1"/>
    <col min="7427" max="7428" width="9.7109375" style="215" customWidth="1"/>
    <col min="7429" max="7429" width="29.5703125" style="215" customWidth="1"/>
    <col min="7430" max="7676" width="9.140625" style="215"/>
    <col min="7677" max="7677" width="6.140625" style="215" customWidth="1"/>
    <col min="7678" max="7678" width="35.85546875" style="215" customWidth="1"/>
    <col min="7679" max="7679" width="11.85546875" style="215" customWidth="1"/>
    <col min="7680" max="7680" width="11.140625" style="215" customWidth="1"/>
    <col min="7681" max="7681" width="10.28515625" style="215" customWidth="1"/>
    <col min="7682" max="7682" width="10.5703125" style="215" customWidth="1"/>
    <col min="7683" max="7684" width="9.7109375" style="215" customWidth="1"/>
    <col min="7685" max="7685" width="29.5703125" style="215" customWidth="1"/>
    <col min="7686" max="7932" width="9.140625" style="215"/>
    <col min="7933" max="7933" width="6.140625" style="215" customWidth="1"/>
    <col min="7934" max="7934" width="35.85546875" style="215" customWidth="1"/>
    <col min="7935" max="7935" width="11.85546875" style="215" customWidth="1"/>
    <col min="7936" max="7936" width="11.140625" style="215" customWidth="1"/>
    <col min="7937" max="7937" width="10.28515625" style="215" customWidth="1"/>
    <col min="7938" max="7938" width="10.5703125" style="215" customWidth="1"/>
    <col min="7939" max="7940" width="9.7109375" style="215" customWidth="1"/>
    <col min="7941" max="7941" width="29.5703125" style="215" customWidth="1"/>
    <col min="7942" max="8188" width="9.140625" style="215"/>
    <col min="8189" max="8189" width="6.140625" style="215" customWidth="1"/>
    <col min="8190" max="8190" width="35.85546875" style="215" customWidth="1"/>
    <col min="8191" max="8191" width="11.85546875" style="215" customWidth="1"/>
    <col min="8192" max="8192" width="11.140625" style="215" customWidth="1"/>
    <col min="8193" max="8193" width="10.28515625" style="215" customWidth="1"/>
    <col min="8194" max="8194" width="10.5703125" style="215" customWidth="1"/>
    <col min="8195" max="8196" width="9.7109375" style="215" customWidth="1"/>
    <col min="8197" max="8197" width="29.5703125" style="215" customWidth="1"/>
    <col min="8198" max="8444" width="9.140625" style="215"/>
    <col min="8445" max="8445" width="6.140625" style="215" customWidth="1"/>
    <col min="8446" max="8446" width="35.85546875" style="215" customWidth="1"/>
    <col min="8447" max="8447" width="11.85546875" style="215" customWidth="1"/>
    <col min="8448" max="8448" width="11.140625" style="215" customWidth="1"/>
    <col min="8449" max="8449" width="10.28515625" style="215" customWidth="1"/>
    <col min="8450" max="8450" width="10.5703125" style="215" customWidth="1"/>
    <col min="8451" max="8452" width="9.7109375" style="215" customWidth="1"/>
    <col min="8453" max="8453" width="29.5703125" style="215" customWidth="1"/>
    <col min="8454" max="8700" width="9.140625" style="215"/>
    <col min="8701" max="8701" width="6.140625" style="215" customWidth="1"/>
    <col min="8702" max="8702" width="35.85546875" style="215" customWidth="1"/>
    <col min="8703" max="8703" width="11.85546875" style="215" customWidth="1"/>
    <col min="8704" max="8704" width="11.140625" style="215" customWidth="1"/>
    <col min="8705" max="8705" width="10.28515625" style="215" customWidth="1"/>
    <col min="8706" max="8706" width="10.5703125" style="215" customWidth="1"/>
    <col min="8707" max="8708" width="9.7109375" style="215" customWidth="1"/>
    <col min="8709" max="8709" width="29.5703125" style="215" customWidth="1"/>
    <col min="8710" max="8956" width="9.140625" style="215"/>
    <col min="8957" max="8957" width="6.140625" style="215" customWidth="1"/>
    <col min="8958" max="8958" width="35.85546875" style="215" customWidth="1"/>
    <col min="8959" max="8959" width="11.85546875" style="215" customWidth="1"/>
    <col min="8960" max="8960" width="11.140625" style="215" customWidth="1"/>
    <col min="8961" max="8961" width="10.28515625" style="215" customWidth="1"/>
    <col min="8962" max="8962" width="10.5703125" style="215" customWidth="1"/>
    <col min="8963" max="8964" width="9.7109375" style="215" customWidth="1"/>
    <col min="8965" max="8965" width="29.5703125" style="215" customWidth="1"/>
    <col min="8966" max="9212" width="9.140625" style="215"/>
    <col min="9213" max="9213" width="6.140625" style="215" customWidth="1"/>
    <col min="9214" max="9214" width="35.85546875" style="215" customWidth="1"/>
    <col min="9215" max="9215" width="11.85546875" style="215" customWidth="1"/>
    <col min="9216" max="9216" width="11.140625" style="215" customWidth="1"/>
    <col min="9217" max="9217" width="10.28515625" style="215" customWidth="1"/>
    <col min="9218" max="9218" width="10.5703125" style="215" customWidth="1"/>
    <col min="9219" max="9220" width="9.7109375" style="215" customWidth="1"/>
    <col min="9221" max="9221" width="29.5703125" style="215" customWidth="1"/>
    <col min="9222" max="9468" width="9.140625" style="215"/>
    <col min="9469" max="9469" width="6.140625" style="215" customWidth="1"/>
    <col min="9470" max="9470" width="35.85546875" style="215" customWidth="1"/>
    <col min="9471" max="9471" width="11.85546875" style="215" customWidth="1"/>
    <col min="9472" max="9472" width="11.140625" style="215" customWidth="1"/>
    <col min="9473" max="9473" width="10.28515625" style="215" customWidth="1"/>
    <col min="9474" max="9474" width="10.5703125" style="215" customWidth="1"/>
    <col min="9475" max="9476" width="9.7109375" style="215" customWidth="1"/>
    <col min="9477" max="9477" width="29.5703125" style="215" customWidth="1"/>
    <col min="9478" max="9724" width="9.140625" style="215"/>
    <col min="9725" max="9725" width="6.140625" style="215" customWidth="1"/>
    <col min="9726" max="9726" width="35.85546875" style="215" customWidth="1"/>
    <col min="9727" max="9727" width="11.85546875" style="215" customWidth="1"/>
    <col min="9728" max="9728" width="11.140625" style="215" customWidth="1"/>
    <col min="9729" max="9729" width="10.28515625" style="215" customWidth="1"/>
    <col min="9730" max="9730" width="10.5703125" style="215" customWidth="1"/>
    <col min="9731" max="9732" width="9.7109375" style="215" customWidth="1"/>
    <col min="9733" max="9733" width="29.5703125" style="215" customWidth="1"/>
    <col min="9734" max="9980" width="9.140625" style="215"/>
    <col min="9981" max="9981" width="6.140625" style="215" customWidth="1"/>
    <col min="9982" max="9982" width="35.85546875" style="215" customWidth="1"/>
    <col min="9983" max="9983" width="11.85546875" style="215" customWidth="1"/>
    <col min="9984" max="9984" width="11.140625" style="215" customWidth="1"/>
    <col min="9985" max="9985" width="10.28515625" style="215" customWidth="1"/>
    <col min="9986" max="9986" width="10.5703125" style="215" customWidth="1"/>
    <col min="9987" max="9988" width="9.7109375" style="215" customWidth="1"/>
    <col min="9989" max="9989" width="29.5703125" style="215" customWidth="1"/>
    <col min="9990" max="10236" width="9.140625" style="215"/>
    <col min="10237" max="10237" width="6.140625" style="215" customWidth="1"/>
    <col min="10238" max="10238" width="35.85546875" style="215" customWidth="1"/>
    <col min="10239" max="10239" width="11.85546875" style="215" customWidth="1"/>
    <col min="10240" max="10240" width="11.140625" style="215" customWidth="1"/>
    <col min="10241" max="10241" width="10.28515625" style="215" customWidth="1"/>
    <col min="10242" max="10242" width="10.5703125" style="215" customWidth="1"/>
    <col min="10243" max="10244" width="9.7109375" style="215" customWidth="1"/>
    <col min="10245" max="10245" width="29.5703125" style="215" customWidth="1"/>
    <col min="10246" max="10492" width="9.140625" style="215"/>
    <col min="10493" max="10493" width="6.140625" style="215" customWidth="1"/>
    <col min="10494" max="10494" width="35.85546875" style="215" customWidth="1"/>
    <col min="10495" max="10495" width="11.85546875" style="215" customWidth="1"/>
    <col min="10496" max="10496" width="11.140625" style="215" customWidth="1"/>
    <col min="10497" max="10497" width="10.28515625" style="215" customWidth="1"/>
    <col min="10498" max="10498" width="10.5703125" style="215" customWidth="1"/>
    <col min="10499" max="10500" width="9.7109375" style="215" customWidth="1"/>
    <col min="10501" max="10501" width="29.5703125" style="215" customWidth="1"/>
    <col min="10502" max="10748" width="9.140625" style="215"/>
    <col min="10749" max="10749" width="6.140625" style="215" customWidth="1"/>
    <col min="10750" max="10750" width="35.85546875" style="215" customWidth="1"/>
    <col min="10751" max="10751" width="11.85546875" style="215" customWidth="1"/>
    <col min="10752" max="10752" width="11.140625" style="215" customWidth="1"/>
    <col min="10753" max="10753" width="10.28515625" style="215" customWidth="1"/>
    <col min="10754" max="10754" width="10.5703125" style="215" customWidth="1"/>
    <col min="10755" max="10756" width="9.7109375" style="215" customWidth="1"/>
    <col min="10757" max="10757" width="29.5703125" style="215" customWidth="1"/>
    <col min="10758" max="11004" width="9.140625" style="215"/>
    <col min="11005" max="11005" width="6.140625" style="215" customWidth="1"/>
    <col min="11006" max="11006" width="35.85546875" style="215" customWidth="1"/>
    <col min="11007" max="11007" width="11.85546875" style="215" customWidth="1"/>
    <col min="11008" max="11008" width="11.140625" style="215" customWidth="1"/>
    <col min="11009" max="11009" width="10.28515625" style="215" customWidth="1"/>
    <col min="11010" max="11010" width="10.5703125" style="215" customWidth="1"/>
    <col min="11011" max="11012" width="9.7109375" style="215" customWidth="1"/>
    <col min="11013" max="11013" width="29.5703125" style="215" customWidth="1"/>
    <col min="11014" max="11260" width="9.140625" style="215"/>
    <col min="11261" max="11261" width="6.140625" style="215" customWidth="1"/>
    <col min="11262" max="11262" width="35.85546875" style="215" customWidth="1"/>
    <col min="11263" max="11263" width="11.85546875" style="215" customWidth="1"/>
    <col min="11264" max="11264" width="11.140625" style="215" customWidth="1"/>
    <col min="11265" max="11265" width="10.28515625" style="215" customWidth="1"/>
    <col min="11266" max="11266" width="10.5703125" style="215" customWidth="1"/>
    <col min="11267" max="11268" width="9.7109375" style="215" customWidth="1"/>
    <col min="11269" max="11269" width="29.5703125" style="215" customWidth="1"/>
    <col min="11270" max="11516" width="9.140625" style="215"/>
    <col min="11517" max="11517" width="6.140625" style="215" customWidth="1"/>
    <col min="11518" max="11518" width="35.85546875" style="215" customWidth="1"/>
    <col min="11519" max="11519" width="11.85546875" style="215" customWidth="1"/>
    <col min="11520" max="11520" width="11.140625" style="215" customWidth="1"/>
    <col min="11521" max="11521" width="10.28515625" style="215" customWidth="1"/>
    <col min="11522" max="11522" width="10.5703125" style="215" customWidth="1"/>
    <col min="11523" max="11524" width="9.7109375" style="215" customWidth="1"/>
    <col min="11525" max="11525" width="29.5703125" style="215" customWidth="1"/>
    <col min="11526" max="11772" width="9.140625" style="215"/>
    <col min="11773" max="11773" width="6.140625" style="215" customWidth="1"/>
    <col min="11774" max="11774" width="35.85546875" style="215" customWidth="1"/>
    <col min="11775" max="11775" width="11.85546875" style="215" customWidth="1"/>
    <col min="11776" max="11776" width="11.140625" style="215" customWidth="1"/>
    <col min="11777" max="11777" width="10.28515625" style="215" customWidth="1"/>
    <col min="11778" max="11778" width="10.5703125" style="215" customWidth="1"/>
    <col min="11779" max="11780" width="9.7109375" style="215" customWidth="1"/>
    <col min="11781" max="11781" width="29.5703125" style="215" customWidth="1"/>
    <col min="11782" max="12028" width="9.140625" style="215"/>
    <col min="12029" max="12029" width="6.140625" style="215" customWidth="1"/>
    <col min="12030" max="12030" width="35.85546875" style="215" customWidth="1"/>
    <col min="12031" max="12031" width="11.85546875" style="215" customWidth="1"/>
    <col min="12032" max="12032" width="11.140625" style="215" customWidth="1"/>
    <col min="12033" max="12033" width="10.28515625" style="215" customWidth="1"/>
    <col min="12034" max="12034" width="10.5703125" style="215" customWidth="1"/>
    <col min="12035" max="12036" width="9.7109375" style="215" customWidth="1"/>
    <col min="12037" max="12037" width="29.5703125" style="215" customWidth="1"/>
    <col min="12038" max="12284" width="9.140625" style="215"/>
    <col min="12285" max="12285" width="6.140625" style="215" customWidth="1"/>
    <col min="12286" max="12286" width="35.85546875" style="215" customWidth="1"/>
    <col min="12287" max="12287" width="11.85546875" style="215" customWidth="1"/>
    <col min="12288" max="12288" width="11.140625" style="215" customWidth="1"/>
    <col min="12289" max="12289" width="10.28515625" style="215" customWidth="1"/>
    <col min="12290" max="12290" width="10.5703125" style="215" customWidth="1"/>
    <col min="12291" max="12292" width="9.7109375" style="215" customWidth="1"/>
    <col min="12293" max="12293" width="29.5703125" style="215" customWidth="1"/>
    <col min="12294" max="12540" width="9.140625" style="215"/>
    <col min="12541" max="12541" width="6.140625" style="215" customWidth="1"/>
    <col min="12542" max="12542" width="35.85546875" style="215" customWidth="1"/>
    <col min="12543" max="12543" width="11.85546875" style="215" customWidth="1"/>
    <col min="12544" max="12544" width="11.140625" style="215" customWidth="1"/>
    <col min="12545" max="12545" width="10.28515625" style="215" customWidth="1"/>
    <col min="12546" max="12546" width="10.5703125" style="215" customWidth="1"/>
    <col min="12547" max="12548" width="9.7109375" style="215" customWidth="1"/>
    <col min="12549" max="12549" width="29.5703125" style="215" customWidth="1"/>
    <col min="12550" max="12796" width="9.140625" style="215"/>
    <col min="12797" max="12797" width="6.140625" style="215" customWidth="1"/>
    <col min="12798" max="12798" width="35.85546875" style="215" customWidth="1"/>
    <col min="12799" max="12799" width="11.85546875" style="215" customWidth="1"/>
    <col min="12800" max="12800" width="11.140625" style="215" customWidth="1"/>
    <col min="12801" max="12801" width="10.28515625" style="215" customWidth="1"/>
    <col min="12802" max="12802" width="10.5703125" style="215" customWidth="1"/>
    <col min="12803" max="12804" width="9.7109375" style="215" customWidth="1"/>
    <col min="12805" max="12805" width="29.5703125" style="215" customWidth="1"/>
    <col min="12806" max="13052" width="9.140625" style="215"/>
    <col min="13053" max="13053" width="6.140625" style="215" customWidth="1"/>
    <col min="13054" max="13054" width="35.85546875" style="215" customWidth="1"/>
    <col min="13055" max="13055" width="11.85546875" style="215" customWidth="1"/>
    <col min="13056" max="13056" width="11.140625" style="215" customWidth="1"/>
    <col min="13057" max="13057" width="10.28515625" style="215" customWidth="1"/>
    <col min="13058" max="13058" width="10.5703125" style="215" customWidth="1"/>
    <col min="13059" max="13060" width="9.7109375" style="215" customWidth="1"/>
    <col min="13061" max="13061" width="29.5703125" style="215" customWidth="1"/>
    <col min="13062" max="13308" width="9.140625" style="215"/>
    <col min="13309" max="13309" width="6.140625" style="215" customWidth="1"/>
    <col min="13310" max="13310" width="35.85546875" style="215" customWidth="1"/>
    <col min="13311" max="13311" width="11.85546875" style="215" customWidth="1"/>
    <col min="13312" max="13312" width="11.140625" style="215" customWidth="1"/>
    <col min="13313" max="13313" width="10.28515625" style="215" customWidth="1"/>
    <col min="13314" max="13314" width="10.5703125" style="215" customWidth="1"/>
    <col min="13315" max="13316" width="9.7109375" style="215" customWidth="1"/>
    <col min="13317" max="13317" width="29.5703125" style="215" customWidth="1"/>
    <col min="13318" max="13564" width="9.140625" style="215"/>
    <col min="13565" max="13565" width="6.140625" style="215" customWidth="1"/>
    <col min="13566" max="13566" width="35.85546875" style="215" customWidth="1"/>
    <col min="13567" max="13567" width="11.85546875" style="215" customWidth="1"/>
    <col min="13568" max="13568" width="11.140625" style="215" customWidth="1"/>
    <col min="13569" max="13569" width="10.28515625" style="215" customWidth="1"/>
    <col min="13570" max="13570" width="10.5703125" style="215" customWidth="1"/>
    <col min="13571" max="13572" width="9.7109375" style="215" customWidth="1"/>
    <col min="13573" max="13573" width="29.5703125" style="215" customWidth="1"/>
    <col min="13574" max="13820" width="9.140625" style="215"/>
    <col min="13821" max="13821" width="6.140625" style="215" customWidth="1"/>
    <col min="13822" max="13822" width="35.85546875" style="215" customWidth="1"/>
    <col min="13823" max="13823" width="11.85546875" style="215" customWidth="1"/>
    <col min="13824" max="13824" width="11.140625" style="215" customWidth="1"/>
    <col min="13825" max="13825" width="10.28515625" style="215" customWidth="1"/>
    <col min="13826" max="13826" width="10.5703125" style="215" customWidth="1"/>
    <col min="13827" max="13828" width="9.7109375" style="215" customWidth="1"/>
    <col min="13829" max="13829" width="29.5703125" style="215" customWidth="1"/>
    <col min="13830" max="14076" width="9.140625" style="215"/>
    <col min="14077" max="14077" width="6.140625" style="215" customWidth="1"/>
    <col min="14078" max="14078" width="35.85546875" style="215" customWidth="1"/>
    <col min="14079" max="14079" width="11.85546875" style="215" customWidth="1"/>
    <col min="14080" max="14080" width="11.140625" style="215" customWidth="1"/>
    <col min="14081" max="14081" width="10.28515625" style="215" customWidth="1"/>
    <col min="14082" max="14082" width="10.5703125" style="215" customWidth="1"/>
    <col min="14083" max="14084" width="9.7109375" style="215" customWidth="1"/>
    <col min="14085" max="14085" width="29.5703125" style="215" customWidth="1"/>
    <col min="14086" max="14332" width="9.140625" style="215"/>
    <col min="14333" max="14333" width="6.140625" style="215" customWidth="1"/>
    <col min="14334" max="14334" width="35.85546875" style="215" customWidth="1"/>
    <col min="14335" max="14335" width="11.85546875" style="215" customWidth="1"/>
    <col min="14336" max="14336" width="11.140625" style="215" customWidth="1"/>
    <col min="14337" max="14337" width="10.28515625" style="215" customWidth="1"/>
    <col min="14338" max="14338" width="10.5703125" style="215" customWidth="1"/>
    <col min="14339" max="14340" width="9.7109375" style="215" customWidth="1"/>
    <col min="14341" max="14341" width="29.5703125" style="215" customWidth="1"/>
    <col min="14342" max="14588" width="9.140625" style="215"/>
    <col min="14589" max="14589" width="6.140625" style="215" customWidth="1"/>
    <col min="14590" max="14590" width="35.85546875" style="215" customWidth="1"/>
    <col min="14591" max="14591" width="11.85546875" style="215" customWidth="1"/>
    <col min="14592" max="14592" width="11.140625" style="215" customWidth="1"/>
    <col min="14593" max="14593" width="10.28515625" style="215" customWidth="1"/>
    <col min="14594" max="14594" width="10.5703125" style="215" customWidth="1"/>
    <col min="14595" max="14596" width="9.7109375" style="215" customWidth="1"/>
    <col min="14597" max="14597" width="29.5703125" style="215" customWidth="1"/>
    <col min="14598" max="14844" width="9.140625" style="215"/>
    <col min="14845" max="14845" width="6.140625" style="215" customWidth="1"/>
    <col min="14846" max="14846" width="35.85546875" style="215" customWidth="1"/>
    <col min="14847" max="14847" width="11.85546875" style="215" customWidth="1"/>
    <col min="14848" max="14848" width="11.140625" style="215" customWidth="1"/>
    <col min="14849" max="14849" width="10.28515625" style="215" customWidth="1"/>
    <col min="14850" max="14850" width="10.5703125" style="215" customWidth="1"/>
    <col min="14851" max="14852" width="9.7109375" style="215" customWidth="1"/>
    <col min="14853" max="14853" width="29.5703125" style="215" customWidth="1"/>
    <col min="14854" max="15100" width="9.140625" style="215"/>
    <col min="15101" max="15101" width="6.140625" style="215" customWidth="1"/>
    <col min="15102" max="15102" width="35.85546875" style="215" customWidth="1"/>
    <col min="15103" max="15103" width="11.85546875" style="215" customWidth="1"/>
    <col min="15104" max="15104" width="11.140625" style="215" customWidth="1"/>
    <col min="15105" max="15105" width="10.28515625" style="215" customWidth="1"/>
    <col min="15106" max="15106" width="10.5703125" style="215" customWidth="1"/>
    <col min="15107" max="15108" width="9.7109375" style="215" customWidth="1"/>
    <col min="15109" max="15109" width="29.5703125" style="215" customWidth="1"/>
    <col min="15110" max="15356" width="9.140625" style="215"/>
    <col min="15357" max="15357" width="6.140625" style="215" customWidth="1"/>
    <col min="15358" max="15358" width="35.85546875" style="215" customWidth="1"/>
    <col min="15359" max="15359" width="11.85546875" style="215" customWidth="1"/>
    <col min="15360" max="15360" width="11.140625" style="215" customWidth="1"/>
    <col min="15361" max="15361" width="10.28515625" style="215" customWidth="1"/>
    <col min="15362" max="15362" width="10.5703125" style="215" customWidth="1"/>
    <col min="15363" max="15364" width="9.7109375" style="215" customWidth="1"/>
    <col min="15365" max="15365" width="29.5703125" style="215" customWidth="1"/>
    <col min="15366" max="15612" width="9.140625" style="215"/>
    <col min="15613" max="15613" width="6.140625" style="215" customWidth="1"/>
    <col min="15614" max="15614" width="35.85546875" style="215" customWidth="1"/>
    <col min="15615" max="15615" width="11.85546875" style="215" customWidth="1"/>
    <col min="15616" max="15616" width="11.140625" style="215" customWidth="1"/>
    <col min="15617" max="15617" width="10.28515625" style="215" customWidth="1"/>
    <col min="15618" max="15618" width="10.5703125" style="215" customWidth="1"/>
    <col min="15619" max="15620" width="9.7109375" style="215" customWidth="1"/>
    <col min="15621" max="15621" width="29.5703125" style="215" customWidth="1"/>
    <col min="15622" max="15868" width="9.140625" style="215"/>
    <col min="15869" max="15869" width="6.140625" style="215" customWidth="1"/>
    <col min="15870" max="15870" width="35.85546875" style="215" customWidth="1"/>
    <col min="15871" max="15871" width="11.85546875" style="215" customWidth="1"/>
    <col min="15872" max="15872" width="11.140625" style="215" customWidth="1"/>
    <col min="15873" max="15873" width="10.28515625" style="215" customWidth="1"/>
    <col min="15874" max="15874" width="10.5703125" style="215" customWidth="1"/>
    <col min="15875" max="15876" width="9.7109375" style="215" customWidth="1"/>
    <col min="15877" max="15877" width="29.5703125" style="215" customWidth="1"/>
    <col min="15878" max="16124" width="9.140625" style="215"/>
    <col min="16125" max="16125" width="6.140625" style="215" customWidth="1"/>
    <col min="16126" max="16126" width="35.85546875" style="215" customWidth="1"/>
    <col min="16127" max="16127" width="11.85546875" style="215" customWidth="1"/>
    <col min="16128" max="16128" width="11.140625" style="215" customWidth="1"/>
    <col min="16129" max="16129" width="10.28515625" style="215" customWidth="1"/>
    <col min="16130" max="16130" width="10.5703125" style="215" customWidth="1"/>
    <col min="16131" max="16132" width="9.7109375" style="215" customWidth="1"/>
    <col min="16133" max="16133" width="29.5703125" style="215" customWidth="1"/>
    <col min="16134" max="16384" width="9.140625" style="215"/>
  </cols>
  <sheetData>
    <row r="1" spans="1:9" ht="15" customHeight="1" x14ac:dyDescent="0.2">
      <c r="F1" s="1978" t="s">
        <v>2183</v>
      </c>
      <c r="G1" s="1978"/>
      <c r="H1" s="1978"/>
      <c r="I1" s="1978"/>
    </row>
    <row r="2" spans="1:9" ht="12" customHeight="1" x14ac:dyDescent="0.2">
      <c r="F2" s="1978"/>
      <c r="G2" s="1978"/>
      <c r="H2" s="1978"/>
      <c r="I2" s="1978"/>
    </row>
    <row r="3" spans="1:9" x14ac:dyDescent="0.2">
      <c r="B3" s="216"/>
      <c r="C3" s="216"/>
      <c r="D3" s="216"/>
      <c r="E3" s="216"/>
      <c r="F3" s="1978"/>
      <c r="G3" s="1978"/>
      <c r="H3" s="1978"/>
      <c r="I3" s="1978"/>
    </row>
    <row r="4" spans="1:9" x14ac:dyDescent="0.2">
      <c r="B4" s="216"/>
      <c r="C4" s="216"/>
      <c r="D4" s="216"/>
      <c r="E4" s="216"/>
      <c r="F4" s="1874"/>
      <c r="G4" s="1874"/>
      <c r="H4" s="1874"/>
      <c r="I4" s="1874"/>
    </row>
    <row r="5" spans="1:9" x14ac:dyDescent="0.2">
      <c r="B5" s="216"/>
      <c r="C5" s="216"/>
      <c r="D5" s="216"/>
      <c r="E5" s="216"/>
      <c r="F5" s="1874"/>
      <c r="G5" s="1874"/>
      <c r="H5" s="1874"/>
      <c r="I5" s="1874"/>
    </row>
    <row r="6" spans="1:9" x14ac:dyDescent="0.2">
      <c r="A6" s="215" t="s">
        <v>112</v>
      </c>
      <c r="B6" s="216"/>
      <c r="C6" s="216"/>
      <c r="D6" s="216"/>
      <c r="E6" s="216"/>
      <c r="F6" s="1874"/>
      <c r="G6" s="1874"/>
      <c r="H6" s="1874"/>
      <c r="I6" s="1874"/>
    </row>
    <row r="7" spans="1:9" x14ac:dyDescent="0.2">
      <c r="B7" s="216"/>
      <c r="C7" s="402"/>
      <c r="D7" s="403"/>
      <c r="E7" s="403"/>
      <c r="F7" s="403"/>
      <c r="G7" s="403"/>
      <c r="H7" s="403"/>
      <c r="I7" s="403"/>
    </row>
    <row r="8" spans="1:9" ht="15.75" x14ac:dyDescent="0.25">
      <c r="A8" s="2088" t="s">
        <v>113</v>
      </c>
      <c r="B8" s="2088"/>
      <c r="C8" s="2088"/>
      <c r="D8" s="2088"/>
      <c r="E8" s="2088"/>
      <c r="F8" s="2088"/>
      <c r="G8" s="2088"/>
      <c r="H8" s="2088"/>
      <c r="I8" s="2088"/>
    </row>
    <row r="9" spans="1:9" ht="15.75" x14ac:dyDescent="0.25">
      <c r="A9" s="218"/>
      <c r="B9" s="218"/>
      <c r="C9" s="230"/>
      <c r="D9" s="218"/>
      <c r="E9" s="218"/>
      <c r="F9" s="218"/>
      <c r="G9" s="218"/>
      <c r="H9" s="218"/>
      <c r="I9" s="218"/>
    </row>
    <row r="10" spans="1:9" ht="15.75" x14ac:dyDescent="0.25">
      <c r="A10" s="215" t="s">
        <v>114</v>
      </c>
      <c r="C10" s="2038" t="s">
        <v>2167</v>
      </c>
      <c r="D10" s="2038"/>
      <c r="E10" s="2038"/>
      <c r="F10" s="2038"/>
      <c r="G10" s="2038"/>
      <c r="H10" s="2038"/>
      <c r="I10" s="2038"/>
    </row>
    <row r="11" spans="1:9" x14ac:dyDescent="0.2">
      <c r="A11" s="215" t="s">
        <v>115</v>
      </c>
      <c r="C11" s="2006" t="s">
        <v>638</v>
      </c>
      <c r="D11" s="2006"/>
      <c r="E11" s="2006"/>
      <c r="F11" s="2006"/>
      <c r="G11" s="2006"/>
      <c r="H11" s="2006"/>
      <c r="I11" s="2006"/>
    </row>
    <row r="12" spans="1:9" x14ac:dyDescent="0.2">
      <c r="A12" s="215" t="s">
        <v>117</v>
      </c>
      <c r="C12" s="2117" t="s">
        <v>639</v>
      </c>
      <c r="D12" s="2117"/>
      <c r="E12" s="2117"/>
      <c r="F12" s="2117"/>
      <c r="G12" s="2117"/>
      <c r="H12" s="2117"/>
      <c r="I12" s="2117"/>
    </row>
    <row r="13" spans="1:9" x14ac:dyDescent="0.2">
      <c r="A13" s="2008" t="s">
        <v>47</v>
      </c>
      <c r="B13" s="2010" t="s">
        <v>119</v>
      </c>
      <c r="C13" s="2125" t="s">
        <v>120</v>
      </c>
      <c r="D13" s="2010" t="s">
        <v>121</v>
      </c>
      <c r="E13" s="2010" t="s">
        <v>122</v>
      </c>
      <c r="F13" s="404"/>
      <c r="G13" s="404"/>
      <c r="H13" s="404"/>
      <c r="I13" s="2012" t="s">
        <v>126</v>
      </c>
    </row>
    <row r="14" spans="1:9" ht="48" x14ac:dyDescent="0.2">
      <c r="A14" s="2009"/>
      <c r="B14" s="2011"/>
      <c r="C14" s="2126"/>
      <c r="D14" s="2011"/>
      <c r="E14" s="2011"/>
      <c r="F14" s="405" t="s">
        <v>129</v>
      </c>
      <c r="G14" s="405" t="s">
        <v>124</v>
      </c>
      <c r="H14" s="405" t="s">
        <v>2165</v>
      </c>
      <c r="I14" s="2013"/>
    </row>
    <row r="15" spans="1:9" x14ac:dyDescent="0.2">
      <c r="A15" s="2127" t="s">
        <v>2182</v>
      </c>
      <c r="B15" s="2128"/>
      <c r="C15" s="406">
        <f>SUM(C16:C20)</f>
        <v>58200</v>
      </c>
      <c r="D15" s="406">
        <f>SUM(D16:D20)</f>
        <v>58191</v>
      </c>
      <c r="E15" s="406">
        <f>SUM(E16:E20)</f>
        <v>70200</v>
      </c>
      <c r="F15" s="406"/>
      <c r="G15" s="406">
        <f>SUM(G16:G20)</f>
        <v>60200</v>
      </c>
      <c r="H15" s="406">
        <f>SUM(H16:H20)</f>
        <v>85660</v>
      </c>
      <c r="I15" s="407"/>
    </row>
    <row r="16" spans="1:9" ht="96" x14ac:dyDescent="0.2">
      <c r="A16" s="408">
        <v>1</v>
      </c>
      <c r="B16" s="409" t="s">
        <v>640</v>
      </c>
      <c r="C16" s="410">
        <v>35500</v>
      </c>
      <c r="D16" s="410">
        <v>35500</v>
      </c>
      <c r="E16" s="411">
        <v>40000</v>
      </c>
      <c r="F16" s="412">
        <v>2244</v>
      </c>
      <c r="G16" s="411">
        <v>30000</v>
      </c>
      <c r="H16" s="411">
        <f>ROUNDUP(G16/0.702804,0)</f>
        <v>42687</v>
      </c>
      <c r="I16" s="413" t="s">
        <v>641</v>
      </c>
    </row>
    <row r="17" spans="1:10" ht="72" x14ac:dyDescent="0.2">
      <c r="A17" s="408">
        <v>3</v>
      </c>
      <c r="B17" s="409" t="s">
        <v>642</v>
      </c>
      <c r="C17" s="410">
        <v>11400</v>
      </c>
      <c r="D17" s="411">
        <v>11400</v>
      </c>
      <c r="E17" s="411">
        <v>15000</v>
      </c>
      <c r="F17" s="412">
        <v>2244</v>
      </c>
      <c r="G17" s="411">
        <v>15000</v>
      </c>
      <c r="H17" s="411">
        <f t="shared" ref="H17:H20" si="0">ROUNDUP(G17/0.702804,0)</f>
        <v>21344</v>
      </c>
      <c r="I17" s="415" t="s">
        <v>643</v>
      </c>
    </row>
    <row r="18" spans="1:10" ht="24" x14ac:dyDescent="0.2">
      <c r="A18" s="408">
        <v>4</v>
      </c>
      <c r="B18" s="409" t="s">
        <v>644</v>
      </c>
      <c r="C18" s="410">
        <v>5000</v>
      </c>
      <c r="D18" s="411">
        <v>5000</v>
      </c>
      <c r="E18" s="411">
        <v>5000</v>
      </c>
      <c r="F18" s="412">
        <v>2244</v>
      </c>
      <c r="G18" s="411">
        <v>5000</v>
      </c>
      <c r="H18" s="411">
        <f t="shared" si="0"/>
        <v>7115</v>
      </c>
      <c r="I18" s="416" t="s">
        <v>645</v>
      </c>
    </row>
    <row r="19" spans="1:10" ht="48" x14ac:dyDescent="0.2">
      <c r="A19" s="417">
        <v>5</v>
      </c>
      <c r="B19" s="409" t="s">
        <v>646</v>
      </c>
      <c r="C19" s="410">
        <v>6100</v>
      </c>
      <c r="D19" s="418">
        <v>6100</v>
      </c>
      <c r="E19" s="418">
        <v>10000</v>
      </c>
      <c r="F19" s="412">
        <v>2244</v>
      </c>
      <c r="G19" s="411">
        <v>10000</v>
      </c>
      <c r="H19" s="411">
        <f t="shared" si="0"/>
        <v>14229</v>
      </c>
      <c r="I19" s="416" t="s">
        <v>647</v>
      </c>
    </row>
    <row r="20" spans="1:10" x14ac:dyDescent="0.2">
      <c r="A20" s="419">
        <v>7</v>
      </c>
      <c r="B20" s="420" t="s">
        <v>648</v>
      </c>
      <c r="C20" s="421">
        <v>200</v>
      </c>
      <c r="D20" s="422">
        <v>191</v>
      </c>
      <c r="E20" s="422">
        <v>200</v>
      </c>
      <c r="F20" s="423">
        <v>5269</v>
      </c>
      <c r="G20" s="422">
        <v>200</v>
      </c>
      <c r="H20" s="422">
        <f t="shared" si="0"/>
        <v>285</v>
      </c>
      <c r="I20" s="424"/>
    </row>
    <row r="21" spans="1:10" x14ac:dyDescent="0.2">
      <c r="A21" s="425"/>
      <c r="B21" s="426"/>
      <c r="C21" s="427"/>
      <c r="D21" s="428"/>
      <c r="E21" s="428"/>
      <c r="F21" s="428"/>
      <c r="G21" s="428"/>
      <c r="H21" s="428"/>
      <c r="I21" s="429"/>
      <c r="J21" s="426"/>
    </row>
    <row r="22" spans="1:10" x14ac:dyDescent="0.2">
      <c r="A22" s="426"/>
      <c r="B22" s="426"/>
      <c r="C22" s="427"/>
      <c r="D22" s="428"/>
      <c r="E22" s="428"/>
      <c r="F22" s="428"/>
      <c r="G22" s="428"/>
      <c r="H22" s="428"/>
      <c r="I22" s="429"/>
      <c r="J22" s="426"/>
    </row>
    <row r="23" spans="1:10" x14ac:dyDescent="0.2">
      <c r="A23" s="215" t="s">
        <v>115</v>
      </c>
      <c r="C23" s="2006" t="s">
        <v>649</v>
      </c>
      <c r="D23" s="2006"/>
      <c r="E23" s="2006"/>
      <c r="F23" s="2006"/>
      <c r="G23" s="2006"/>
      <c r="H23" s="2006"/>
      <c r="I23" s="2006"/>
    </row>
    <row r="24" spans="1:10" x14ac:dyDescent="0.2">
      <c r="A24" s="215" t="s">
        <v>117</v>
      </c>
      <c r="C24" s="2117" t="s">
        <v>650</v>
      </c>
      <c r="D24" s="2117"/>
      <c r="E24" s="2117"/>
      <c r="F24" s="2117"/>
      <c r="G24" s="2117"/>
      <c r="H24" s="2117"/>
      <c r="I24" s="2117"/>
    </row>
    <row r="25" spans="1:10" x14ac:dyDescent="0.2">
      <c r="A25" s="2008" t="s">
        <v>47</v>
      </c>
      <c r="B25" s="2010" t="s">
        <v>119</v>
      </c>
      <c r="C25" s="2125" t="s">
        <v>120</v>
      </c>
      <c r="D25" s="2010" t="s">
        <v>121</v>
      </c>
      <c r="E25" s="2010" t="s">
        <v>122</v>
      </c>
      <c r="F25" s="404"/>
      <c r="G25" s="404"/>
      <c r="H25" s="404"/>
      <c r="I25" s="2012" t="s">
        <v>126</v>
      </c>
    </row>
    <row r="26" spans="1:10" ht="48" x14ac:dyDescent="0.2">
      <c r="A26" s="2009"/>
      <c r="B26" s="2011"/>
      <c r="C26" s="2126"/>
      <c r="D26" s="2011"/>
      <c r="E26" s="2011"/>
      <c r="F26" s="405" t="s">
        <v>129</v>
      </c>
      <c r="G26" s="405" t="s">
        <v>124</v>
      </c>
      <c r="H26" s="1798" t="s">
        <v>2165</v>
      </c>
      <c r="I26" s="2013"/>
    </row>
    <row r="27" spans="1:10" x14ac:dyDescent="0.2">
      <c r="A27" s="2127" t="s">
        <v>2182</v>
      </c>
      <c r="B27" s="2128"/>
      <c r="C27" s="406">
        <f>C28+C29+C36+C37+C38+C44+C49-1206720</f>
        <v>1068327</v>
      </c>
      <c r="D27" s="406">
        <f>D28+D29+D36+D37+D38+D44+D49-1206720</f>
        <v>958192</v>
      </c>
      <c r="E27" s="406">
        <f>E28+E29+E36+E37+E38+E44+E48+E49-1207000</f>
        <v>1173947</v>
      </c>
      <c r="F27" s="406"/>
      <c r="G27" s="406">
        <f>G28+G29+G36+G37+G38+G44+G48+G49</f>
        <v>2244148</v>
      </c>
      <c r="H27" s="406">
        <f>H28+H29+H36+H37+H38+H44+H48+H49-1717008</f>
        <v>1476134</v>
      </c>
      <c r="I27" s="407"/>
    </row>
    <row r="28" spans="1:10" ht="24" hidden="1" x14ac:dyDescent="0.2">
      <c r="A28" s="430">
        <v>1</v>
      </c>
      <c r="B28" s="431" t="s">
        <v>651</v>
      </c>
      <c r="C28" s="412">
        <v>1206720</v>
      </c>
      <c r="D28" s="412">
        <v>1206720</v>
      </c>
      <c r="E28" s="412">
        <v>1207000</v>
      </c>
      <c r="F28" s="939">
        <v>2244</v>
      </c>
      <c r="G28" s="412">
        <v>1206720</v>
      </c>
      <c r="H28" s="412">
        <f>ROUNDUP(G28/0.702804,0)</f>
        <v>1717008</v>
      </c>
      <c r="I28" s="414"/>
    </row>
    <row r="29" spans="1:10" ht="36" x14ac:dyDescent="0.2">
      <c r="A29" s="430">
        <v>1</v>
      </c>
      <c r="B29" s="432" t="s">
        <v>652</v>
      </c>
      <c r="C29" s="433">
        <f>SUM(C30:C35)</f>
        <v>539631</v>
      </c>
      <c r="D29" s="433">
        <f>SUM(D30:D35)</f>
        <v>431497</v>
      </c>
      <c r="E29" s="433">
        <f>SUM(E30:E35)</f>
        <v>542577</v>
      </c>
      <c r="F29" s="411"/>
      <c r="G29" s="412">
        <f>SUM(G30:G35)</f>
        <v>463127</v>
      </c>
      <c r="H29" s="412">
        <f>SUM(H30:H35)</f>
        <v>658972</v>
      </c>
      <c r="I29" s="414"/>
    </row>
    <row r="30" spans="1:10" ht="48" x14ac:dyDescent="0.2">
      <c r="A30" s="2141">
        <v>1.1000000000000001</v>
      </c>
      <c r="B30" s="2031" t="s">
        <v>653</v>
      </c>
      <c r="C30" s="410">
        <v>378394</v>
      </c>
      <c r="D30" s="410">
        <v>287738</v>
      </c>
      <c r="E30" s="411">
        <v>380850</v>
      </c>
      <c r="F30" s="412">
        <v>2244</v>
      </c>
      <c r="G30" s="411">
        <v>320000</v>
      </c>
      <c r="H30" s="411">
        <f>ROUNDUP(G30/0.702804,0)</f>
        <v>455319</v>
      </c>
      <c r="I30" s="414" t="s">
        <v>654</v>
      </c>
    </row>
    <row r="31" spans="1:10" x14ac:dyDescent="0.2">
      <c r="A31" s="2142"/>
      <c r="B31" s="2032"/>
      <c r="C31" s="410">
        <v>1627</v>
      </c>
      <c r="D31" s="411">
        <v>1627</v>
      </c>
      <c r="E31" s="411">
        <v>1627</v>
      </c>
      <c r="F31" s="412">
        <v>2312</v>
      </c>
      <c r="G31" s="411">
        <v>1627</v>
      </c>
      <c r="H31" s="411">
        <f t="shared" ref="H31:H35" si="1">ROUNDUP(G31/0.702804,0)</f>
        <v>2316</v>
      </c>
      <c r="I31" s="414" t="s">
        <v>655</v>
      </c>
    </row>
    <row r="32" spans="1:10" x14ac:dyDescent="0.2">
      <c r="A32" s="2142"/>
      <c r="B32" s="2032"/>
      <c r="C32" s="410">
        <v>35990</v>
      </c>
      <c r="D32" s="411">
        <v>35989</v>
      </c>
      <c r="E32" s="411">
        <v>11900</v>
      </c>
      <c r="F32" s="412">
        <v>5239</v>
      </c>
      <c r="G32" s="411"/>
      <c r="H32" s="411">
        <f t="shared" si="1"/>
        <v>0</v>
      </c>
      <c r="I32" s="2143" t="s">
        <v>656</v>
      </c>
    </row>
    <row r="33" spans="1:11" x14ac:dyDescent="0.2">
      <c r="A33" s="995">
        <v>1.2</v>
      </c>
      <c r="B33" s="996" t="s">
        <v>657</v>
      </c>
      <c r="C33" s="410">
        <v>0</v>
      </c>
      <c r="D33" s="411">
        <v>0</v>
      </c>
      <c r="E33" s="411">
        <v>11700</v>
      </c>
      <c r="F33" s="412">
        <v>5239</v>
      </c>
      <c r="G33" s="411">
        <v>23500</v>
      </c>
      <c r="H33" s="411">
        <f t="shared" si="1"/>
        <v>33438</v>
      </c>
      <c r="I33" s="2144"/>
    </row>
    <row r="34" spans="1:11" ht="36" x14ac:dyDescent="0.2">
      <c r="A34" s="417">
        <v>1.3</v>
      </c>
      <c r="B34" s="409" t="s">
        <v>658</v>
      </c>
      <c r="C34" s="410">
        <v>123620</v>
      </c>
      <c r="D34" s="418">
        <v>106143</v>
      </c>
      <c r="E34" s="418">
        <v>118000</v>
      </c>
      <c r="F34" s="412">
        <v>2244</v>
      </c>
      <c r="G34" s="418">
        <v>118000</v>
      </c>
      <c r="H34" s="411">
        <f t="shared" si="1"/>
        <v>167899</v>
      </c>
      <c r="I34" s="434" t="s">
        <v>659</v>
      </c>
    </row>
    <row r="35" spans="1:11" ht="36" x14ac:dyDescent="0.2">
      <c r="A35" s="417">
        <v>1.4</v>
      </c>
      <c r="B35" s="409" t="s">
        <v>660</v>
      </c>
      <c r="C35" s="410">
        <v>0</v>
      </c>
      <c r="D35" s="418">
        <v>0</v>
      </c>
      <c r="E35" s="418">
        <v>18500</v>
      </c>
      <c r="F35" s="433">
        <v>5240</v>
      </c>
      <c r="G35" s="418"/>
      <c r="H35" s="411">
        <f t="shared" si="1"/>
        <v>0</v>
      </c>
      <c r="I35" s="434" t="s">
        <v>661</v>
      </c>
    </row>
    <row r="36" spans="1:11" ht="36" x14ac:dyDescent="0.2">
      <c r="A36" s="430">
        <v>2</v>
      </c>
      <c r="B36" s="432" t="s">
        <v>662</v>
      </c>
      <c r="C36" s="433">
        <v>62850</v>
      </c>
      <c r="D36" s="412">
        <v>62850</v>
      </c>
      <c r="E36" s="412">
        <v>62850</v>
      </c>
      <c r="F36" s="412">
        <v>2244</v>
      </c>
      <c r="G36" s="433">
        <v>62850</v>
      </c>
      <c r="H36" s="412">
        <f>ROUNDUP(G36/0.702804,0)</f>
        <v>89428</v>
      </c>
      <c r="I36" s="414"/>
    </row>
    <row r="37" spans="1:11" ht="36" x14ac:dyDescent="0.2">
      <c r="A37" s="430">
        <v>3</v>
      </c>
      <c r="B37" s="432" t="s">
        <v>663</v>
      </c>
      <c r="C37" s="433">
        <v>55500</v>
      </c>
      <c r="D37" s="412">
        <v>55500</v>
      </c>
      <c r="E37" s="412">
        <v>55500</v>
      </c>
      <c r="F37" s="412">
        <v>2244</v>
      </c>
      <c r="G37" s="433">
        <v>55500</v>
      </c>
      <c r="H37" s="412">
        <f>ROUNDUP(G37/0.702804,0)</f>
        <v>78970</v>
      </c>
      <c r="I37" s="414"/>
    </row>
    <row r="38" spans="1:11" x14ac:dyDescent="0.2">
      <c r="A38" s="435">
        <v>4</v>
      </c>
      <c r="B38" s="436" t="s">
        <v>664</v>
      </c>
      <c r="C38" s="437">
        <f>SUM(C39:C43)</f>
        <v>281346</v>
      </c>
      <c r="D38" s="438">
        <f>SUM(D39:D43)</f>
        <v>281345</v>
      </c>
      <c r="E38" s="438">
        <f>SUM(E39:E43)</f>
        <v>328750</v>
      </c>
      <c r="F38" s="794"/>
      <c r="G38" s="438">
        <f>SUM(G39:G43)</f>
        <v>283681</v>
      </c>
      <c r="H38" s="438">
        <f>SUM(H39:H43)</f>
        <v>403643</v>
      </c>
      <c r="I38" s="440"/>
    </row>
    <row r="39" spans="1:11" ht="36" x14ac:dyDescent="0.2">
      <c r="A39" s="2145">
        <v>4.0999999999999996</v>
      </c>
      <c r="B39" s="2147" t="s">
        <v>665</v>
      </c>
      <c r="C39" s="411">
        <v>52731</v>
      </c>
      <c r="D39" s="224">
        <v>52731</v>
      </c>
      <c r="E39" s="224">
        <v>59800</v>
      </c>
      <c r="F39" s="412">
        <v>2244</v>
      </c>
      <c r="G39" s="321">
        <f>52731+6000</f>
        <v>58731</v>
      </c>
      <c r="H39" s="224">
        <f>ROUNDUP(G39/0.702804,0)</f>
        <v>83567</v>
      </c>
      <c r="I39" s="441" t="s">
        <v>666</v>
      </c>
    </row>
    <row r="40" spans="1:11" x14ac:dyDescent="0.2">
      <c r="A40" s="2146"/>
      <c r="B40" s="2148"/>
      <c r="C40" s="442">
        <v>800</v>
      </c>
      <c r="D40" s="443">
        <v>800</v>
      </c>
      <c r="E40" s="443">
        <v>1350</v>
      </c>
      <c r="F40" s="510">
        <v>2223</v>
      </c>
      <c r="G40" s="940">
        <v>1350</v>
      </c>
      <c r="H40" s="224">
        <f t="shared" ref="H40:H49" si="2">ROUNDUP(G40/0.702804,0)</f>
        <v>1921</v>
      </c>
      <c r="I40" s="445" t="s">
        <v>667</v>
      </c>
    </row>
    <row r="41" spans="1:11" ht="48" x14ac:dyDescent="0.2">
      <c r="A41" s="446">
        <v>4.2</v>
      </c>
      <c r="B41" s="447" t="s">
        <v>668</v>
      </c>
      <c r="C41" s="418">
        <v>219470</v>
      </c>
      <c r="D41" s="322">
        <v>219470</v>
      </c>
      <c r="E41" s="322">
        <v>260000</v>
      </c>
      <c r="F41" s="472">
        <v>2244</v>
      </c>
      <c r="G41" s="322">
        <v>220000</v>
      </c>
      <c r="H41" s="224">
        <f t="shared" si="2"/>
        <v>313032</v>
      </c>
      <c r="I41" s="413" t="s">
        <v>669</v>
      </c>
    </row>
    <row r="42" spans="1:11" x14ac:dyDescent="0.2">
      <c r="A42" s="449">
        <v>4.3</v>
      </c>
      <c r="B42" s="313" t="s">
        <v>670</v>
      </c>
      <c r="C42" s="450">
        <v>3543</v>
      </c>
      <c r="D42" s="309">
        <v>3543</v>
      </c>
      <c r="E42" s="309">
        <v>3600</v>
      </c>
      <c r="F42" s="437">
        <v>2244</v>
      </c>
      <c r="G42" s="309">
        <v>3600</v>
      </c>
      <c r="H42" s="224">
        <f t="shared" si="2"/>
        <v>5123</v>
      </c>
      <c r="I42" s="440" t="s">
        <v>671</v>
      </c>
      <c r="K42" s="426"/>
    </row>
    <row r="43" spans="1:11" x14ac:dyDescent="0.2">
      <c r="A43" s="449">
        <v>4.4000000000000004</v>
      </c>
      <c r="B43" s="313" t="s">
        <v>672</v>
      </c>
      <c r="C43" s="450">
        <v>4802</v>
      </c>
      <c r="D43" s="309">
        <v>4801</v>
      </c>
      <c r="E43" s="309">
        <v>4000</v>
      </c>
      <c r="F43" s="437">
        <v>5240</v>
      </c>
      <c r="G43" s="309"/>
      <c r="H43" s="224">
        <f t="shared" si="2"/>
        <v>0</v>
      </c>
      <c r="I43" s="440" t="s">
        <v>673</v>
      </c>
    </row>
    <row r="44" spans="1:11" x14ac:dyDescent="0.2">
      <c r="A44" s="435">
        <v>5</v>
      </c>
      <c r="B44" s="436" t="s">
        <v>674</v>
      </c>
      <c r="C44" s="437">
        <f>SUM(C45:C47)</f>
        <v>127000</v>
      </c>
      <c r="D44" s="438">
        <f>SUM(D45:D47)</f>
        <v>127000</v>
      </c>
      <c r="E44" s="438">
        <f>SUM(E45:E47)</f>
        <v>145270</v>
      </c>
      <c r="F44" s="437"/>
      <c r="G44" s="438">
        <f>SUM(G45:G47)</f>
        <v>133270</v>
      </c>
      <c r="H44" s="438">
        <f>SUM(H45:H47)</f>
        <v>189628</v>
      </c>
      <c r="I44" s="440"/>
    </row>
    <row r="45" spans="1:11" ht="36" x14ac:dyDescent="0.2">
      <c r="A45" s="449">
        <v>5.0999999999999996</v>
      </c>
      <c r="B45" s="313" t="s">
        <v>675</v>
      </c>
      <c r="C45" s="450">
        <v>74770</v>
      </c>
      <c r="D45" s="309">
        <v>74770</v>
      </c>
      <c r="E45" s="309">
        <v>74770</v>
      </c>
      <c r="F45" s="437">
        <v>2244</v>
      </c>
      <c r="G45" s="309">
        <v>74770</v>
      </c>
      <c r="H45" s="309">
        <f t="shared" si="2"/>
        <v>106389</v>
      </c>
      <c r="I45" s="440"/>
    </row>
    <row r="46" spans="1:11" ht="36" x14ac:dyDescent="0.2">
      <c r="A46" s="449">
        <v>5.2</v>
      </c>
      <c r="B46" s="313" t="s">
        <v>676</v>
      </c>
      <c r="C46" s="451">
        <v>46230</v>
      </c>
      <c r="D46" s="309">
        <v>46230</v>
      </c>
      <c r="E46" s="309">
        <v>46500</v>
      </c>
      <c r="F46" s="437">
        <v>2244</v>
      </c>
      <c r="G46" s="309">
        <v>46500</v>
      </c>
      <c r="H46" s="309">
        <f t="shared" si="2"/>
        <v>66164</v>
      </c>
      <c r="I46" s="440"/>
    </row>
    <row r="47" spans="1:11" x14ac:dyDescent="0.2">
      <c r="A47" s="452">
        <v>5.3</v>
      </c>
      <c r="B47" s="453" t="s">
        <v>677</v>
      </c>
      <c r="C47" s="454">
        <v>6000</v>
      </c>
      <c r="D47" s="455">
        <v>6000</v>
      </c>
      <c r="E47" s="455">
        <v>24000</v>
      </c>
      <c r="F47" s="1751">
        <v>2244</v>
      </c>
      <c r="G47" s="941">
        <v>12000</v>
      </c>
      <c r="H47" s="309">
        <f t="shared" si="2"/>
        <v>17075</v>
      </c>
      <c r="I47" s="457"/>
      <c r="J47" s="426"/>
    </row>
    <row r="48" spans="1:11" ht="24" x14ac:dyDescent="0.2">
      <c r="A48" s="458">
        <v>6</v>
      </c>
      <c r="B48" s="459" t="s">
        <v>678</v>
      </c>
      <c r="C48" s="460">
        <v>0</v>
      </c>
      <c r="D48" s="456">
        <v>0</v>
      </c>
      <c r="E48" s="456">
        <v>37000</v>
      </c>
      <c r="F48" s="1751">
        <v>2244</v>
      </c>
      <c r="G48" s="943">
        <v>37000</v>
      </c>
      <c r="H48" s="438">
        <f t="shared" si="2"/>
        <v>52647</v>
      </c>
      <c r="I48" s="457" t="s">
        <v>679</v>
      </c>
      <c r="J48" s="426"/>
    </row>
    <row r="49" spans="1:10" x14ac:dyDescent="0.2">
      <c r="A49" s="461">
        <v>7</v>
      </c>
      <c r="B49" s="462" t="s">
        <v>680</v>
      </c>
      <c r="C49" s="423">
        <v>2000</v>
      </c>
      <c r="D49" s="463">
        <v>0</v>
      </c>
      <c r="E49" s="463">
        <v>2000</v>
      </c>
      <c r="F49" s="423">
        <v>2244</v>
      </c>
      <c r="G49" s="942">
        <v>2000</v>
      </c>
      <c r="H49" s="1021">
        <f t="shared" si="2"/>
        <v>2846</v>
      </c>
      <c r="I49" s="464"/>
      <c r="J49" s="426"/>
    </row>
    <row r="50" spans="1:10" x14ac:dyDescent="0.2">
      <c r="A50" s="465"/>
      <c r="B50" s="443"/>
      <c r="C50" s="466"/>
      <c r="D50" s="467"/>
      <c r="E50" s="467"/>
      <c r="F50" s="467"/>
      <c r="G50" s="467"/>
      <c r="H50" s="467"/>
      <c r="I50" s="443"/>
      <c r="J50" s="426"/>
    </row>
    <row r="51" spans="1:10" x14ac:dyDescent="0.2">
      <c r="A51" s="465"/>
      <c r="B51" s="443"/>
      <c r="C51" s="466"/>
      <c r="D51" s="467"/>
      <c r="E51" s="467"/>
      <c r="F51" s="467"/>
      <c r="G51" s="467"/>
      <c r="H51" s="467"/>
      <c r="I51" s="443"/>
      <c r="J51" s="426"/>
    </row>
    <row r="52" spans="1:10" x14ac:dyDescent="0.2">
      <c r="A52" s="215" t="s">
        <v>115</v>
      </c>
      <c r="C52" s="2006" t="s">
        <v>681</v>
      </c>
      <c r="D52" s="2006"/>
      <c r="E52" s="2006"/>
      <c r="F52" s="2006"/>
      <c r="G52" s="2006"/>
      <c r="H52" s="2006"/>
      <c r="I52" s="2006"/>
      <c r="J52" s="426"/>
    </row>
    <row r="53" spans="1:10" x14ac:dyDescent="0.2">
      <c r="A53" s="215" t="s">
        <v>117</v>
      </c>
      <c r="C53" s="2117" t="s">
        <v>188</v>
      </c>
      <c r="D53" s="2117"/>
      <c r="E53" s="2117"/>
      <c r="F53" s="2117"/>
      <c r="G53" s="2117"/>
      <c r="H53" s="2117"/>
      <c r="I53" s="2117"/>
      <c r="J53" s="426"/>
    </row>
    <row r="54" spans="1:10" x14ac:dyDescent="0.2">
      <c r="A54" s="2008" t="s">
        <v>47</v>
      </c>
      <c r="B54" s="2010" t="s">
        <v>119</v>
      </c>
      <c r="C54" s="2125" t="s">
        <v>120</v>
      </c>
      <c r="D54" s="2010" t="s">
        <v>121</v>
      </c>
      <c r="E54" s="2010" t="s">
        <v>122</v>
      </c>
      <c r="F54" s="404"/>
      <c r="G54" s="404"/>
      <c r="H54" s="404"/>
      <c r="I54" s="2012" t="s">
        <v>126</v>
      </c>
      <c r="J54" s="426"/>
    </row>
    <row r="55" spans="1:10" ht="48" x14ac:dyDescent="0.2">
      <c r="A55" s="2009"/>
      <c r="B55" s="2011"/>
      <c r="C55" s="2126"/>
      <c r="D55" s="2011"/>
      <c r="E55" s="2011"/>
      <c r="F55" s="405" t="s">
        <v>129</v>
      </c>
      <c r="G55" s="405" t="s">
        <v>124</v>
      </c>
      <c r="H55" s="1798" t="s">
        <v>2165</v>
      </c>
      <c r="I55" s="2013"/>
      <c r="J55" s="426"/>
    </row>
    <row r="56" spans="1:10" x14ac:dyDescent="0.2">
      <c r="A56" s="2127" t="s">
        <v>1532</v>
      </c>
      <c r="B56" s="2128"/>
      <c r="C56" s="406">
        <f>C57+C58+C59+C60+C61+C62+C63+C64+C70+C71+C75+C76+C82</f>
        <v>626363</v>
      </c>
      <c r="D56" s="406">
        <f>D57+D58+D59+D60+D61+D62+D63+D64+D70+D71+D75+D76+D82</f>
        <v>547390</v>
      </c>
      <c r="E56" s="406">
        <f>E57+E58+E59+E60+E61+E62+E63+E64+E70+E71+E75+E76+E82+E81</f>
        <v>620994</v>
      </c>
      <c r="F56" s="406"/>
      <c r="G56" s="406">
        <f>G57+G58+G59+G60+G61+G62+G63+G64+G70+G71+G75+G76+G82+G80+G81</f>
        <v>179000</v>
      </c>
      <c r="H56" s="406">
        <f>H57+H58+H59+H60+H61+H62+H63+H64+H70+H71+H75+H76+H82+H80+H81</f>
        <v>254703</v>
      </c>
      <c r="I56" s="407"/>
      <c r="J56" s="426"/>
    </row>
    <row r="57" spans="1:10" x14ac:dyDescent="0.2">
      <c r="A57" s="430">
        <v>1</v>
      </c>
      <c r="B57" s="431" t="s">
        <v>682</v>
      </c>
      <c r="C57" s="412">
        <v>70500</v>
      </c>
      <c r="D57" s="412">
        <v>54560</v>
      </c>
      <c r="E57" s="412">
        <v>70500</v>
      </c>
      <c r="F57" s="412">
        <v>2244</v>
      </c>
      <c r="G57" s="412">
        <v>55000</v>
      </c>
      <c r="H57" s="412">
        <f t="shared" ref="H57:H63" si="3">ROUNDUP(G57/0.702804,0)</f>
        <v>78258</v>
      </c>
      <c r="I57" s="414"/>
      <c r="J57" s="426"/>
    </row>
    <row r="58" spans="1:10" ht="24" x14ac:dyDescent="0.2">
      <c r="A58" s="430">
        <v>2</v>
      </c>
      <c r="B58" s="432" t="s">
        <v>683</v>
      </c>
      <c r="C58" s="433">
        <v>15500</v>
      </c>
      <c r="D58" s="433">
        <v>10946</v>
      </c>
      <c r="E58" s="433">
        <v>15500</v>
      </c>
      <c r="F58" s="412">
        <v>2279</v>
      </c>
      <c r="G58" s="412">
        <v>12000</v>
      </c>
      <c r="H58" s="412">
        <f t="shared" si="3"/>
        <v>17075</v>
      </c>
      <c r="I58" s="414"/>
      <c r="J58" s="426"/>
    </row>
    <row r="59" spans="1:10" ht="36" x14ac:dyDescent="0.2">
      <c r="A59" s="468">
        <v>3</v>
      </c>
      <c r="B59" s="469" t="s">
        <v>684</v>
      </c>
      <c r="C59" s="433">
        <v>5000</v>
      </c>
      <c r="D59" s="433">
        <v>5000</v>
      </c>
      <c r="E59" s="412">
        <v>5000</v>
      </c>
      <c r="F59" s="412">
        <v>2244</v>
      </c>
      <c r="G59" s="412">
        <v>5000</v>
      </c>
      <c r="H59" s="412">
        <f t="shared" si="3"/>
        <v>7115</v>
      </c>
      <c r="I59" s="470" t="s">
        <v>685</v>
      </c>
      <c r="J59" s="426"/>
    </row>
    <row r="60" spans="1:10" x14ac:dyDescent="0.2">
      <c r="A60" s="2137">
        <v>4</v>
      </c>
      <c r="B60" s="2138" t="s">
        <v>686</v>
      </c>
      <c r="C60" s="433">
        <v>3899</v>
      </c>
      <c r="D60" s="412">
        <v>2983</v>
      </c>
      <c r="E60" s="412">
        <v>4000</v>
      </c>
      <c r="F60" s="412">
        <v>2243</v>
      </c>
      <c r="G60" s="412">
        <v>4000</v>
      </c>
      <c r="H60" s="412">
        <f t="shared" si="3"/>
        <v>5692</v>
      </c>
      <c r="I60" s="2139" t="s">
        <v>687</v>
      </c>
      <c r="J60" s="426"/>
    </row>
    <row r="61" spans="1:10" x14ac:dyDescent="0.2">
      <c r="A61" s="2137"/>
      <c r="B61" s="2138"/>
      <c r="C61" s="433">
        <v>3901</v>
      </c>
      <c r="D61" s="412">
        <v>2392</v>
      </c>
      <c r="E61" s="412">
        <v>26000</v>
      </c>
      <c r="F61" s="412">
        <v>2312</v>
      </c>
      <c r="G61" s="412">
        <v>5000</v>
      </c>
      <c r="H61" s="412">
        <f t="shared" si="3"/>
        <v>7115</v>
      </c>
      <c r="I61" s="2139"/>
      <c r="J61" s="426"/>
    </row>
    <row r="62" spans="1:10" x14ac:dyDescent="0.2">
      <c r="A62" s="471">
        <v>5</v>
      </c>
      <c r="B62" s="432" t="s">
        <v>688</v>
      </c>
      <c r="C62" s="433">
        <v>500</v>
      </c>
      <c r="D62" s="472">
        <v>262</v>
      </c>
      <c r="E62" s="472">
        <v>500</v>
      </c>
      <c r="F62" s="412">
        <v>2243</v>
      </c>
      <c r="G62" s="472">
        <v>500</v>
      </c>
      <c r="H62" s="412">
        <f t="shared" si="3"/>
        <v>712</v>
      </c>
      <c r="I62" s="434"/>
      <c r="J62" s="426"/>
    </row>
    <row r="63" spans="1:10" ht="24" x14ac:dyDescent="0.2">
      <c r="A63" s="471">
        <v>6</v>
      </c>
      <c r="B63" s="432" t="s">
        <v>689</v>
      </c>
      <c r="C63" s="433">
        <v>0</v>
      </c>
      <c r="D63" s="472">
        <v>0</v>
      </c>
      <c r="E63" s="472">
        <v>25000</v>
      </c>
      <c r="F63" s="412">
        <v>5239</v>
      </c>
      <c r="G63" s="472">
        <v>15000</v>
      </c>
      <c r="H63" s="412">
        <f t="shared" si="3"/>
        <v>21344</v>
      </c>
      <c r="I63" s="434" t="s">
        <v>690</v>
      </c>
      <c r="J63" s="426"/>
    </row>
    <row r="64" spans="1:10" ht="24" x14ac:dyDescent="0.2">
      <c r="A64" s="430">
        <v>7</v>
      </c>
      <c r="B64" s="432" t="s">
        <v>691</v>
      </c>
      <c r="C64" s="433">
        <f>SUM(C65:C69)</f>
        <v>294520</v>
      </c>
      <c r="D64" s="433">
        <f>SUM(D65:D69)</f>
        <v>287069</v>
      </c>
      <c r="E64" s="433">
        <f>SUM(E65:E69)</f>
        <v>415500</v>
      </c>
      <c r="F64" s="411"/>
      <c r="G64" s="433">
        <f>SUM(G65:G69)</f>
        <v>55500</v>
      </c>
      <c r="H64" s="433">
        <f>SUM(H65:H69)</f>
        <v>78970</v>
      </c>
      <c r="I64" s="414"/>
      <c r="J64" s="426"/>
    </row>
    <row r="65" spans="1:10" ht="36" x14ac:dyDescent="0.2">
      <c r="A65" s="408">
        <v>7.1</v>
      </c>
      <c r="B65" s="2140" t="s">
        <v>692</v>
      </c>
      <c r="C65" s="411">
        <v>225487</v>
      </c>
      <c r="D65" s="411">
        <v>220814</v>
      </c>
      <c r="E65" s="411">
        <v>200000</v>
      </c>
      <c r="F65" s="433">
        <v>5240</v>
      </c>
      <c r="G65" s="411">
        <v>40000</v>
      </c>
      <c r="H65" s="411">
        <f>ROUNDUP(G65/0.702804,0)</f>
        <v>56915</v>
      </c>
      <c r="I65" s="414" t="s">
        <v>693</v>
      </c>
      <c r="J65" s="426"/>
    </row>
    <row r="66" spans="1:10" x14ac:dyDescent="0.2">
      <c r="A66" s="408">
        <v>7.2</v>
      </c>
      <c r="B66" s="2140"/>
      <c r="C66" s="411">
        <v>12800</v>
      </c>
      <c r="D66" s="411">
        <v>12760</v>
      </c>
      <c r="E66" s="411">
        <v>0</v>
      </c>
      <c r="F66" s="433">
        <v>5239</v>
      </c>
      <c r="G66" s="410"/>
      <c r="H66" s="411">
        <f t="shared" ref="H66:H69" si="4">ROUNDUP(G66/0.702804,0)</f>
        <v>0</v>
      </c>
      <c r="I66" s="414"/>
      <c r="J66" s="426"/>
    </row>
    <row r="67" spans="1:10" ht="24" x14ac:dyDescent="0.2">
      <c r="A67" s="449">
        <v>7.3</v>
      </c>
      <c r="B67" s="313" t="s">
        <v>694</v>
      </c>
      <c r="C67" s="450">
        <v>15119</v>
      </c>
      <c r="D67" s="309">
        <v>12381</v>
      </c>
      <c r="E67" s="309">
        <v>15500</v>
      </c>
      <c r="F67" s="437">
        <v>2243</v>
      </c>
      <c r="G67" s="309">
        <v>15500</v>
      </c>
      <c r="H67" s="411">
        <f t="shared" si="4"/>
        <v>22055</v>
      </c>
      <c r="I67" s="440"/>
      <c r="J67" s="426"/>
    </row>
    <row r="68" spans="1:10" x14ac:dyDescent="0.2">
      <c r="A68" s="449">
        <v>7.4</v>
      </c>
      <c r="B68" s="473" t="s">
        <v>695</v>
      </c>
      <c r="C68" s="411">
        <v>881</v>
      </c>
      <c r="D68" s="224">
        <v>881</v>
      </c>
      <c r="E68" s="224">
        <v>0</v>
      </c>
      <c r="F68" s="412">
        <v>2390</v>
      </c>
      <c r="G68" s="321"/>
      <c r="H68" s="411">
        <f t="shared" si="4"/>
        <v>0</v>
      </c>
      <c r="I68" s="416"/>
      <c r="J68" s="426"/>
    </row>
    <row r="69" spans="1:10" ht="36" x14ac:dyDescent="0.2">
      <c r="A69" s="449">
        <v>7.5</v>
      </c>
      <c r="B69" s="473" t="s">
        <v>696</v>
      </c>
      <c r="C69" s="474">
        <v>40233</v>
      </c>
      <c r="D69" s="223">
        <v>40233</v>
      </c>
      <c r="E69" s="224">
        <v>200000</v>
      </c>
      <c r="F69" s="502">
        <v>5240</v>
      </c>
      <c r="G69" s="928"/>
      <c r="H69" s="411">
        <f t="shared" si="4"/>
        <v>0</v>
      </c>
      <c r="I69" s="414" t="s">
        <v>697</v>
      </c>
      <c r="J69" s="426"/>
    </row>
    <row r="70" spans="1:10" ht="24" x14ac:dyDescent="0.2">
      <c r="A70" s="476">
        <v>8</v>
      </c>
      <c r="B70" s="477" t="s">
        <v>698</v>
      </c>
      <c r="C70" s="472">
        <v>190000</v>
      </c>
      <c r="D70" s="448">
        <v>159910</v>
      </c>
      <c r="E70" s="448">
        <v>7000</v>
      </c>
      <c r="F70" s="472">
        <v>5240</v>
      </c>
      <c r="G70" s="448">
        <v>7000</v>
      </c>
      <c r="H70" s="412">
        <f>ROUNDUP(G70/0.702804,0)</f>
        <v>9961</v>
      </c>
      <c r="I70" s="414" t="s">
        <v>699</v>
      </c>
      <c r="J70" s="426"/>
    </row>
    <row r="71" spans="1:10" ht="36" x14ac:dyDescent="0.2">
      <c r="A71" s="435">
        <v>9</v>
      </c>
      <c r="B71" s="436" t="s">
        <v>700</v>
      </c>
      <c r="C71" s="437">
        <f>SUM(C72:C74)</f>
        <v>37908</v>
      </c>
      <c r="D71" s="438">
        <f>SUM(D72:D74)</f>
        <v>19669</v>
      </c>
      <c r="E71" s="438">
        <f>SUM(E72:E74)</f>
        <v>35000</v>
      </c>
      <c r="F71" s="437"/>
      <c r="G71" s="438">
        <f>SUM(G72:G74)</f>
        <v>10000</v>
      </c>
      <c r="H71" s="438">
        <f>SUM(H72:H74)</f>
        <v>14229</v>
      </c>
      <c r="I71" s="440"/>
      <c r="J71" s="426"/>
    </row>
    <row r="72" spans="1:10" ht="24" x14ac:dyDescent="0.2">
      <c r="A72" s="449">
        <v>9.1</v>
      </c>
      <c r="B72" s="313" t="s">
        <v>701</v>
      </c>
      <c r="C72" s="450">
        <v>21000</v>
      </c>
      <c r="D72" s="309">
        <v>6085</v>
      </c>
      <c r="E72" s="309">
        <v>15000</v>
      </c>
      <c r="F72" s="437">
        <v>2243</v>
      </c>
      <c r="G72" s="309"/>
      <c r="H72" s="309">
        <f>ROUNDUP(G72/0.702804,0)</f>
        <v>0</v>
      </c>
      <c r="I72" s="478" t="s">
        <v>702</v>
      </c>
      <c r="J72" s="426"/>
    </row>
    <row r="73" spans="1:10" ht="24" x14ac:dyDescent="0.2">
      <c r="A73" s="449">
        <v>9.1999999999999993</v>
      </c>
      <c r="B73" s="313" t="s">
        <v>1942</v>
      </c>
      <c r="C73" s="450">
        <v>12800</v>
      </c>
      <c r="D73" s="309">
        <v>9476</v>
      </c>
      <c r="E73" s="309">
        <v>20000</v>
      </c>
      <c r="F73" s="437">
        <v>5239</v>
      </c>
      <c r="G73" s="309">
        <v>10000</v>
      </c>
      <c r="H73" s="309">
        <f t="shared" ref="H73:H74" si="5">ROUNDUP(G73/0.702804,0)</f>
        <v>14229</v>
      </c>
      <c r="I73" s="478" t="s">
        <v>703</v>
      </c>
      <c r="J73" s="426"/>
    </row>
    <row r="74" spans="1:10" x14ac:dyDescent="0.2">
      <c r="A74" s="449">
        <v>9.3000000000000007</v>
      </c>
      <c r="B74" s="313" t="s">
        <v>704</v>
      </c>
      <c r="C74" s="450">
        <v>4108</v>
      </c>
      <c r="D74" s="309">
        <v>4108</v>
      </c>
      <c r="E74" s="309">
        <v>0</v>
      </c>
      <c r="F74" s="437">
        <v>2312</v>
      </c>
      <c r="G74" s="309"/>
      <c r="H74" s="309">
        <f t="shared" si="5"/>
        <v>0</v>
      </c>
      <c r="I74" s="440"/>
      <c r="J74" s="426"/>
    </row>
    <row r="75" spans="1:10" ht="24" x14ac:dyDescent="0.2">
      <c r="A75" s="435">
        <v>10</v>
      </c>
      <c r="B75" s="436" t="s">
        <v>705</v>
      </c>
      <c r="C75" s="437">
        <v>695</v>
      </c>
      <c r="D75" s="438">
        <v>695</v>
      </c>
      <c r="E75" s="438">
        <v>1000</v>
      </c>
      <c r="F75" s="437">
        <v>2390</v>
      </c>
      <c r="G75" s="438">
        <v>700</v>
      </c>
      <c r="H75" s="438">
        <f>ROUNDUP(G75/0.702804,0)</f>
        <v>997</v>
      </c>
      <c r="I75" s="440"/>
      <c r="J75" s="426"/>
    </row>
    <row r="76" spans="1:10" x14ac:dyDescent="0.2">
      <c r="A76" s="2135">
        <v>11</v>
      </c>
      <c r="B76" s="2136" t="s">
        <v>706</v>
      </c>
      <c r="C76" s="412">
        <f>SUM(C77:C79)</f>
        <v>3940</v>
      </c>
      <c r="D76" s="222">
        <f>SUM(D77:D79)</f>
        <v>3904</v>
      </c>
      <c r="E76" s="222">
        <f>SUM(E77:E79)</f>
        <v>4300</v>
      </c>
      <c r="F76" s="411"/>
      <c r="G76" s="222">
        <f>SUM(G77:G79)</f>
        <v>4300</v>
      </c>
      <c r="H76" s="222">
        <f>SUM(H77:H79)</f>
        <v>6120</v>
      </c>
      <c r="I76" s="416"/>
      <c r="J76" s="426"/>
    </row>
    <row r="77" spans="1:10" x14ac:dyDescent="0.2">
      <c r="A77" s="2135"/>
      <c r="B77" s="2136"/>
      <c r="C77" s="411">
        <v>1691</v>
      </c>
      <c r="D77" s="224">
        <v>1681</v>
      </c>
      <c r="E77" s="224">
        <v>2000</v>
      </c>
      <c r="F77" s="412">
        <v>2244</v>
      </c>
      <c r="G77" s="224">
        <v>2000</v>
      </c>
      <c r="H77" s="224">
        <f>ROUNDUP(G77/0.702804,0)</f>
        <v>2846</v>
      </c>
      <c r="I77" s="416"/>
      <c r="J77" s="426"/>
    </row>
    <row r="78" spans="1:10" x14ac:dyDescent="0.2">
      <c r="A78" s="2135"/>
      <c r="B78" s="2136"/>
      <c r="C78" s="411">
        <v>1796</v>
      </c>
      <c r="D78" s="224">
        <v>1795</v>
      </c>
      <c r="E78" s="224">
        <v>1800</v>
      </c>
      <c r="F78" s="412">
        <v>2312</v>
      </c>
      <c r="G78" s="224">
        <v>1800</v>
      </c>
      <c r="H78" s="224">
        <f t="shared" ref="H78:H79" si="6">ROUNDUP(G78/0.702804,0)</f>
        <v>2562</v>
      </c>
      <c r="I78" s="416"/>
      <c r="J78" s="426"/>
    </row>
    <row r="79" spans="1:10" x14ac:dyDescent="0.2">
      <c r="A79" s="2135"/>
      <c r="B79" s="2136"/>
      <c r="C79" s="411">
        <v>453</v>
      </c>
      <c r="D79" s="224">
        <v>428</v>
      </c>
      <c r="E79" s="224">
        <v>500</v>
      </c>
      <c r="F79" s="412">
        <v>2390</v>
      </c>
      <c r="G79" s="224">
        <v>500</v>
      </c>
      <c r="H79" s="224">
        <f t="shared" si="6"/>
        <v>712</v>
      </c>
      <c r="I79" s="416"/>
      <c r="J79" s="426"/>
    </row>
    <row r="80" spans="1:10" ht="24" x14ac:dyDescent="0.2">
      <c r="A80" s="479">
        <v>12</v>
      </c>
      <c r="B80" s="475" t="s">
        <v>707</v>
      </c>
      <c r="C80" s="412">
        <v>1000</v>
      </c>
      <c r="D80" s="222">
        <v>1000</v>
      </c>
      <c r="E80" s="222">
        <v>0</v>
      </c>
      <c r="F80" s="412">
        <v>2279</v>
      </c>
      <c r="G80" s="222"/>
      <c r="H80" s="222">
        <f>ROUNDUP(G80/0.702804,0)</f>
        <v>0</v>
      </c>
      <c r="I80" s="416"/>
      <c r="J80" s="426"/>
    </row>
    <row r="81" spans="1:10" ht="36" x14ac:dyDescent="0.2">
      <c r="A81" s="479">
        <v>13</v>
      </c>
      <c r="B81" s="475" t="s">
        <v>708</v>
      </c>
      <c r="C81" s="412">
        <v>0</v>
      </c>
      <c r="D81" s="222">
        <v>0</v>
      </c>
      <c r="E81" s="222">
        <v>1694</v>
      </c>
      <c r="F81" s="412">
        <v>2312</v>
      </c>
      <c r="G81" s="222">
        <v>1000</v>
      </c>
      <c r="H81" s="222">
        <f t="shared" ref="H81:H82" si="7">ROUNDUP(G81/0.702804,0)</f>
        <v>1423</v>
      </c>
      <c r="I81" s="480" t="s">
        <v>709</v>
      </c>
      <c r="J81" s="426"/>
    </row>
    <row r="82" spans="1:10" ht="24" x14ac:dyDescent="0.2">
      <c r="A82" s="461">
        <v>14</v>
      </c>
      <c r="B82" s="462" t="s">
        <v>710</v>
      </c>
      <c r="C82" s="423">
        <v>0</v>
      </c>
      <c r="D82" s="463">
        <v>0</v>
      </c>
      <c r="E82" s="463">
        <v>10000</v>
      </c>
      <c r="F82" s="423">
        <v>5239</v>
      </c>
      <c r="G82" s="463">
        <v>4000</v>
      </c>
      <c r="H82" s="463">
        <f t="shared" si="7"/>
        <v>5692</v>
      </c>
      <c r="I82" s="464" t="s">
        <v>711</v>
      </c>
      <c r="J82" s="426"/>
    </row>
    <row r="83" spans="1:10" x14ac:dyDescent="0.2">
      <c r="A83" s="482"/>
      <c r="B83" s="444"/>
      <c r="C83" s="483"/>
      <c r="D83" s="484"/>
      <c r="E83" s="485"/>
      <c r="F83" s="485"/>
      <c r="G83" s="467"/>
      <c r="H83" s="467"/>
      <c r="I83" s="443"/>
      <c r="J83" s="426"/>
    </row>
    <row r="84" spans="1:10" x14ac:dyDescent="0.2">
      <c r="A84" s="486"/>
      <c r="B84" s="444"/>
      <c r="C84" s="483"/>
      <c r="D84" s="485"/>
      <c r="E84" s="485"/>
      <c r="F84" s="485"/>
      <c r="G84" s="467"/>
      <c r="H84" s="467"/>
      <c r="I84" s="443"/>
      <c r="J84" s="426"/>
    </row>
    <row r="85" spans="1:10" x14ac:dyDescent="0.2">
      <c r="A85" s="487"/>
      <c r="B85" s="443"/>
      <c r="C85" s="466"/>
      <c r="D85" s="488"/>
      <c r="E85" s="489"/>
      <c r="F85" s="467"/>
      <c r="G85" s="467"/>
      <c r="H85" s="467"/>
      <c r="I85" s="443"/>
      <c r="J85" s="426"/>
    </row>
    <row r="86" spans="1:10" x14ac:dyDescent="0.2">
      <c r="A86" s="215" t="s">
        <v>115</v>
      </c>
      <c r="C86" s="2006" t="s">
        <v>713</v>
      </c>
      <c r="D86" s="2006"/>
      <c r="E86" s="2006"/>
      <c r="F86" s="2006"/>
      <c r="G86" s="2006"/>
      <c r="H86" s="2006"/>
      <c r="I86" s="2006"/>
      <c r="J86" s="426"/>
    </row>
    <row r="87" spans="1:10" x14ac:dyDescent="0.2">
      <c r="A87" s="215" t="s">
        <v>117</v>
      </c>
      <c r="C87" s="2117" t="s">
        <v>197</v>
      </c>
      <c r="D87" s="2117"/>
      <c r="E87" s="2117"/>
      <c r="F87" s="2117"/>
      <c r="G87" s="2117"/>
      <c r="H87" s="2117"/>
      <c r="I87" s="2117"/>
      <c r="J87" s="426"/>
    </row>
    <row r="88" spans="1:10" x14ac:dyDescent="0.2">
      <c r="A88" s="2008" t="s">
        <v>47</v>
      </c>
      <c r="B88" s="2010" t="s">
        <v>119</v>
      </c>
      <c r="C88" s="2125" t="s">
        <v>120</v>
      </c>
      <c r="D88" s="2010" t="s">
        <v>121</v>
      </c>
      <c r="E88" s="2010" t="s">
        <v>122</v>
      </c>
      <c r="F88" s="404"/>
      <c r="G88" s="404"/>
      <c r="H88" s="404"/>
      <c r="I88" s="2012" t="s">
        <v>126</v>
      </c>
      <c r="J88" s="426"/>
    </row>
    <row r="89" spans="1:10" ht="48" x14ac:dyDescent="0.2">
      <c r="A89" s="2009"/>
      <c r="B89" s="2011"/>
      <c r="C89" s="2126"/>
      <c r="D89" s="2011"/>
      <c r="E89" s="2011"/>
      <c r="F89" s="405" t="s">
        <v>129</v>
      </c>
      <c r="G89" s="405" t="s">
        <v>124</v>
      </c>
      <c r="H89" s="1798" t="s">
        <v>2165</v>
      </c>
      <c r="I89" s="2013"/>
      <c r="J89" s="426"/>
    </row>
    <row r="90" spans="1:10" x14ac:dyDescent="0.2">
      <c r="A90" s="2127" t="s">
        <v>2182</v>
      </c>
      <c r="B90" s="2128"/>
      <c r="C90" s="406">
        <f>C91+C95+C100+C101+C102+C103+C112+C104</f>
        <v>147989</v>
      </c>
      <c r="D90" s="406">
        <f>D91+D95+D100+D101+D102+D103+D112</f>
        <v>147646</v>
      </c>
      <c r="E90" s="406">
        <f>E91+E95+E100+E101+E102+E103+E104+E105+E106+E107+E108+E109+E110</f>
        <v>230998</v>
      </c>
      <c r="F90" s="406"/>
      <c r="G90" s="406">
        <f>G91+G95+G100+G101+G102+G103+G104+G105+G106+G107+G108+G109+G110</f>
        <v>98965</v>
      </c>
      <c r="H90" s="406">
        <f>H91+H95+H100+H101+H102+H103+H104+H105+H106+H107+H108+H109+H110</f>
        <v>140820</v>
      </c>
      <c r="I90" s="407"/>
      <c r="J90" s="426"/>
    </row>
    <row r="91" spans="1:10" x14ac:dyDescent="0.2">
      <c r="A91" s="430">
        <v>1</v>
      </c>
      <c r="B91" s="431" t="s">
        <v>714</v>
      </c>
      <c r="C91" s="412">
        <f>SUM(C92:C94)</f>
        <v>21280</v>
      </c>
      <c r="D91" s="412">
        <f>SUM(D92:D94)</f>
        <v>21277</v>
      </c>
      <c r="E91" s="412">
        <f>SUM(E92:E94)</f>
        <v>13670</v>
      </c>
      <c r="F91" s="412"/>
      <c r="G91" s="412">
        <f>SUM(G92:G94)</f>
        <v>13670</v>
      </c>
      <c r="H91" s="412">
        <f>SUM(H92:H94)</f>
        <v>19451</v>
      </c>
      <c r="I91" s="414"/>
      <c r="J91" s="426"/>
    </row>
    <row r="92" spans="1:10" ht="36" x14ac:dyDescent="0.2">
      <c r="A92" s="408">
        <v>1.1000000000000001</v>
      </c>
      <c r="B92" s="409" t="s">
        <v>715</v>
      </c>
      <c r="C92" s="410">
        <v>4977</v>
      </c>
      <c r="D92" s="410">
        <v>4977</v>
      </c>
      <c r="E92" s="410">
        <f>5670+6000</f>
        <v>11670</v>
      </c>
      <c r="F92" s="412">
        <v>2244</v>
      </c>
      <c r="G92" s="411">
        <v>11670</v>
      </c>
      <c r="H92" s="411">
        <f>ROUNDUP(G92/0.702804,0)</f>
        <v>16605</v>
      </c>
      <c r="I92" s="414" t="s">
        <v>716</v>
      </c>
      <c r="J92" s="426"/>
    </row>
    <row r="93" spans="1:10" ht="24" x14ac:dyDescent="0.2">
      <c r="A93" s="490">
        <v>1.2</v>
      </c>
      <c r="B93" s="491" t="s">
        <v>717</v>
      </c>
      <c r="C93" s="517">
        <v>1000</v>
      </c>
      <c r="D93" s="517">
        <v>998</v>
      </c>
      <c r="E93" s="518">
        <v>2000</v>
      </c>
      <c r="F93" s="1751">
        <v>2223</v>
      </c>
      <c r="G93" s="518">
        <v>2000</v>
      </c>
      <c r="H93" s="518">
        <f t="shared" ref="H93:H110" si="8">ROUNDUP(G93/0.702804,0)</f>
        <v>2846</v>
      </c>
      <c r="I93" s="492" t="s">
        <v>718</v>
      </c>
      <c r="J93" s="426"/>
    </row>
    <row r="94" spans="1:10" x14ac:dyDescent="0.2">
      <c r="A94" s="1258">
        <v>1.3</v>
      </c>
      <c r="B94" s="816" t="s">
        <v>719</v>
      </c>
      <c r="C94" s="410">
        <v>15303</v>
      </c>
      <c r="D94" s="411">
        <v>15302</v>
      </c>
      <c r="E94" s="411">
        <v>0</v>
      </c>
      <c r="F94" s="412">
        <v>5240</v>
      </c>
      <c r="G94" s="411"/>
      <c r="H94" s="411">
        <f t="shared" si="8"/>
        <v>0</v>
      </c>
      <c r="I94" s="414"/>
      <c r="J94" s="426"/>
    </row>
    <row r="95" spans="1:10" ht="48" x14ac:dyDescent="0.2">
      <c r="A95" s="493">
        <v>2</v>
      </c>
      <c r="B95" s="494" t="s">
        <v>720</v>
      </c>
      <c r="C95" s="406">
        <f>SUM(C96:C99)</f>
        <v>13734</v>
      </c>
      <c r="D95" s="406">
        <f>SUM(D96:D99)</f>
        <v>13701</v>
      </c>
      <c r="E95" s="406">
        <f>SUM(E96:E99)</f>
        <v>25158</v>
      </c>
      <c r="F95" s="1257"/>
      <c r="G95" s="406">
        <f>SUM(G96:G99)</f>
        <v>25125</v>
      </c>
      <c r="H95" s="406">
        <f>SUM(H96:H99)</f>
        <v>35751</v>
      </c>
      <c r="I95" s="407"/>
      <c r="J95" s="426"/>
    </row>
    <row r="96" spans="1:10" x14ac:dyDescent="0.2">
      <c r="A96" s="417">
        <v>2.1</v>
      </c>
      <c r="B96" s="2031" t="s">
        <v>721</v>
      </c>
      <c r="C96" s="410">
        <v>7135</v>
      </c>
      <c r="D96" s="418">
        <v>7126</v>
      </c>
      <c r="E96" s="418">
        <v>8000</v>
      </c>
      <c r="F96" s="412">
        <v>2244</v>
      </c>
      <c r="G96" s="411">
        <v>8000</v>
      </c>
      <c r="H96" s="418">
        <f t="shared" si="8"/>
        <v>11383</v>
      </c>
      <c r="I96" s="434"/>
      <c r="J96" s="426"/>
    </row>
    <row r="97" spans="1:10" x14ac:dyDescent="0.2">
      <c r="A97" s="417">
        <v>2.2000000000000002</v>
      </c>
      <c r="B97" s="2032"/>
      <c r="C97" s="410">
        <v>1143</v>
      </c>
      <c r="D97" s="418">
        <v>1143</v>
      </c>
      <c r="E97" s="418">
        <v>1500</v>
      </c>
      <c r="F97" s="412">
        <v>2312</v>
      </c>
      <c r="G97" s="411">
        <f>1500+2500</f>
        <v>4000</v>
      </c>
      <c r="H97" s="418">
        <f t="shared" si="8"/>
        <v>5692</v>
      </c>
      <c r="I97" s="434"/>
      <c r="J97" s="426"/>
    </row>
    <row r="98" spans="1:10" x14ac:dyDescent="0.2">
      <c r="A98" s="408">
        <v>2.2999999999999998</v>
      </c>
      <c r="B98" s="2033"/>
      <c r="C98" s="410">
        <v>24</v>
      </c>
      <c r="D98" s="410">
        <v>0</v>
      </c>
      <c r="E98" s="410">
        <v>25</v>
      </c>
      <c r="F98" s="412">
        <v>2390</v>
      </c>
      <c r="G98" s="411">
        <v>25</v>
      </c>
      <c r="H98" s="418">
        <f t="shared" si="8"/>
        <v>36</v>
      </c>
      <c r="I98" s="414"/>
      <c r="J98" s="426"/>
    </row>
    <row r="99" spans="1:10" ht="24" x14ac:dyDescent="0.2">
      <c r="A99" s="408">
        <v>2.4</v>
      </c>
      <c r="B99" s="409" t="s">
        <v>722</v>
      </c>
      <c r="C99" s="410">
        <v>5432</v>
      </c>
      <c r="D99" s="410">
        <v>5432</v>
      </c>
      <c r="E99" s="410">
        <f>13133+2500</f>
        <v>15633</v>
      </c>
      <c r="F99" s="412">
        <v>5239</v>
      </c>
      <c r="G99" s="411">
        <f>13100</f>
        <v>13100</v>
      </c>
      <c r="H99" s="418">
        <f t="shared" si="8"/>
        <v>18640</v>
      </c>
      <c r="I99" s="414" t="s">
        <v>723</v>
      </c>
      <c r="J99" s="426"/>
    </row>
    <row r="100" spans="1:10" ht="24" x14ac:dyDescent="0.2">
      <c r="A100" s="430">
        <v>3</v>
      </c>
      <c r="B100" s="432" t="s">
        <v>724</v>
      </c>
      <c r="C100" s="412">
        <v>52708</v>
      </c>
      <c r="D100" s="412">
        <v>52708</v>
      </c>
      <c r="E100" s="412">
        <v>6000</v>
      </c>
      <c r="F100" s="433">
        <v>5239</v>
      </c>
      <c r="G100" s="412">
        <v>6000</v>
      </c>
      <c r="H100" s="472">
        <f t="shared" si="8"/>
        <v>8538</v>
      </c>
      <c r="I100" s="414" t="s">
        <v>725</v>
      </c>
      <c r="J100" s="426"/>
    </row>
    <row r="101" spans="1:10" x14ac:dyDescent="0.2">
      <c r="A101" s="2129">
        <v>4</v>
      </c>
      <c r="B101" s="2131" t="s">
        <v>726</v>
      </c>
      <c r="C101" s="412">
        <v>15976</v>
      </c>
      <c r="D101" s="412">
        <v>15975</v>
      </c>
      <c r="E101" s="412">
        <v>16000</v>
      </c>
      <c r="F101" s="433">
        <v>2312</v>
      </c>
      <c r="G101" s="412">
        <v>16000</v>
      </c>
      <c r="H101" s="472">
        <f t="shared" si="8"/>
        <v>22766</v>
      </c>
      <c r="I101" s="2133" t="s">
        <v>727</v>
      </c>
      <c r="J101" s="426"/>
    </row>
    <row r="102" spans="1:10" x14ac:dyDescent="0.2">
      <c r="A102" s="2130"/>
      <c r="B102" s="2132"/>
      <c r="C102" s="437">
        <v>4697</v>
      </c>
      <c r="D102" s="438">
        <v>4690</v>
      </c>
      <c r="E102" s="438">
        <v>5000</v>
      </c>
      <c r="F102" s="437">
        <v>2244</v>
      </c>
      <c r="G102" s="412">
        <v>4000</v>
      </c>
      <c r="H102" s="472">
        <f t="shared" si="8"/>
        <v>5692</v>
      </c>
      <c r="I102" s="2134"/>
      <c r="J102" s="426"/>
    </row>
    <row r="103" spans="1:10" ht="36" x14ac:dyDescent="0.2">
      <c r="A103" s="1254">
        <v>5</v>
      </c>
      <c r="B103" s="1074" t="s">
        <v>728</v>
      </c>
      <c r="C103" s="412">
        <v>39327</v>
      </c>
      <c r="D103" s="222">
        <v>39295</v>
      </c>
      <c r="E103" s="222">
        <v>50000</v>
      </c>
      <c r="F103" s="412">
        <v>5250</v>
      </c>
      <c r="G103" s="222"/>
      <c r="H103" s="472">
        <f t="shared" si="8"/>
        <v>0</v>
      </c>
      <c r="I103" s="416" t="s">
        <v>729</v>
      </c>
      <c r="J103" s="426"/>
    </row>
    <row r="104" spans="1:10" ht="24" x14ac:dyDescent="0.2">
      <c r="A104" s="1260">
        <v>6</v>
      </c>
      <c r="B104" s="495" t="s">
        <v>730</v>
      </c>
      <c r="C104" s="496">
        <v>267</v>
      </c>
      <c r="D104" s="475">
        <v>145</v>
      </c>
      <c r="E104" s="222">
        <v>170</v>
      </c>
      <c r="F104" s="502">
        <v>2261</v>
      </c>
      <c r="G104" s="498">
        <v>170</v>
      </c>
      <c r="H104" s="472">
        <f t="shared" si="8"/>
        <v>242</v>
      </c>
      <c r="I104" s="414"/>
      <c r="J104" s="426"/>
    </row>
    <row r="105" spans="1:10" ht="72" x14ac:dyDescent="0.2">
      <c r="A105" s="1260">
        <v>7</v>
      </c>
      <c r="B105" s="495" t="s">
        <v>731</v>
      </c>
      <c r="C105" s="497">
        <v>0</v>
      </c>
      <c r="D105" s="1075">
        <v>0</v>
      </c>
      <c r="E105" s="222">
        <v>50000</v>
      </c>
      <c r="F105" s="1752">
        <v>5239</v>
      </c>
      <c r="G105" s="498"/>
      <c r="H105" s="472">
        <f t="shared" si="8"/>
        <v>0</v>
      </c>
      <c r="I105" s="414" t="s">
        <v>732</v>
      </c>
      <c r="J105" s="426"/>
    </row>
    <row r="106" spans="1:10" ht="36" x14ac:dyDescent="0.2">
      <c r="A106" s="1260">
        <v>8</v>
      </c>
      <c r="B106" s="495" t="s">
        <v>733</v>
      </c>
      <c r="C106" s="497">
        <v>0</v>
      </c>
      <c r="D106" s="498">
        <v>0</v>
      </c>
      <c r="E106" s="499">
        <v>6000</v>
      </c>
      <c r="F106" s="497">
        <v>5239</v>
      </c>
      <c r="G106" s="444">
        <v>6000</v>
      </c>
      <c r="H106" s="472">
        <f t="shared" si="8"/>
        <v>8538</v>
      </c>
      <c r="I106" s="416" t="s">
        <v>734</v>
      </c>
      <c r="J106" s="426"/>
    </row>
    <row r="107" spans="1:10" ht="24" x14ac:dyDescent="0.2">
      <c r="A107" s="1260">
        <v>9</v>
      </c>
      <c r="B107" s="495" t="s">
        <v>735</v>
      </c>
      <c r="C107" s="497">
        <v>0</v>
      </c>
      <c r="D107" s="500">
        <v>0</v>
      </c>
      <c r="E107" s="501">
        <v>5000</v>
      </c>
      <c r="F107" s="497">
        <v>5239</v>
      </c>
      <c r="G107" s="498">
        <v>5000</v>
      </c>
      <c r="H107" s="472">
        <f t="shared" si="8"/>
        <v>7115</v>
      </c>
      <c r="I107" s="414" t="s">
        <v>736</v>
      </c>
      <c r="J107" s="426"/>
    </row>
    <row r="108" spans="1:10" ht="36" x14ac:dyDescent="0.2">
      <c r="A108" s="1260">
        <v>10</v>
      </c>
      <c r="B108" s="495" t="s">
        <v>737</v>
      </c>
      <c r="C108" s="502">
        <v>0</v>
      </c>
      <c r="D108" s="503">
        <v>0</v>
      </c>
      <c r="E108" s="501">
        <v>13000</v>
      </c>
      <c r="F108" s="497">
        <v>5239</v>
      </c>
      <c r="G108" s="498">
        <v>12000</v>
      </c>
      <c r="H108" s="472">
        <f t="shared" si="8"/>
        <v>17075</v>
      </c>
      <c r="I108" s="414" t="s">
        <v>738</v>
      </c>
      <c r="J108" s="426"/>
    </row>
    <row r="109" spans="1:10" ht="36" x14ac:dyDescent="0.2">
      <c r="A109" s="1260">
        <v>11</v>
      </c>
      <c r="B109" s="1259" t="s">
        <v>739</v>
      </c>
      <c r="C109" s="497">
        <v>0</v>
      </c>
      <c r="D109" s="498">
        <v>0</v>
      </c>
      <c r="E109" s="485">
        <v>30000</v>
      </c>
      <c r="F109" s="502">
        <v>5239</v>
      </c>
      <c r="G109" s="498"/>
      <c r="H109" s="472">
        <f t="shared" si="8"/>
        <v>0</v>
      </c>
      <c r="I109" s="416" t="s">
        <v>740</v>
      </c>
      <c r="J109" s="426"/>
    </row>
    <row r="110" spans="1:10" ht="48" x14ac:dyDescent="0.2">
      <c r="A110" s="1261">
        <v>12</v>
      </c>
      <c r="B110" s="504" t="s">
        <v>741</v>
      </c>
      <c r="C110" s="505">
        <v>0</v>
      </c>
      <c r="D110" s="506">
        <v>0</v>
      </c>
      <c r="E110" s="507">
        <v>11000</v>
      </c>
      <c r="F110" s="505">
        <v>5239</v>
      </c>
      <c r="G110" s="944">
        <v>11000</v>
      </c>
      <c r="H110" s="1022">
        <f t="shared" si="8"/>
        <v>15652</v>
      </c>
      <c r="I110" s="464" t="s">
        <v>742</v>
      </c>
      <c r="J110" s="426"/>
    </row>
    <row r="111" spans="1:10" x14ac:dyDescent="0.2">
      <c r="A111" s="508"/>
      <c r="B111" s="509"/>
      <c r="C111" s="510"/>
      <c r="D111" s="444"/>
      <c r="E111" s="485"/>
      <c r="F111" s="444"/>
      <c r="G111" s="443"/>
      <c r="H111" s="443"/>
      <c r="I111" s="511"/>
      <c r="J111" s="426"/>
    </row>
    <row r="112" spans="1:10" x14ac:dyDescent="0.2">
      <c r="A112" s="508"/>
      <c r="B112" s="512"/>
      <c r="C112" s="513"/>
      <c r="D112" s="514"/>
      <c r="E112" s="514"/>
      <c r="F112" s="514"/>
      <c r="G112" s="515"/>
      <c r="H112" s="515"/>
      <c r="I112" s="516"/>
    </row>
    <row r="113" spans="1:9" x14ac:dyDescent="0.2">
      <c r="A113" s="465"/>
      <c r="B113" s="443"/>
      <c r="C113" s="466"/>
      <c r="D113" s="467"/>
      <c r="E113" s="467"/>
      <c r="F113" s="467"/>
      <c r="G113" s="467"/>
      <c r="H113" s="467"/>
      <c r="I113" s="443"/>
    </row>
    <row r="114" spans="1:9" x14ac:dyDescent="0.2">
      <c r="A114" s="215" t="s">
        <v>115</v>
      </c>
      <c r="C114" s="2006" t="s">
        <v>743</v>
      </c>
      <c r="D114" s="2006"/>
      <c r="E114" s="2006"/>
      <c r="F114" s="2006"/>
      <c r="G114" s="2006"/>
      <c r="H114" s="2006"/>
      <c r="I114" s="2006"/>
    </row>
    <row r="115" spans="1:9" x14ac:dyDescent="0.2">
      <c r="A115" s="215" t="s">
        <v>117</v>
      </c>
      <c r="C115" s="2117" t="s">
        <v>744</v>
      </c>
      <c r="D115" s="2117"/>
      <c r="E115" s="2117"/>
      <c r="F115" s="2117"/>
      <c r="G115" s="2117"/>
      <c r="H115" s="2117"/>
      <c r="I115" s="2117"/>
    </row>
    <row r="116" spans="1:9" x14ac:dyDescent="0.2">
      <c r="A116" s="2096" t="s">
        <v>47</v>
      </c>
      <c r="B116" s="2096" t="s">
        <v>119</v>
      </c>
      <c r="C116" s="2023" t="s">
        <v>120</v>
      </c>
      <c r="D116" s="2096" t="s">
        <v>121</v>
      </c>
      <c r="E116" s="2096" t="s">
        <v>122</v>
      </c>
      <c r="F116" s="220"/>
      <c r="G116" s="220"/>
      <c r="H116" s="220"/>
      <c r="I116" s="2096" t="s">
        <v>126</v>
      </c>
    </row>
    <row r="117" spans="1:9" ht="48" x14ac:dyDescent="0.2">
      <c r="A117" s="2096"/>
      <c r="B117" s="2096"/>
      <c r="C117" s="2023"/>
      <c r="D117" s="2096"/>
      <c r="E117" s="2096"/>
      <c r="F117" s="221" t="s">
        <v>129</v>
      </c>
      <c r="G117" s="221" t="s">
        <v>124</v>
      </c>
      <c r="H117" s="1846" t="s">
        <v>2165</v>
      </c>
      <c r="I117" s="2096"/>
    </row>
    <row r="118" spans="1:9" x14ac:dyDescent="0.2">
      <c r="A118" s="2118" t="s">
        <v>2182</v>
      </c>
      <c r="B118" s="2118"/>
      <c r="C118" s="412">
        <f>C119+C120</f>
        <v>270000</v>
      </c>
      <c r="D118" s="412">
        <f>D119+D120</f>
        <v>269513</v>
      </c>
      <c r="E118" s="412">
        <f>E119+E120</f>
        <v>270000</v>
      </c>
      <c r="F118" s="412"/>
      <c r="G118" s="412">
        <f>G119+G120</f>
        <v>0</v>
      </c>
      <c r="H118" s="406">
        <f>H119+H120</f>
        <v>0</v>
      </c>
      <c r="I118" s="2119" t="s">
        <v>745</v>
      </c>
    </row>
    <row r="119" spans="1:9" x14ac:dyDescent="0.2">
      <c r="A119" s="2121">
        <v>1</v>
      </c>
      <c r="B119" s="2123" t="s">
        <v>746</v>
      </c>
      <c r="C119" s="411">
        <v>269274</v>
      </c>
      <c r="D119" s="411">
        <v>268787</v>
      </c>
      <c r="E119" s="411">
        <v>270000</v>
      </c>
      <c r="F119" s="412">
        <v>5240</v>
      </c>
      <c r="G119" s="411"/>
      <c r="H119" s="411">
        <f>ROUNDUP(G119/0.702804,0)</f>
        <v>0</v>
      </c>
      <c r="I119" s="2120"/>
    </row>
    <row r="120" spans="1:9" x14ac:dyDescent="0.2">
      <c r="A120" s="2122"/>
      <c r="B120" s="2124"/>
      <c r="C120" s="517">
        <v>726</v>
      </c>
      <c r="D120" s="517">
        <v>726</v>
      </c>
      <c r="E120" s="517">
        <v>0</v>
      </c>
      <c r="F120" s="1751">
        <v>2312</v>
      </c>
      <c r="G120" s="518"/>
      <c r="H120" s="411">
        <f>ROUNDUP(G120/0.702804,0)</f>
        <v>0</v>
      </c>
      <c r="I120" s="2120"/>
    </row>
    <row r="121" spans="1:9" x14ac:dyDescent="0.2">
      <c r="A121" s="2021" t="s">
        <v>2169</v>
      </c>
      <c r="B121" s="2022"/>
      <c r="C121" s="519">
        <f>C118+C90+C56+C27+C15</f>
        <v>2170879</v>
      </c>
      <c r="D121" s="519">
        <f t="shared" ref="D121:E121" si="9">D118+D90+D56+D27+D15</f>
        <v>1980932</v>
      </c>
      <c r="E121" s="519">
        <f t="shared" si="9"/>
        <v>2366139</v>
      </c>
      <c r="F121" s="520"/>
      <c r="G121" s="997">
        <f>G118+G90+G56+G27+G15</f>
        <v>2582313</v>
      </c>
      <c r="H121" s="997">
        <f>H118+H90+H56+H27+H15</f>
        <v>1957317</v>
      </c>
      <c r="I121" s="521"/>
    </row>
    <row r="122" spans="1:9" x14ac:dyDescent="0.2">
      <c r="A122" s="508"/>
      <c r="B122" s="512"/>
      <c r="C122" s="513"/>
      <c r="D122" s="514"/>
      <c r="E122" s="514"/>
      <c r="F122" s="514"/>
      <c r="G122" s="515"/>
      <c r="H122" s="515"/>
      <c r="I122" s="516"/>
    </row>
    <row r="124" spans="1:9" x14ac:dyDescent="0.2">
      <c r="G124" s="215" t="s">
        <v>747</v>
      </c>
    </row>
  </sheetData>
  <sheetProtection password="CA5B" sheet="1" objects="1" scenarios="1"/>
  <mergeCells count="67">
    <mergeCell ref="A8:I8"/>
    <mergeCell ref="C10:I10"/>
    <mergeCell ref="C11:I11"/>
    <mergeCell ref="C12:I12"/>
    <mergeCell ref="F1:I3"/>
    <mergeCell ref="I13:I14"/>
    <mergeCell ref="A15:B15"/>
    <mergeCell ref="C23:I23"/>
    <mergeCell ref="C24:I24"/>
    <mergeCell ref="A25:A26"/>
    <mergeCell ref="B25:B26"/>
    <mergeCell ref="C25:C26"/>
    <mergeCell ref="D25:D26"/>
    <mergeCell ref="E25:E26"/>
    <mergeCell ref="I25:I26"/>
    <mergeCell ref="A13:A14"/>
    <mergeCell ref="B13:B14"/>
    <mergeCell ref="C13:C14"/>
    <mergeCell ref="D13:D14"/>
    <mergeCell ref="E13:E14"/>
    <mergeCell ref="A27:B27"/>
    <mergeCell ref="A30:A32"/>
    <mergeCell ref="B30:B32"/>
    <mergeCell ref="I32:I33"/>
    <mergeCell ref="A39:A40"/>
    <mergeCell ref="B39:B40"/>
    <mergeCell ref="A76:A79"/>
    <mergeCell ref="B76:B79"/>
    <mergeCell ref="C52:I52"/>
    <mergeCell ref="C53:I53"/>
    <mergeCell ref="A54:A55"/>
    <mergeCell ref="B54:B55"/>
    <mergeCell ref="C54:C55"/>
    <mergeCell ref="D54:D55"/>
    <mergeCell ref="E54:E55"/>
    <mergeCell ref="I54:I55"/>
    <mergeCell ref="A56:B56"/>
    <mergeCell ref="A60:A61"/>
    <mergeCell ref="B60:B61"/>
    <mergeCell ref="I60:I61"/>
    <mergeCell ref="B65:B66"/>
    <mergeCell ref="C114:I114"/>
    <mergeCell ref="C86:I86"/>
    <mergeCell ref="C87:I87"/>
    <mergeCell ref="A88:A89"/>
    <mergeCell ref="B88:B89"/>
    <mergeCell ref="C88:C89"/>
    <mergeCell ref="D88:D89"/>
    <mergeCell ref="E88:E89"/>
    <mergeCell ref="I88:I89"/>
    <mergeCell ref="A90:B90"/>
    <mergeCell ref="B96:B98"/>
    <mergeCell ref="A101:A102"/>
    <mergeCell ref="B101:B102"/>
    <mergeCell ref="I101:I102"/>
    <mergeCell ref="A118:B118"/>
    <mergeCell ref="I118:I120"/>
    <mergeCell ref="A119:A120"/>
    <mergeCell ref="B119:B120"/>
    <mergeCell ref="A121:B121"/>
    <mergeCell ref="C115:I115"/>
    <mergeCell ref="A116:A117"/>
    <mergeCell ref="B116:B117"/>
    <mergeCell ref="C116:C117"/>
    <mergeCell ref="D116:D117"/>
    <mergeCell ref="E116:E117"/>
    <mergeCell ref="I116:I117"/>
  </mergeCells>
  <pageMargins left="0.78740157480314965" right="0.19685039370078741" top="0.39370078740157483" bottom="0.39370078740157483" header="0.51181102362204722" footer="0.51181102362204722"/>
  <pageSetup paperSize="9" scale="70" orientation="portrait" r:id="rId1"/>
  <headerFooter scaleWithDoc="0" alignWithMargins="0">
    <oddFooter xml:space="preserve">&amp;R&amp;"Times New Roman,Regular"&amp;8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5"/>
  <sheetViews>
    <sheetView zoomScaleNormal="100" workbookViewId="0">
      <selection activeCell="K10" sqref="K10"/>
    </sheetView>
  </sheetViews>
  <sheetFormatPr defaultRowHeight="12" x14ac:dyDescent="0.2"/>
  <cols>
    <col min="1" max="1" width="6.140625" style="215" customWidth="1"/>
    <col min="2" max="2" width="42" style="215" customWidth="1"/>
    <col min="3" max="3" width="10.42578125" style="215" customWidth="1"/>
    <col min="4" max="4" width="11.140625" style="215" customWidth="1"/>
    <col min="5" max="5" width="10.28515625" style="215" customWidth="1"/>
    <col min="6" max="6" width="10.5703125" style="215" customWidth="1"/>
    <col min="7" max="7" width="9.7109375" style="215" hidden="1" customWidth="1"/>
    <col min="8" max="8" width="9.7109375" style="215" customWidth="1"/>
    <col min="9" max="9" width="16.7109375" style="215" customWidth="1"/>
    <col min="10" max="256" width="9.140625" style="215"/>
    <col min="257" max="257" width="6.140625" style="215" customWidth="1"/>
    <col min="258" max="258" width="42" style="215" customWidth="1"/>
    <col min="259" max="259" width="11.85546875" style="215" customWidth="1"/>
    <col min="260" max="260" width="11.140625" style="215" customWidth="1"/>
    <col min="261" max="261" width="10.28515625" style="215" customWidth="1"/>
    <col min="262" max="262" width="10.5703125" style="215" customWidth="1"/>
    <col min="263" max="264" width="9.7109375" style="215" customWidth="1"/>
    <col min="265" max="265" width="16.7109375" style="215" customWidth="1"/>
    <col min="266" max="512" width="9.140625" style="215"/>
    <col min="513" max="513" width="6.140625" style="215" customWidth="1"/>
    <col min="514" max="514" width="42" style="215" customWidth="1"/>
    <col min="515" max="515" width="11.85546875" style="215" customWidth="1"/>
    <col min="516" max="516" width="11.140625" style="215" customWidth="1"/>
    <col min="517" max="517" width="10.28515625" style="215" customWidth="1"/>
    <col min="518" max="518" width="10.5703125" style="215" customWidth="1"/>
    <col min="519" max="520" width="9.7109375" style="215" customWidth="1"/>
    <col min="521" max="521" width="16.7109375" style="215" customWidth="1"/>
    <col min="522" max="768" width="9.140625" style="215"/>
    <col min="769" max="769" width="6.140625" style="215" customWidth="1"/>
    <col min="770" max="770" width="42" style="215" customWidth="1"/>
    <col min="771" max="771" width="11.85546875" style="215" customWidth="1"/>
    <col min="772" max="772" width="11.140625" style="215" customWidth="1"/>
    <col min="773" max="773" width="10.28515625" style="215" customWidth="1"/>
    <col min="774" max="774" width="10.5703125" style="215" customWidth="1"/>
    <col min="775" max="776" width="9.7109375" style="215" customWidth="1"/>
    <col min="777" max="777" width="16.7109375" style="215" customWidth="1"/>
    <col min="778" max="1024" width="9.140625" style="215"/>
    <col min="1025" max="1025" width="6.140625" style="215" customWidth="1"/>
    <col min="1026" max="1026" width="42" style="215" customWidth="1"/>
    <col min="1027" max="1027" width="11.85546875" style="215" customWidth="1"/>
    <col min="1028" max="1028" width="11.140625" style="215" customWidth="1"/>
    <col min="1029" max="1029" width="10.28515625" style="215" customWidth="1"/>
    <col min="1030" max="1030" width="10.5703125" style="215" customWidth="1"/>
    <col min="1031" max="1032" width="9.7109375" style="215" customWidth="1"/>
    <col min="1033" max="1033" width="16.7109375" style="215" customWidth="1"/>
    <col min="1034" max="1280" width="9.140625" style="215"/>
    <col min="1281" max="1281" width="6.140625" style="215" customWidth="1"/>
    <col min="1282" max="1282" width="42" style="215" customWidth="1"/>
    <col min="1283" max="1283" width="11.85546875" style="215" customWidth="1"/>
    <col min="1284" max="1284" width="11.140625" style="215" customWidth="1"/>
    <col min="1285" max="1285" width="10.28515625" style="215" customWidth="1"/>
    <col min="1286" max="1286" width="10.5703125" style="215" customWidth="1"/>
    <col min="1287" max="1288" width="9.7109375" style="215" customWidth="1"/>
    <col min="1289" max="1289" width="16.7109375" style="215" customWidth="1"/>
    <col min="1290" max="1536" width="9.140625" style="215"/>
    <col min="1537" max="1537" width="6.140625" style="215" customWidth="1"/>
    <col min="1538" max="1538" width="42" style="215" customWidth="1"/>
    <col min="1539" max="1539" width="11.85546875" style="215" customWidth="1"/>
    <col min="1540" max="1540" width="11.140625" style="215" customWidth="1"/>
    <col min="1541" max="1541" width="10.28515625" style="215" customWidth="1"/>
    <col min="1542" max="1542" width="10.5703125" style="215" customWidth="1"/>
    <col min="1543" max="1544" width="9.7109375" style="215" customWidth="1"/>
    <col min="1545" max="1545" width="16.7109375" style="215" customWidth="1"/>
    <col min="1546" max="1792" width="9.140625" style="215"/>
    <col min="1793" max="1793" width="6.140625" style="215" customWidth="1"/>
    <col min="1794" max="1794" width="42" style="215" customWidth="1"/>
    <col min="1795" max="1795" width="11.85546875" style="215" customWidth="1"/>
    <col min="1796" max="1796" width="11.140625" style="215" customWidth="1"/>
    <col min="1797" max="1797" width="10.28515625" style="215" customWidth="1"/>
    <col min="1798" max="1798" width="10.5703125" style="215" customWidth="1"/>
    <col min="1799" max="1800" width="9.7109375" style="215" customWidth="1"/>
    <col min="1801" max="1801" width="16.7109375" style="215" customWidth="1"/>
    <col min="1802" max="2048" width="9.140625" style="215"/>
    <col min="2049" max="2049" width="6.140625" style="215" customWidth="1"/>
    <col min="2050" max="2050" width="42" style="215" customWidth="1"/>
    <col min="2051" max="2051" width="11.85546875" style="215" customWidth="1"/>
    <col min="2052" max="2052" width="11.140625" style="215" customWidth="1"/>
    <col min="2053" max="2053" width="10.28515625" style="215" customWidth="1"/>
    <col min="2054" max="2054" width="10.5703125" style="215" customWidth="1"/>
    <col min="2055" max="2056" width="9.7109375" style="215" customWidth="1"/>
    <col min="2057" max="2057" width="16.7109375" style="215" customWidth="1"/>
    <col min="2058" max="2304" width="9.140625" style="215"/>
    <col min="2305" max="2305" width="6.140625" style="215" customWidth="1"/>
    <col min="2306" max="2306" width="42" style="215" customWidth="1"/>
    <col min="2307" max="2307" width="11.85546875" style="215" customWidth="1"/>
    <col min="2308" max="2308" width="11.140625" style="215" customWidth="1"/>
    <col min="2309" max="2309" width="10.28515625" style="215" customWidth="1"/>
    <col min="2310" max="2310" width="10.5703125" style="215" customWidth="1"/>
    <col min="2311" max="2312" width="9.7109375" style="215" customWidth="1"/>
    <col min="2313" max="2313" width="16.7109375" style="215" customWidth="1"/>
    <col min="2314" max="2560" width="9.140625" style="215"/>
    <col min="2561" max="2561" width="6.140625" style="215" customWidth="1"/>
    <col min="2562" max="2562" width="42" style="215" customWidth="1"/>
    <col min="2563" max="2563" width="11.85546875" style="215" customWidth="1"/>
    <col min="2564" max="2564" width="11.140625" style="215" customWidth="1"/>
    <col min="2565" max="2565" width="10.28515625" style="215" customWidth="1"/>
    <col min="2566" max="2566" width="10.5703125" style="215" customWidth="1"/>
    <col min="2567" max="2568" width="9.7109375" style="215" customWidth="1"/>
    <col min="2569" max="2569" width="16.7109375" style="215" customWidth="1"/>
    <col min="2570" max="2816" width="9.140625" style="215"/>
    <col min="2817" max="2817" width="6.140625" style="215" customWidth="1"/>
    <col min="2818" max="2818" width="42" style="215" customWidth="1"/>
    <col min="2819" max="2819" width="11.85546875" style="215" customWidth="1"/>
    <col min="2820" max="2820" width="11.140625" style="215" customWidth="1"/>
    <col min="2821" max="2821" width="10.28515625" style="215" customWidth="1"/>
    <col min="2822" max="2822" width="10.5703125" style="215" customWidth="1"/>
    <col min="2823" max="2824" width="9.7109375" style="215" customWidth="1"/>
    <col min="2825" max="2825" width="16.7109375" style="215" customWidth="1"/>
    <col min="2826" max="3072" width="9.140625" style="215"/>
    <col min="3073" max="3073" width="6.140625" style="215" customWidth="1"/>
    <col min="3074" max="3074" width="42" style="215" customWidth="1"/>
    <col min="3075" max="3075" width="11.85546875" style="215" customWidth="1"/>
    <col min="3076" max="3076" width="11.140625" style="215" customWidth="1"/>
    <col min="3077" max="3077" width="10.28515625" style="215" customWidth="1"/>
    <col min="3078" max="3078" width="10.5703125" style="215" customWidth="1"/>
    <col min="3079" max="3080" width="9.7109375" style="215" customWidth="1"/>
    <col min="3081" max="3081" width="16.7109375" style="215" customWidth="1"/>
    <col min="3082" max="3328" width="9.140625" style="215"/>
    <col min="3329" max="3329" width="6.140625" style="215" customWidth="1"/>
    <col min="3330" max="3330" width="42" style="215" customWidth="1"/>
    <col min="3331" max="3331" width="11.85546875" style="215" customWidth="1"/>
    <col min="3332" max="3332" width="11.140625" style="215" customWidth="1"/>
    <col min="3333" max="3333" width="10.28515625" style="215" customWidth="1"/>
    <col min="3334" max="3334" width="10.5703125" style="215" customWidth="1"/>
    <col min="3335" max="3336" width="9.7109375" style="215" customWidth="1"/>
    <col min="3337" max="3337" width="16.7109375" style="215" customWidth="1"/>
    <col min="3338" max="3584" width="9.140625" style="215"/>
    <col min="3585" max="3585" width="6.140625" style="215" customWidth="1"/>
    <col min="3586" max="3586" width="42" style="215" customWidth="1"/>
    <col min="3587" max="3587" width="11.85546875" style="215" customWidth="1"/>
    <col min="3588" max="3588" width="11.140625" style="215" customWidth="1"/>
    <col min="3589" max="3589" width="10.28515625" style="215" customWidth="1"/>
    <col min="3590" max="3590" width="10.5703125" style="215" customWidth="1"/>
    <col min="3591" max="3592" width="9.7109375" style="215" customWidth="1"/>
    <col min="3593" max="3593" width="16.7109375" style="215" customWidth="1"/>
    <col min="3594" max="3840" width="9.140625" style="215"/>
    <col min="3841" max="3841" width="6.140625" style="215" customWidth="1"/>
    <col min="3842" max="3842" width="42" style="215" customWidth="1"/>
    <col min="3843" max="3843" width="11.85546875" style="215" customWidth="1"/>
    <col min="3844" max="3844" width="11.140625" style="215" customWidth="1"/>
    <col min="3845" max="3845" width="10.28515625" style="215" customWidth="1"/>
    <col min="3846" max="3846" width="10.5703125" style="215" customWidth="1"/>
    <col min="3847" max="3848" width="9.7109375" style="215" customWidth="1"/>
    <col min="3849" max="3849" width="16.7109375" style="215" customWidth="1"/>
    <col min="3850" max="4096" width="9.140625" style="215"/>
    <col min="4097" max="4097" width="6.140625" style="215" customWidth="1"/>
    <col min="4098" max="4098" width="42" style="215" customWidth="1"/>
    <col min="4099" max="4099" width="11.85546875" style="215" customWidth="1"/>
    <col min="4100" max="4100" width="11.140625" style="215" customWidth="1"/>
    <col min="4101" max="4101" width="10.28515625" style="215" customWidth="1"/>
    <col min="4102" max="4102" width="10.5703125" style="215" customWidth="1"/>
    <col min="4103" max="4104" width="9.7109375" style="215" customWidth="1"/>
    <col min="4105" max="4105" width="16.7109375" style="215" customWidth="1"/>
    <col min="4106" max="4352" width="9.140625" style="215"/>
    <col min="4353" max="4353" width="6.140625" style="215" customWidth="1"/>
    <col min="4354" max="4354" width="42" style="215" customWidth="1"/>
    <col min="4355" max="4355" width="11.85546875" style="215" customWidth="1"/>
    <col min="4356" max="4356" width="11.140625" style="215" customWidth="1"/>
    <col min="4357" max="4357" width="10.28515625" style="215" customWidth="1"/>
    <col min="4358" max="4358" width="10.5703125" style="215" customWidth="1"/>
    <col min="4359" max="4360" width="9.7109375" style="215" customWidth="1"/>
    <col min="4361" max="4361" width="16.7109375" style="215" customWidth="1"/>
    <col min="4362" max="4608" width="9.140625" style="215"/>
    <col min="4609" max="4609" width="6.140625" style="215" customWidth="1"/>
    <col min="4610" max="4610" width="42" style="215" customWidth="1"/>
    <col min="4611" max="4611" width="11.85546875" style="215" customWidth="1"/>
    <col min="4612" max="4612" width="11.140625" style="215" customWidth="1"/>
    <col min="4613" max="4613" width="10.28515625" style="215" customWidth="1"/>
    <col min="4614" max="4614" width="10.5703125" style="215" customWidth="1"/>
    <col min="4615" max="4616" width="9.7109375" style="215" customWidth="1"/>
    <col min="4617" max="4617" width="16.7109375" style="215" customWidth="1"/>
    <col min="4618" max="4864" width="9.140625" style="215"/>
    <col min="4865" max="4865" width="6.140625" style="215" customWidth="1"/>
    <col min="4866" max="4866" width="42" style="215" customWidth="1"/>
    <col min="4867" max="4867" width="11.85546875" style="215" customWidth="1"/>
    <col min="4868" max="4868" width="11.140625" style="215" customWidth="1"/>
    <col min="4869" max="4869" width="10.28515625" style="215" customWidth="1"/>
    <col min="4870" max="4870" width="10.5703125" style="215" customWidth="1"/>
    <col min="4871" max="4872" width="9.7109375" style="215" customWidth="1"/>
    <col min="4873" max="4873" width="16.7109375" style="215" customWidth="1"/>
    <col min="4874" max="5120" width="9.140625" style="215"/>
    <col min="5121" max="5121" width="6.140625" style="215" customWidth="1"/>
    <col min="5122" max="5122" width="42" style="215" customWidth="1"/>
    <col min="5123" max="5123" width="11.85546875" style="215" customWidth="1"/>
    <col min="5124" max="5124" width="11.140625" style="215" customWidth="1"/>
    <col min="5125" max="5125" width="10.28515625" style="215" customWidth="1"/>
    <col min="5126" max="5126" width="10.5703125" style="215" customWidth="1"/>
    <col min="5127" max="5128" width="9.7109375" style="215" customWidth="1"/>
    <col min="5129" max="5129" width="16.7109375" style="215" customWidth="1"/>
    <col min="5130" max="5376" width="9.140625" style="215"/>
    <col min="5377" max="5377" width="6.140625" style="215" customWidth="1"/>
    <col min="5378" max="5378" width="42" style="215" customWidth="1"/>
    <col min="5379" max="5379" width="11.85546875" style="215" customWidth="1"/>
    <col min="5380" max="5380" width="11.140625" style="215" customWidth="1"/>
    <col min="5381" max="5381" width="10.28515625" style="215" customWidth="1"/>
    <col min="5382" max="5382" width="10.5703125" style="215" customWidth="1"/>
    <col min="5383" max="5384" width="9.7109375" style="215" customWidth="1"/>
    <col min="5385" max="5385" width="16.7109375" style="215" customWidth="1"/>
    <col min="5386" max="5632" width="9.140625" style="215"/>
    <col min="5633" max="5633" width="6.140625" style="215" customWidth="1"/>
    <col min="5634" max="5634" width="42" style="215" customWidth="1"/>
    <col min="5635" max="5635" width="11.85546875" style="215" customWidth="1"/>
    <col min="5636" max="5636" width="11.140625" style="215" customWidth="1"/>
    <col min="5637" max="5637" width="10.28515625" style="215" customWidth="1"/>
    <col min="5638" max="5638" width="10.5703125" style="215" customWidth="1"/>
    <col min="5639" max="5640" width="9.7109375" style="215" customWidth="1"/>
    <col min="5641" max="5641" width="16.7109375" style="215" customWidth="1"/>
    <col min="5642" max="5888" width="9.140625" style="215"/>
    <col min="5889" max="5889" width="6.140625" style="215" customWidth="1"/>
    <col min="5890" max="5890" width="42" style="215" customWidth="1"/>
    <col min="5891" max="5891" width="11.85546875" style="215" customWidth="1"/>
    <col min="5892" max="5892" width="11.140625" style="215" customWidth="1"/>
    <col min="5893" max="5893" width="10.28515625" style="215" customWidth="1"/>
    <col min="5894" max="5894" width="10.5703125" style="215" customWidth="1"/>
    <col min="5895" max="5896" width="9.7109375" style="215" customWidth="1"/>
    <col min="5897" max="5897" width="16.7109375" style="215" customWidth="1"/>
    <col min="5898" max="6144" width="9.140625" style="215"/>
    <col min="6145" max="6145" width="6.140625" style="215" customWidth="1"/>
    <col min="6146" max="6146" width="42" style="215" customWidth="1"/>
    <col min="6147" max="6147" width="11.85546875" style="215" customWidth="1"/>
    <col min="6148" max="6148" width="11.140625" style="215" customWidth="1"/>
    <col min="6149" max="6149" width="10.28515625" style="215" customWidth="1"/>
    <col min="6150" max="6150" width="10.5703125" style="215" customWidth="1"/>
    <col min="6151" max="6152" width="9.7109375" style="215" customWidth="1"/>
    <col min="6153" max="6153" width="16.7109375" style="215" customWidth="1"/>
    <col min="6154" max="6400" width="9.140625" style="215"/>
    <col min="6401" max="6401" width="6.140625" style="215" customWidth="1"/>
    <col min="6402" max="6402" width="42" style="215" customWidth="1"/>
    <col min="6403" max="6403" width="11.85546875" style="215" customWidth="1"/>
    <col min="6404" max="6404" width="11.140625" style="215" customWidth="1"/>
    <col min="6405" max="6405" width="10.28515625" style="215" customWidth="1"/>
    <col min="6406" max="6406" width="10.5703125" style="215" customWidth="1"/>
    <col min="6407" max="6408" width="9.7109375" style="215" customWidth="1"/>
    <col min="6409" max="6409" width="16.7109375" style="215" customWidth="1"/>
    <col min="6410" max="6656" width="9.140625" style="215"/>
    <col min="6657" max="6657" width="6.140625" style="215" customWidth="1"/>
    <col min="6658" max="6658" width="42" style="215" customWidth="1"/>
    <col min="6659" max="6659" width="11.85546875" style="215" customWidth="1"/>
    <col min="6660" max="6660" width="11.140625" style="215" customWidth="1"/>
    <col min="6661" max="6661" width="10.28515625" style="215" customWidth="1"/>
    <col min="6662" max="6662" width="10.5703125" style="215" customWidth="1"/>
    <col min="6663" max="6664" width="9.7109375" style="215" customWidth="1"/>
    <col min="6665" max="6665" width="16.7109375" style="215" customWidth="1"/>
    <col min="6666" max="6912" width="9.140625" style="215"/>
    <col min="6913" max="6913" width="6.140625" style="215" customWidth="1"/>
    <col min="6914" max="6914" width="42" style="215" customWidth="1"/>
    <col min="6915" max="6915" width="11.85546875" style="215" customWidth="1"/>
    <col min="6916" max="6916" width="11.140625" style="215" customWidth="1"/>
    <col min="6917" max="6917" width="10.28515625" style="215" customWidth="1"/>
    <col min="6918" max="6918" width="10.5703125" style="215" customWidth="1"/>
    <col min="6919" max="6920" width="9.7109375" style="215" customWidth="1"/>
    <col min="6921" max="6921" width="16.7109375" style="215" customWidth="1"/>
    <col min="6922" max="7168" width="9.140625" style="215"/>
    <col min="7169" max="7169" width="6.140625" style="215" customWidth="1"/>
    <col min="7170" max="7170" width="42" style="215" customWidth="1"/>
    <col min="7171" max="7171" width="11.85546875" style="215" customWidth="1"/>
    <col min="7172" max="7172" width="11.140625" style="215" customWidth="1"/>
    <col min="7173" max="7173" width="10.28515625" style="215" customWidth="1"/>
    <col min="7174" max="7174" width="10.5703125" style="215" customWidth="1"/>
    <col min="7175" max="7176" width="9.7109375" style="215" customWidth="1"/>
    <col min="7177" max="7177" width="16.7109375" style="215" customWidth="1"/>
    <col min="7178" max="7424" width="9.140625" style="215"/>
    <col min="7425" max="7425" width="6.140625" style="215" customWidth="1"/>
    <col min="7426" max="7426" width="42" style="215" customWidth="1"/>
    <col min="7427" max="7427" width="11.85546875" style="215" customWidth="1"/>
    <col min="7428" max="7428" width="11.140625" style="215" customWidth="1"/>
    <col min="7429" max="7429" width="10.28515625" style="215" customWidth="1"/>
    <col min="7430" max="7430" width="10.5703125" style="215" customWidth="1"/>
    <col min="7431" max="7432" width="9.7109375" style="215" customWidth="1"/>
    <col min="7433" max="7433" width="16.7109375" style="215" customWidth="1"/>
    <col min="7434" max="7680" width="9.140625" style="215"/>
    <col min="7681" max="7681" width="6.140625" style="215" customWidth="1"/>
    <col min="7682" max="7682" width="42" style="215" customWidth="1"/>
    <col min="7683" max="7683" width="11.85546875" style="215" customWidth="1"/>
    <col min="7684" max="7684" width="11.140625" style="215" customWidth="1"/>
    <col min="7685" max="7685" width="10.28515625" style="215" customWidth="1"/>
    <col min="7686" max="7686" width="10.5703125" style="215" customWidth="1"/>
    <col min="7687" max="7688" width="9.7109375" style="215" customWidth="1"/>
    <col min="7689" max="7689" width="16.7109375" style="215" customWidth="1"/>
    <col min="7690" max="7936" width="9.140625" style="215"/>
    <col min="7937" max="7937" width="6.140625" style="215" customWidth="1"/>
    <col min="7938" max="7938" width="42" style="215" customWidth="1"/>
    <col min="7939" max="7939" width="11.85546875" style="215" customWidth="1"/>
    <col min="7940" max="7940" width="11.140625" style="215" customWidth="1"/>
    <col min="7941" max="7941" width="10.28515625" style="215" customWidth="1"/>
    <col min="7942" max="7942" width="10.5703125" style="215" customWidth="1"/>
    <col min="7943" max="7944" width="9.7109375" style="215" customWidth="1"/>
    <col min="7945" max="7945" width="16.7109375" style="215" customWidth="1"/>
    <col min="7946" max="8192" width="9.140625" style="215"/>
    <col min="8193" max="8193" width="6.140625" style="215" customWidth="1"/>
    <col min="8194" max="8194" width="42" style="215" customWidth="1"/>
    <col min="8195" max="8195" width="11.85546875" style="215" customWidth="1"/>
    <col min="8196" max="8196" width="11.140625" style="215" customWidth="1"/>
    <col min="8197" max="8197" width="10.28515625" style="215" customWidth="1"/>
    <col min="8198" max="8198" width="10.5703125" style="215" customWidth="1"/>
    <col min="8199" max="8200" width="9.7109375" style="215" customWidth="1"/>
    <col min="8201" max="8201" width="16.7109375" style="215" customWidth="1"/>
    <col min="8202" max="8448" width="9.140625" style="215"/>
    <col min="8449" max="8449" width="6.140625" style="215" customWidth="1"/>
    <col min="8450" max="8450" width="42" style="215" customWidth="1"/>
    <col min="8451" max="8451" width="11.85546875" style="215" customWidth="1"/>
    <col min="8452" max="8452" width="11.140625" style="215" customWidth="1"/>
    <col min="8453" max="8453" width="10.28515625" style="215" customWidth="1"/>
    <col min="8454" max="8454" width="10.5703125" style="215" customWidth="1"/>
    <col min="8455" max="8456" width="9.7109375" style="215" customWidth="1"/>
    <col min="8457" max="8457" width="16.7109375" style="215" customWidth="1"/>
    <col min="8458" max="8704" width="9.140625" style="215"/>
    <col min="8705" max="8705" width="6.140625" style="215" customWidth="1"/>
    <col min="8706" max="8706" width="42" style="215" customWidth="1"/>
    <col min="8707" max="8707" width="11.85546875" style="215" customWidth="1"/>
    <col min="8708" max="8708" width="11.140625" style="215" customWidth="1"/>
    <col min="8709" max="8709" width="10.28515625" style="215" customWidth="1"/>
    <col min="8710" max="8710" width="10.5703125" style="215" customWidth="1"/>
    <col min="8711" max="8712" width="9.7109375" style="215" customWidth="1"/>
    <col min="8713" max="8713" width="16.7109375" style="215" customWidth="1"/>
    <col min="8714" max="8960" width="9.140625" style="215"/>
    <col min="8961" max="8961" width="6.140625" style="215" customWidth="1"/>
    <col min="8962" max="8962" width="42" style="215" customWidth="1"/>
    <col min="8963" max="8963" width="11.85546875" style="215" customWidth="1"/>
    <col min="8964" max="8964" width="11.140625" style="215" customWidth="1"/>
    <col min="8965" max="8965" width="10.28515625" style="215" customWidth="1"/>
    <col min="8966" max="8966" width="10.5703125" style="215" customWidth="1"/>
    <col min="8967" max="8968" width="9.7109375" style="215" customWidth="1"/>
    <col min="8969" max="8969" width="16.7109375" style="215" customWidth="1"/>
    <col min="8970" max="9216" width="9.140625" style="215"/>
    <col min="9217" max="9217" width="6.140625" style="215" customWidth="1"/>
    <col min="9218" max="9218" width="42" style="215" customWidth="1"/>
    <col min="9219" max="9219" width="11.85546875" style="215" customWidth="1"/>
    <col min="9220" max="9220" width="11.140625" style="215" customWidth="1"/>
    <col min="9221" max="9221" width="10.28515625" style="215" customWidth="1"/>
    <col min="9222" max="9222" width="10.5703125" style="215" customWidth="1"/>
    <col min="9223" max="9224" width="9.7109375" style="215" customWidth="1"/>
    <col min="9225" max="9225" width="16.7109375" style="215" customWidth="1"/>
    <col min="9226" max="9472" width="9.140625" style="215"/>
    <col min="9473" max="9473" width="6.140625" style="215" customWidth="1"/>
    <col min="9474" max="9474" width="42" style="215" customWidth="1"/>
    <col min="9475" max="9475" width="11.85546875" style="215" customWidth="1"/>
    <col min="9476" max="9476" width="11.140625" style="215" customWidth="1"/>
    <col min="9477" max="9477" width="10.28515625" style="215" customWidth="1"/>
    <col min="9478" max="9478" width="10.5703125" style="215" customWidth="1"/>
    <col min="9479" max="9480" width="9.7109375" style="215" customWidth="1"/>
    <col min="9481" max="9481" width="16.7109375" style="215" customWidth="1"/>
    <col min="9482" max="9728" width="9.140625" style="215"/>
    <col min="9729" max="9729" width="6.140625" style="215" customWidth="1"/>
    <col min="9730" max="9730" width="42" style="215" customWidth="1"/>
    <col min="9731" max="9731" width="11.85546875" style="215" customWidth="1"/>
    <col min="9732" max="9732" width="11.140625" style="215" customWidth="1"/>
    <col min="9733" max="9733" width="10.28515625" style="215" customWidth="1"/>
    <col min="9734" max="9734" width="10.5703125" style="215" customWidth="1"/>
    <col min="9735" max="9736" width="9.7109375" style="215" customWidth="1"/>
    <col min="9737" max="9737" width="16.7109375" style="215" customWidth="1"/>
    <col min="9738" max="9984" width="9.140625" style="215"/>
    <col min="9985" max="9985" width="6.140625" style="215" customWidth="1"/>
    <col min="9986" max="9986" width="42" style="215" customWidth="1"/>
    <col min="9987" max="9987" width="11.85546875" style="215" customWidth="1"/>
    <col min="9988" max="9988" width="11.140625" style="215" customWidth="1"/>
    <col min="9989" max="9989" width="10.28515625" style="215" customWidth="1"/>
    <col min="9990" max="9990" width="10.5703125" style="215" customWidth="1"/>
    <col min="9991" max="9992" width="9.7109375" style="215" customWidth="1"/>
    <col min="9993" max="9993" width="16.7109375" style="215" customWidth="1"/>
    <col min="9994" max="10240" width="9.140625" style="215"/>
    <col min="10241" max="10241" width="6.140625" style="215" customWidth="1"/>
    <col min="10242" max="10242" width="42" style="215" customWidth="1"/>
    <col min="10243" max="10243" width="11.85546875" style="215" customWidth="1"/>
    <col min="10244" max="10244" width="11.140625" style="215" customWidth="1"/>
    <col min="10245" max="10245" width="10.28515625" style="215" customWidth="1"/>
    <col min="10246" max="10246" width="10.5703125" style="215" customWidth="1"/>
    <col min="10247" max="10248" width="9.7109375" style="215" customWidth="1"/>
    <col min="10249" max="10249" width="16.7109375" style="215" customWidth="1"/>
    <col min="10250" max="10496" width="9.140625" style="215"/>
    <col min="10497" max="10497" width="6.140625" style="215" customWidth="1"/>
    <col min="10498" max="10498" width="42" style="215" customWidth="1"/>
    <col min="10499" max="10499" width="11.85546875" style="215" customWidth="1"/>
    <col min="10500" max="10500" width="11.140625" style="215" customWidth="1"/>
    <col min="10501" max="10501" width="10.28515625" style="215" customWidth="1"/>
    <col min="10502" max="10502" width="10.5703125" style="215" customWidth="1"/>
    <col min="10503" max="10504" width="9.7109375" style="215" customWidth="1"/>
    <col min="10505" max="10505" width="16.7109375" style="215" customWidth="1"/>
    <col min="10506" max="10752" width="9.140625" style="215"/>
    <col min="10753" max="10753" width="6.140625" style="215" customWidth="1"/>
    <col min="10754" max="10754" width="42" style="215" customWidth="1"/>
    <col min="10755" max="10755" width="11.85546875" style="215" customWidth="1"/>
    <col min="10756" max="10756" width="11.140625" style="215" customWidth="1"/>
    <col min="10757" max="10757" width="10.28515625" style="215" customWidth="1"/>
    <col min="10758" max="10758" width="10.5703125" style="215" customWidth="1"/>
    <col min="10759" max="10760" width="9.7109375" style="215" customWidth="1"/>
    <col min="10761" max="10761" width="16.7109375" style="215" customWidth="1"/>
    <col min="10762" max="11008" width="9.140625" style="215"/>
    <col min="11009" max="11009" width="6.140625" style="215" customWidth="1"/>
    <col min="11010" max="11010" width="42" style="215" customWidth="1"/>
    <col min="11011" max="11011" width="11.85546875" style="215" customWidth="1"/>
    <col min="11012" max="11012" width="11.140625" style="215" customWidth="1"/>
    <col min="11013" max="11013" width="10.28515625" style="215" customWidth="1"/>
    <col min="11014" max="11014" width="10.5703125" style="215" customWidth="1"/>
    <col min="11015" max="11016" width="9.7109375" style="215" customWidth="1"/>
    <col min="11017" max="11017" width="16.7109375" style="215" customWidth="1"/>
    <col min="11018" max="11264" width="9.140625" style="215"/>
    <col min="11265" max="11265" width="6.140625" style="215" customWidth="1"/>
    <col min="11266" max="11266" width="42" style="215" customWidth="1"/>
    <col min="11267" max="11267" width="11.85546875" style="215" customWidth="1"/>
    <col min="11268" max="11268" width="11.140625" style="215" customWidth="1"/>
    <col min="11269" max="11269" width="10.28515625" style="215" customWidth="1"/>
    <col min="11270" max="11270" width="10.5703125" style="215" customWidth="1"/>
    <col min="11271" max="11272" width="9.7109375" style="215" customWidth="1"/>
    <col min="11273" max="11273" width="16.7109375" style="215" customWidth="1"/>
    <col min="11274" max="11520" width="9.140625" style="215"/>
    <col min="11521" max="11521" width="6.140625" style="215" customWidth="1"/>
    <col min="11522" max="11522" width="42" style="215" customWidth="1"/>
    <col min="11523" max="11523" width="11.85546875" style="215" customWidth="1"/>
    <col min="11524" max="11524" width="11.140625" style="215" customWidth="1"/>
    <col min="11525" max="11525" width="10.28515625" style="215" customWidth="1"/>
    <col min="11526" max="11526" width="10.5703125" style="215" customWidth="1"/>
    <col min="11527" max="11528" width="9.7109375" style="215" customWidth="1"/>
    <col min="11529" max="11529" width="16.7109375" style="215" customWidth="1"/>
    <col min="11530" max="11776" width="9.140625" style="215"/>
    <col min="11777" max="11777" width="6.140625" style="215" customWidth="1"/>
    <col min="11778" max="11778" width="42" style="215" customWidth="1"/>
    <col min="11779" max="11779" width="11.85546875" style="215" customWidth="1"/>
    <col min="11780" max="11780" width="11.140625" style="215" customWidth="1"/>
    <col min="11781" max="11781" width="10.28515625" style="215" customWidth="1"/>
    <col min="11782" max="11782" width="10.5703125" style="215" customWidth="1"/>
    <col min="11783" max="11784" width="9.7109375" style="215" customWidth="1"/>
    <col min="11785" max="11785" width="16.7109375" style="215" customWidth="1"/>
    <col min="11786" max="12032" width="9.140625" style="215"/>
    <col min="12033" max="12033" width="6.140625" style="215" customWidth="1"/>
    <col min="12034" max="12034" width="42" style="215" customWidth="1"/>
    <col min="12035" max="12035" width="11.85546875" style="215" customWidth="1"/>
    <col min="12036" max="12036" width="11.140625" style="215" customWidth="1"/>
    <col min="12037" max="12037" width="10.28515625" style="215" customWidth="1"/>
    <col min="12038" max="12038" width="10.5703125" style="215" customWidth="1"/>
    <col min="12039" max="12040" width="9.7109375" style="215" customWidth="1"/>
    <col min="12041" max="12041" width="16.7109375" style="215" customWidth="1"/>
    <col min="12042" max="12288" width="9.140625" style="215"/>
    <col min="12289" max="12289" width="6.140625" style="215" customWidth="1"/>
    <col min="12290" max="12290" width="42" style="215" customWidth="1"/>
    <col min="12291" max="12291" width="11.85546875" style="215" customWidth="1"/>
    <col min="12292" max="12292" width="11.140625" style="215" customWidth="1"/>
    <col min="12293" max="12293" width="10.28515625" style="215" customWidth="1"/>
    <col min="12294" max="12294" width="10.5703125" style="215" customWidth="1"/>
    <col min="12295" max="12296" width="9.7109375" style="215" customWidth="1"/>
    <col min="12297" max="12297" width="16.7109375" style="215" customWidth="1"/>
    <col min="12298" max="12544" width="9.140625" style="215"/>
    <col min="12545" max="12545" width="6.140625" style="215" customWidth="1"/>
    <col min="12546" max="12546" width="42" style="215" customWidth="1"/>
    <col min="12547" max="12547" width="11.85546875" style="215" customWidth="1"/>
    <col min="12548" max="12548" width="11.140625" style="215" customWidth="1"/>
    <col min="12549" max="12549" width="10.28515625" style="215" customWidth="1"/>
    <col min="12550" max="12550" width="10.5703125" style="215" customWidth="1"/>
    <col min="12551" max="12552" width="9.7109375" style="215" customWidth="1"/>
    <col min="12553" max="12553" width="16.7109375" style="215" customWidth="1"/>
    <col min="12554" max="12800" width="9.140625" style="215"/>
    <col min="12801" max="12801" width="6.140625" style="215" customWidth="1"/>
    <col min="12802" max="12802" width="42" style="215" customWidth="1"/>
    <col min="12803" max="12803" width="11.85546875" style="215" customWidth="1"/>
    <col min="12804" max="12804" width="11.140625" style="215" customWidth="1"/>
    <col min="12805" max="12805" width="10.28515625" style="215" customWidth="1"/>
    <col min="12806" max="12806" width="10.5703125" style="215" customWidth="1"/>
    <col min="12807" max="12808" width="9.7109375" style="215" customWidth="1"/>
    <col min="12809" max="12809" width="16.7109375" style="215" customWidth="1"/>
    <col min="12810" max="13056" width="9.140625" style="215"/>
    <col min="13057" max="13057" width="6.140625" style="215" customWidth="1"/>
    <col min="13058" max="13058" width="42" style="215" customWidth="1"/>
    <col min="13059" max="13059" width="11.85546875" style="215" customWidth="1"/>
    <col min="13060" max="13060" width="11.140625" style="215" customWidth="1"/>
    <col min="13061" max="13061" width="10.28515625" style="215" customWidth="1"/>
    <col min="13062" max="13062" width="10.5703125" style="215" customWidth="1"/>
    <col min="13063" max="13064" width="9.7109375" style="215" customWidth="1"/>
    <col min="13065" max="13065" width="16.7109375" style="215" customWidth="1"/>
    <col min="13066" max="13312" width="9.140625" style="215"/>
    <col min="13313" max="13313" width="6.140625" style="215" customWidth="1"/>
    <col min="13314" max="13314" width="42" style="215" customWidth="1"/>
    <col min="13315" max="13315" width="11.85546875" style="215" customWidth="1"/>
    <col min="13316" max="13316" width="11.140625" style="215" customWidth="1"/>
    <col min="13317" max="13317" width="10.28515625" style="215" customWidth="1"/>
    <col min="13318" max="13318" width="10.5703125" style="215" customWidth="1"/>
    <col min="13319" max="13320" width="9.7109375" style="215" customWidth="1"/>
    <col min="13321" max="13321" width="16.7109375" style="215" customWidth="1"/>
    <col min="13322" max="13568" width="9.140625" style="215"/>
    <col min="13569" max="13569" width="6.140625" style="215" customWidth="1"/>
    <col min="13570" max="13570" width="42" style="215" customWidth="1"/>
    <col min="13571" max="13571" width="11.85546875" style="215" customWidth="1"/>
    <col min="13572" max="13572" width="11.140625" style="215" customWidth="1"/>
    <col min="13573" max="13573" width="10.28515625" style="215" customWidth="1"/>
    <col min="13574" max="13574" width="10.5703125" style="215" customWidth="1"/>
    <col min="13575" max="13576" width="9.7109375" style="215" customWidth="1"/>
    <col min="13577" max="13577" width="16.7109375" style="215" customWidth="1"/>
    <col min="13578" max="13824" width="9.140625" style="215"/>
    <col min="13825" max="13825" width="6.140625" style="215" customWidth="1"/>
    <col min="13826" max="13826" width="42" style="215" customWidth="1"/>
    <col min="13827" max="13827" width="11.85546875" style="215" customWidth="1"/>
    <col min="13828" max="13828" width="11.140625" style="215" customWidth="1"/>
    <col min="13829" max="13829" width="10.28515625" style="215" customWidth="1"/>
    <col min="13830" max="13830" width="10.5703125" style="215" customWidth="1"/>
    <col min="13831" max="13832" width="9.7109375" style="215" customWidth="1"/>
    <col min="13833" max="13833" width="16.7109375" style="215" customWidth="1"/>
    <col min="13834" max="14080" width="9.140625" style="215"/>
    <col min="14081" max="14081" width="6.140625" style="215" customWidth="1"/>
    <col min="14082" max="14082" width="42" style="215" customWidth="1"/>
    <col min="14083" max="14083" width="11.85546875" style="215" customWidth="1"/>
    <col min="14084" max="14084" width="11.140625" style="215" customWidth="1"/>
    <col min="14085" max="14085" width="10.28515625" style="215" customWidth="1"/>
    <col min="14086" max="14086" width="10.5703125" style="215" customWidth="1"/>
    <col min="14087" max="14088" width="9.7109375" style="215" customWidth="1"/>
    <col min="14089" max="14089" width="16.7109375" style="215" customWidth="1"/>
    <col min="14090" max="14336" width="9.140625" style="215"/>
    <col min="14337" max="14337" width="6.140625" style="215" customWidth="1"/>
    <col min="14338" max="14338" width="42" style="215" customWidth="1"/>
    <col min="14339" max="14339" width="11.85546875" style="215" customWidth="1"/>
    <col min="14340" max="14340" width="11.140625" style="215" customWidth="1"/>
    <col min="14341" max="14341" width="10.28515625" style="215" customWidth="1"/>
    <col min="14342" max="14342" width="10.5703125" style="215" customWidth="1"/>
    <col min="14343" max="14344" width="9.7109375" style="215" customWidth="1"/>
    <col min="14345" max="14345" width="16.7109375" style="215" customWidth="1"/>
    <col min="14346" max="14592" width="9.140625" style="215"/>
    <col min="14593" max="14593" width="6.140625" style="215" customWidth="1"/>
    <col min="14594" max="14594" width="42" style="215" customWidth="1"/>
    <col min="14595" max="14595" width="11.85546875" style="215" customWidth="1"/>
    <col min="14596" max="14596" width="11.140625" style="215" customWidth="1"/>
    <col min="14597" max="14597" width="10.28515625" style="215" customWidth="1"/>
    <col min="14598" max="14598" width="10.5703125" style="215" customWidth="1"/>
    <col min="14599" max="14600" width="9.7109375" style="215" customWidth="1"/>
    <col min="14601" max="14601" width="16.7109375" style="215" customWidth="1"/>
    <col min="14602" max="14848" width="9.140625" style="215"/>
    <col min="14849" max="14849" width="6.140625" style="215" customWidth="1"/>
    <col min="14850" max="14850" width="42" style="215" customWidth="1"/>
    <col min="14851" max="14851" width="11.85546875" style="215" customWidth="1"/>
    <col min="14852" max="14852" width="11.140625" style="215" customWidth="1"/>
    <col min="14853" max="14853" width="10.28515625" style="215" customWidth="1"/>
    <col min="14854" max="14854" width="10.5703125" style="215" customWidth="1"/>
    <col min="14855" max="14856" width="9.7109375" style="215" customWidth="1"/>
    <col min="14857" max="14857" width="16.7109375" style="215" customWidth="1"/>
    <col min="14858" max="15104" width="9.140625" style="215"/>
    <col min="15105" max="15105" width="6.140625" style="215" customWidth="1"/>
    <col min="15106" max="15106" width="42" style="215" customWidth="1"/>
    <col min="15107" max="15107" width="11.85546875" style="215" customWidth="1"/>
    <col min="15108" max="15108" width="11.140625" style="215" customWidth="1"/>
    <col min="15109" max="15109" width="10.28515625" style="215" customWidth="1"/>
    <col min="15110" max="15110" width="10.5703125" style="215" customWidth="1"/>
    <col min="15111" max="15112" width="9.7109375" style="215" customWidth="1"/>
    <col min="15113" max="15113" width="16.7109375" style="215" customWidth="1"/>
    <col min="15114" max="15360" width="9.140625" style="215"/>
    <col min="15361" max="15361" width="6.140625" style="215" customWidth="1"/>
    <col min="15362" max="15362" width="42" style="215" customWidth="1"/>
    <col min="15363" max="15363" width="11.85546875" style="215" customWidth="1"/>
    <col min="15364" max="15364" width="11.140625" style="215" customWidth="1"/>
    <col min="15365" max="15365" width="10.28515625" style="215" customWidth="1"/>
    <col min="15366" max="15366" width="10.5703125" style="215" customWidth="1"/>
    <col min="15367" max="15368" width="9.7109375" style="215" customWidth="1"/>
    <col min="15369" max="15369" width="16.7109375" style="215" customWidth="1"/>
    <col min="15370" max="15616" width="9.140625" style="215"/>
    <col min="15617" max="15617" width="6.140625" style="215" customWidth="1"/>
    <col min="15618" max="15618" width="42" style="215" customWidth="1"/>
    <col min="15619" max="15619" width="11.85546875" style="215" customWidth="1"/>
    <col min="15620" max="15620" width="11.140625" style="215" customWidth="1"/>
    <col min="15621" max="15621" width="10.28515625" style="215" customWidth="1"/>
    <col min="15622" max="15622" width="10.5703125" style="215" customWidth="1"/>
    <col min="15623" max="15624" width="9.7109375" style="215" customWidth="1"/>
    <col min="15625" max="15625" width="16.7109375" style="215" customWidth="1"/>
    <col min="15626" max="15872" width="9.140625" style="215"/>
    <col min="15873" max="15873" width="6.140625" style="215" customWidth="1"/>
    <col min="15874" max="15874" width="42" style="215" customWidth="1"/>
    <col min="15875" max="15875" width="11.85546875" style="215" customWidth="1"/>
    <col min="15876" max="15876" width="11.140625" style="215" customWidth="1"/>
    <col min="15877" max="15877" width="10.28515625" style="215" customWidth="1"/>
    <col min="15878" max="15878" width="10.5703125" style="215" customWidth="1"/>
    <col min="15879" max="15880" width="9.7109375" style="215" customWidth="1"/>
    <col min="15881" max="15881" width="16.7109375" style="215" customWidth="1"/>
    <col min="15882" max="16128" width="9.140625" style="215"/>
    <col min="16129" max="16129" width="6.140625" style="215" customWidth="1"/>
    <col min="16130" max="16130" width="42" style="215" customWidth="1"/>
    <col min="16131" max="16131" width="11.85546875" style="215" customWidth="1"/>
    <col min="16132" max="16132" width="11.140625" style="215" customWidth="1"/>
    <col min="16133" max="16133" width="10.28515625" style="215" customWidth="1"/>
    <col min="16134" max="16134" width="10.5703125" style="215" customWidth="1"/>
    <col min="16135" max="16136" width="9.7109375" style="215" customWidth="1"/>
    <col min="16137" max="16137" width="16.7109375" style="215" customWidth="1"/>
    <col min="16138" max="16384" width="9.140625" style="215"/>
  </cols>
  <sheetData>
    <row r="1" spans="1:9" x14ac:dyDescent="0.2">
      <c r="B1" s="216"/>
      <c r="C1" s="216"/>
      <c r="D1" s="216"/>
      <c r="E1" s="1978" t="s">
        <v>2200</v>
      </c>
      <c r="F1" s="1979"/>
      <c r="G1" s="1979"/>
      <c r="H1" s="1979"/>
      <c r="I1" s="1979"/>
    </row>
    <row r="2" spans="1:9" x14ac:dyDescent="0.2">
      <c r="B2" s="216"/>
      <c r="C2" s="1869"/>
      <c r="D2" s="1869"/>
      <c r="E2" s="1979"/>
      <c r="F2" s="1979"/>
      <c r="G2" s="1979"/>
      <c r="H2" s="1979"/>
      <c r="I2" s="1979"/>
    </row>
    <row r="3" spans="1:9" x14ac:dyDescent="0.2">
      <c r="B3" s="216"/>
      <c r="C3" s="1869"/>
      <c r="D3" s="1869"/>
      <c r="E3" s="1979"/>
      <c r="F3" s="1979"/>
      <c r="G3" s="1979"/>
      <c r="H3" s="1979"/>
      <c r="I3" s="1979"/>
    </row>
    <row r="4" spans="1:9" x14ac:dyDescent="0.2">
      <c r="B4" s="216"/>
      <c r="C4" s="1869"/>
      <c r="D4" s="1869"/>
      <c r="E4" s="1880"/>
      <c r="F4" s="1880"/>
      <c r="G4" s="1880"/>
      <c r="H4" s="1880"/>
      <c r="I4" s="1880"/>
    </row>
    <row r="5" spans="1:9" x14ac:dyDescent="0.2">
      <c r="B5" s="216"/>
      <c r="C5" s="1869"/>
      <c r="D5" s="1869"/>
      <c r="E5" s="1880"/>
      <c r="F5" s="1880"/>
      <c r="G5" s="1880"/>
      <c r="H5" s="1880"/>
      <c r="I5" s="1880"/>
    </row>
    <row r="6" spans="1:9" x14ac:dyDescent="0.2">
      <c r="A6" s="215" t="s">
        <v>112</v>
      </c>
      <c r="B6" s="216"/>
      <c r="C6" s="1869"/>
      <c r="D6" s="1869"/>
      <c r="E6" s="1880"/>
      <c r="F6" s="1880"/>
      <c r="G6" s="1880"/>
      <c r="H6" s="1880"/>
      <c r="I6" s="1880"/>
    </row>
    <row r="7" spans="1:9" x14ac:dyDescent="0.2">
      <c r="B7" s="216"/>
      <c r="C7" s="1869"/>
      <c r="D7" s="1869"/>
      <c r="E7" s="1880"/>
      <c r="F7" s="1880"/>
      <c r="G7" s="1880"/>
      <c r="H7" s="1880"/>
      <c r="I7" s="1880"/>
    </row>
    <row r="8" spans="1:9" x14ac:dyDescent="0.2">
      <c r="B8" s="216"/>
      <c r="C8" s="217"/>
      <c r="D8" s="217"/>
      <c r="E8" s="217"/>
      <c r="F8" s="217"/>
      <c r="G8" s="217"/>
      <c r="H8" s="217"/>
      <c r="I8" s="217"/>
    </row>
    <row r="9" spans="1:9" ht="15.75" x14ac:dyDescent="0.25">
      <c r="A9" s="2088" t="s">
        <v>113</v>
      </c>
      <c r="B9" s="2088"/>
      <c r="C9" s="2088"/>
      <c r="D9" s="2088"/>
      <c r="E9" s="2088"/>
      <c r="F9" s="2088"/>
      <c r="G9" s="2088"/>
      <c r="H9" s="2088"/>
      <c r="I9" s="2088"/>
    </row>
    <row r="10" spans="1:9" ht="15.75" x14ac:dyDescent="0.25">
      <c r="A10" s="218"/>
      <c r="B10" s="218"/>
      <c r="C10" s="218"/>
      <c r="D10" s="218"/>
      <c r="E10" s="218"/>
      <c r="F10" s="218"/>
      <c r="G10" s="218"/>
      <c r="H10" s="218"/>
      <c r="I10" s="218"/>
    </row>
    <row r="11" spans="1:9" ht="15.75" x14ac:dyDescent="0.25">
      <c r="A11" s="215" t="s">
        <v>748</v>
      </c>
      <c r="C11" s="685" t="s">
        <v>1138</v>
      </c>
      <c r="D11" s="216"/>
      <c r="E11" s="216"/>
      <c r="F11" s="216"/>
      <c r="G11" s="216"/>
      <c r="H11" s="216"/>
      <c r="I11" s="216"/>
    </row>
    <row r="12" spans="1:9" x14ac:dyDescent="0.2">
      <c r="A12" s="215" t="s">
        <v>115</v>
      </c>
      <c r="C12" s="219" t="s">
        <v>532</v>
      </c>
      <c r="D12" s="219"/>
      <c r="E12" s="219"/>
      <c r="F12" s="219"/>
      <c r="G12" s="219"/>
      <c r="H12" s="219"/>
      <c r="I12" s="219"/>
    </row>
    <row r="13" spans="1:9" x14ac:dyDescent="0.2">
      <c r="A13" s="215" t="s">
        <v>117</v>
      </c>
      <c r="C13" s="686" t="s">
        <v>1139</v>
      </c>
      <c r="D13" s="219"/>
      <c r="E13" s="219"/>
      <c r="F13" s="219"/>
      <c r="G13" s="219"/>
      <c r="H13" s="219"/>
      <c r="I13" s="219"/>
    </row>
    <row r="14" spans="1:9" x14ac:dyDescent="0.2">
      <c r="A14" s="2008" t="s">
        <v>47</v>
      </c>
      <c r="B14" s="2010" t="s">
        <v>119</v>
      </c>
      <c r="C14" s="2010" t="s">
        <v>120</v>
      </c>
      <c r="D14" s="2010" t="s">
        <v>121</v>
      </c>
      <c r="E14" s="2010" t="s">
        <v>122</v>
      </c>
      <c r="F14" s="404"/>
      <c r="G14" s="404"/>
      <c r="H14" s="404"/>
      <c r="I14" s="2012" t="s">
        <v>126</v>
      </c>
    </row>
    <row r="15" spans="1:9" ht="48" x14ac:dyDescent="0.2">
      <c r="A15" s="2001"/>
      <c r="B15" s="2096"/>
      <c r="C15" s="2096"/>
      <c r="D15" s="2096"/>
      <c r="E15" s="2096"/>
      <c r="F15" s="1873" t="s">
        <v>129</v>
      </c>
      <c r="G15" s="1873" t="s">
        <v>124</v>
      </c>
      <c r="H15" s="1873" t="s">
        <v>2165</v>
      </c>
      <c r="I15" s="2150"/>
    </row>
    <row r="16" spans="1:9" x14ac:dyDescent="0.2">
      <c r="A16" s="2149" t="s">
        <v>2182</v>
      </c>
      <c r="B16" s="2098"/>
      <c r="C16" s="222">
        <f>SUM(C17:C21)</f>
        <v>26279</v>
      </c>
      <c r="D16" s="222">
        <f>SUM(D17:D21)</f>
        <v>25663.58</v>
      </c>
      <c r="E16" s="222">
        <f>SUM(E17:E21)</f>
        <v>30000</v>
      </c>
      <c r="F16" s="222"/>
      <c r="G16" s="222">
        <f>SUM(G17:G21)</f>
        <v>25000</v>
      </c>
      <c r="H16" s="222">
        <f>SUM(H17:H21)</f>
        <v>35573</v>
      </c>
      <c r="I16" s="416"/>
    </row>
    <row r="17" spans="1:13" x14ac:dyDescent="0.2">
      <c r="A17" s="1864">
        <v>1</v>
      </c>
      <c r="B17" s="223" t="s">
        <v>1140</v>
      </c>
      <c r="C17" s="224">
        <v>10900</v>
      </c>
      <c r="D17" s="224">
        <v>10860</v>
      </c>
      <c r="E17" s="224">
        <v>10000</v>
      </c>
      <c r="F17" s="411">
        <v>2239</v>
      </c>
      <c r="G17" s="224">
        <v>10000</v>
      </c>
      <c r="H17" s="224">
        <f>ROUNDUP(G17/0.702804,0)</f>
        <v>14229</v>
      </c>
      <c r="I17" s="416"/>
    </row>
    <row r="18" spans="1:13" ht="36" x14ac:dyDescent="0.2">
      <c r="A18" s="1864">
        <v>2</v>
      </c>
      <c r="B18" s="223" t="s">
        <v>1141</v>
      </c>
      <c r="C18" s="224">
        <v>3909</v>
      </c>
      <c r="D18" s="224">
        <v>3909</v>
      </c>
      <c r="E18" s="224">
        <v>0</v>
      </c>
      <c r="F18" s="411">
        <v>2279</v>
      </c>
      <c r="G18" s="224"/>
      <c r="H18" s="224">
        <f t="shared" ref="H18:H21" si="0">ROUNDUP(G18/0.702804,0)</f>
        <v>0</v>
      </c>
      <c r="I18" s="416" t="s">
        <v>1142</v>
      </c>
    </row>
    <row r="19" spans="1:13" ht="36" x14ac:dyDescent="0.2">
      <c r="A19" s="1864">
        <v>3</v>
      </c>
      <c r="B19" s="223" t="s">
        <v>1143</v>
      </c>
      <c r="C19" s="224">
        <v>6662</v>
      </c>
      <c r="D19" s="224">
        <v>6662</v>
      </c>
      <c r="E19" s="224">
        <v>15000</v>
      </c>
      <c r="F19" s="411">
        <v>5240</v>
      </c>
      <c r="G19" s="224">
        <v>10000</v>
      </c>
      <c r="H19" s="224">
        <f t="shared" si="0"/>
        <v>14229</v>
      </c>
      <c r="I19" s="416" t="s">
        <v>1144</v>
      </c>
    </row>
    <row r="20" spans="1:13" x14ac:dyDescent="0.2">
      <c r="A20" s="1864">
        <v>4</v>
      </c>
      <c r="B20" s="223" t="s">
        <v>1145</v>
      </c>
      <c r="C20" s="224">
        <f>4760-162</f>
        <v>4598</v>
      </c>
      <c r="D20" s="224">
        <v>4232.58</v>
      </c>
      <c r="E20" s="224">
        <v>5000</v>
      </c>
      <c r="F20" s="411">
        <v>5239</v>
      </c>
      <c r="G20" s="224">
        <v>5000</v>
      </c>
      <c r="H20" s="224">
        <f t="shared" si="0"/>
        <v>7115</v>
      </c>
      <c r="I20" s="416"/>
      <c r="M20" s="687"/>
    </row>
    <row r="21" spans="1:13" x14ac:dyDescent="0.2">
      <c r="A21" s="1865">
        <v>5</v>
      </c>
      <c r="B21" s="998" t="s">
        <v>1146</v>
      </c>
      <c r="C21" s="481">
        <v>210</v>
      </c>
      <c r="D21" s="481">
        <v>0</v>
      </c>
      <c r="E21" s="481">
        <v>0</v>
      </c>
      <c r="F21" s="422">
        <v>2243</v>
      </c>
      <c r="G21" s="481"/>
      <c r="H21" s="481">
        <f t="shared" si="0"/>
        <v>0</v>
      </c>
      <c r="I21" s="464"/>
    </row>
    <row r="22" spans="1:13" x14ac:dyDescent="0.2">
      <c r="A22" s="443"/>
      <c r="B22" s="443"/>
      <c r="C22" s="443"/>
      <c r="D22" s="443"/>
      <c r="E22" s="443"/>
      <c r="F22" s="443"/>
      <c r="G22" s="443"/>
      <c r="H22" s="443"/>
      <c r="I22" s="443"/>
    </row>
    <row r="23" spans="1:13" x14ac:dyDescent="0.2">
      <c r="A23" s="443"/>
      <c r="B23" s="443"/>
      <c r="C23" s="443"/>
      <c r="D23" s="443"/>
      <c r="E23" s="443"/>
      <c r="F23" s="443"/>
      <c r="G23" s="443"/>
      <c r="H23" s="443"/>
      <c r="I23" s="443"/>
    </row>
    <row r="25" spans="1:13" x14ac:dyDescent="0.2">
      <c r="C25" s="215" t="s">
        <v>2199</v>
      </c>
    </row>
  </sheetData>
  <sheetProtection password="CA5B" sheet="1" objects="1" scenarios="1"/>
  <mergeCells count="9">
    <mergeCell ref="E1:I3"/>
    <mergeCell ref="A16:B16"/>
    <mergeCell ref="A9:I9"/>
    <mergeCell ref="A14:A15"/>
    <mergeCell ref="B14:B15"/>
    <mergeCell ref="C14:C15"/>
    <mergeCell ref="D14:D15"/>
    <mergeCell ref="E14:E15"/>
    <mergeCell ref="I14:I15"/>
  </mergeCells>
  <pageMargins left="0.78740157480314965" right="0.39370078740157483" top="0.59055118110236227" bottom="0.78740157480314965" header="0.51181102362204722" footer="0.51181102362204722"/>
  <pageSetup paperSize="9" scale="75" orientation="portrait" r:id="rId1"/>
  <headerFooter alignWithMargins="0">
    <oddFooter xml:space="preserve">&amp;R&amp;"Times New Roman,Regular"&amp;8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70"/>
  <sheetViews>
    <sheetView zoomScaleNormal="100" workbookViewId="0">
      <selection activeCell="K11" sqref="K11"/>
    </sheetView>
  </sheetViews>
  <sheetFormatPr defaultRowHeight="12" x14ac:dyDescent="0.2"/>
  <cols>
    <col min="1" max="1" width="4.5703125" style="304" customWidth="1"/>
    <col min="2" max="2" width="29.5703125" style="304" customWidth="1"/>
    <col min="3" max="3" width="10.28515625" style="304" customWidth="1"/>
    <col min="4" max="4" width="10.140625" style="304" customWidth="1"/>
    <col min="5" max="5" width="10.42578125" style="304" customWidth="1"/>
    <col min="6" max="6" width="11.5703125" style="304" customWidth="1"/>
    <col min="7" max="7" width="10.140625" style="304" hidden="1" customWidth="1"/>
    <col min="8" max="8" width="10.140625" style="304" customWidth="1"/>
    <col min="9" max="9" width="21.28515625" style="304" customWidth="1"/>
    <col min="10" max="16384" width="9.140625" style="304"/>
  </cols>
  <sheetData>
    <row r="1" spans="1:9" x14ac:dyDescent="0.2">
      <c r="F1" s="2151" t="s">
        <v>2201</v>
      </c>
      <c r="G1" s="2151"/>
      <c r="H1" s="2151"/>
      <c r="I1" s="2151"/>
    </row>
    <row r="2" spans="1:9" x14ac:dyDescent="0.2">
      <c r="F2" s="2151"/>
      <c r="G2" s="2151"/>
      <c r="H2" s="2151"/>
      <c r="I2" s="2151"/>
    </row>
    <row r="3" spans="1:9" s="215" customFormat="1" x14ac:dyDescent="0.2">
      <c r="B3" s="216"/>
      <c r="C3" s="216"/>
      <c r="D3" s="216"/>
      <c r="E3" s="216"/>
      <c r="F3" s="2151"/>
      <c r="G3" s="2151"/>
      <c r="H3" s="2151"/>
      <c r="I3" s="2151"/>
    </row>
    <row r="4" spans="1:9" s="215" customFormat="1" x14ac:dyDescent="0.2">
      <c r="B4" s="216"/>
      <c r="C4" s="216"/>
      <c r="D4" s="216"/>
      <c r="E4" s="216"/>
      <c r="F4" s="1875"/>
      <c r="G4" s="1875"/>
      <c r="H4" s="1875"/>
      <c r="I4" s="1875"/>
    </row>
    <row r="5" spans="1:9" s="215" customFormat="1" x14ac:dyDescent="0.2">
      <c r="B5" s="216"/>
      <c r="C5" s="216"/>
      <c r="D5" s="216"/>
      <c r="E5" s="216"/>
      <c r="F5" s="1875"/>
      <c r="G5" s="1875"/>
      <c r="H5" s="1875"/>
      <c r="I5" s="1875"/>
    </row>
    <row r="6" spans="1:9" s="215" customFormat="1" x14ac:dyDescent="0.2">
      <c r="A6" s="215" t="s">
        <v>112</v>
      </c>
      <c r="B6" s="216"/>
      <c r="C6" s="216"/>
      <c r="D6" s="216"/>
      <c r="E6" s="216"/>
      <c r="F6" s="1875"/>
      <c r="G6" s="1875"/>
      <c r="H6" s="1875"/>
      <c r="I6" s="1875"/>
    </row>
    <row r="7" spans="1:9" s="215" customFormat="1" x14ac:dyDescent="0.2">
      <c r="B7" s="216"/>
      <c r="C7" s="216"/>
      <c r="D7" s="216"/>
      <c r="E7" s="216"/>
      <c r="F7" s="216"/>
      <c r="G7" s="216"/>
      <c r="H7" s="216"/>
    </row>
    <row r="8" spans="1:9" s="215" customFormat="1" ht="15.75" x14ac:dyDescent="0.25">
      <c r="A8" s="2088" t="s">
        <v>113</v>
      </c>
      <c r="B8" s="2088"/>
      <c r="C8" s="2088"/>
      <c r="D8" s="2088"/>
      <c r="E8" s="2088"/>
      <c r="F8" s="2088"/>
      <c r="G8" s="2088"/>
      <c r="H8" s="2088"/>
    </row>
    <row r="9" spans="1:9" s="215" customFormat="1" ht="15.75" x14ac:dyDescent="0.25">
      <c r="A9" s="218"/>
      <c r="B9" s="218"/>
      <c r="C9" s="218"/>
      <c r="D9" s="218"/>
      <c r="E9" s="218"/>
      <c r="F9" s="218"/>
      <c r="G9" s="218"/>
      <c r="H9" s="218"/>
    </row>
    <row r="10" spans="1:9" s="215" customFormat="1" ht="15.75" x14ac:dyDescent="0.25">
      <c r="A10" s="215" t="s">
        <v>114</v>
      </c>
      <c r="C10" s="2005" t="s">
        <v>531</v>
      </c>
      <c r="D10" s="2005"/>
      <c r="E10" s="2005"/>
      <c r="F10" s="2005"/>
      <c r="G10" s="2005"/>
      <c r="H10" s="2005"/>
    </row>
    <row r="11" spans="1:9" s="215" customFormat="1" x14ac:dyDescent="0.2">
      <c r="A11" s="215" t="s">
        <v>115</v>
      </c>
      <c r="C11" s="2052" t="s">
        <v>532</v>
      </c>
      <c r="D11" s="2052"/>
      <c r="E11" s="2052"/>
      <c r="F11" s="2052"/>
      <c r="G11" s="2052"/>
      <c r="H11" s="2052"/>
    </row>
    <row r="12" spans="1:9" s="215" customFormat="1" x14ac:dyDescent="0.2">
      <c r="A12" s="215" t="s">
        <v>117</v>
      </c>
      <c r="C12" s="2020" t="s">
        <v>533</v>
      </c>
      <c r="D12" s="2020"/>
      <c r="E12" s="2020"/>
      <c r="F12" s="2020"/>
      <c r="G12" s="2020"/>
      <c r="H12" s="2020"/>
    </row>
    <row r="13" spans="1:9" s="215" customFormat="1" x14ac:dyDescent="0.2">
      <c r="A13" s="2096" t="s">
        <v>47</v>
      </c>
      <c r="B13" s="2096" t="s">
        <v>119</v>
      </c>
      <c r="C13" s="2096" t="s">
        <v>120</v>
      </c>
      <c r="D13" s="2096" t="s">
        <v>121</v>
      </c>
      <c r="E13" s="2096" t="s">
        <v>122</v>
      </c>
      <c r="F13" s="220"/>
      <c r="G13" s="220"/>
      <c r="H13" s="220"/>
      <c r="I13" s="2096" t="s">
        <v>126</v>
      </c>
    </row>
    <row r="14" spans="1:9" s="215" customFormat="1" ht="36" x14ac:dyDescent="0.2">
      <c r="A14" s="2096"/>
      <c r="B14" s="2096"/>
      <c r="C14" s="2096"/>
      <c r="D14" s="2096"/>
      <c r="E14" s="2096"/>
      <c r="F14" s="221" t="s">
        <v>129</v>
      </c>
      <c r="G14" s="221" t="s">
        <v>124</v>
      </c>
      <c r="H14" s="221" t="s">
        <v>2165</v>
      </c>
      <c r="I14" s="2096"/>
    </row>
    <row r="15" spans="1:9" s="215" customFormat="1" x14ac:dyDescent="0.2">
      <c r="A15" s="2152" t="s">
        <v>2182</v>
      </c>
      <c r="B15" s="2152"/>
      <c r="C15" s="222">
        <f>SUM(C16:C23)</f>
        <v>35540</v>
      </c>
      <c r="D15" s="222">
        <f>SUM(D16:D23)</f>
        <v>13473</v>
      </c>
      <c r="E15" s="222">
        <f>SUM(E16:E23)</f>
        <v>68806</v>
      </c>
      <c r="F15" s="222"/>
      <c r="G15" s="222">
        <f>SUM(G16:G23)</f>
        <v>55514</v>
      </c>
      <c r="H15" s="1023">
        <f>SUM(H16:H23)</f>
        <v>78992</v>
      </c>
      <c r="I15" s="223"/>
    </row>
    <row r="16" spans="1:9" ht="24" x14ac:dyDescent="0.2">
      <c r="A16" s="299">
        <v>1</v>
      </c>
      <c r="B16" s="300" t="s">
        <v>534</v>
      </c>
      <c r="C16" s="301">
        <v>13065</v>
      </c>
      <c r="D16" s="302">
        <v>1162</v>
      </c>
      <c r="E16" s="302">
        <v>11900</v>
      </c>
      <c r="F16" s="1753">
        <v>5110</v>
      </c>
      <c r="G16" s="302">
        <v>11900</v>
      </c>
      <c r="H16" s="1024">
        <f>ROUNDUP(G16/0.702804,0)</f>
        <v>16933</v>
      </c>
      <c r="I16" s="303" t="s">
        <v>535</v>
      </c>
    </row>
    <row r="17" spans="1:9" x14ac:dyDescent="0.2">
      <c r="A17" s="299">
        <v>2</v>
      </c>
      <c r="B17" s="300" t="s">
        <v>536</v>
      </c>
      <c r="C17" s="305">
        <v>3600</v>
      </c>
      <c r="D17" s="302">
        <v>0</v>
      </c>
      <c r="E17" s="302">
        <v>3600</v>
      </c>
      <c r="F17" s="1753">
        <v>2239</v>
      </c>
      <c r="G17" s="302">
        <v>3600</v>
      </c>
      <c r="H17" s="1024">
        <f t="shared" ref="H17:H23" si="0">ROUNDUP(G17/0.702804,0)</f>
        <v>5123</v>
      </c>
      <c r="I17" s="303"/>
    </row>
    <row r="18" spans="1:9" x14ac:dyDescent="0.2">
      <c r="A18" s="299">
        <v>3</v>
      </c>
      <c r="B18" s="306" t="s">
        <v>537</v>
      </c>
      <c r="C18" s="305">
        <v>0</v>
      </c>
      <c r="D18" s="302">
        <v>0</v>
      </c>
      <c r="E18" s="302">
        <v>4356</v>
      </c>
      <c r="F18" s="1753">
        <v>5250</v>
      </c>
      <c r="G18" s="302"/>
      <c r="H18" s="1024">
        <f t="shared" si="0"/>
        <v>0</v>
      </c>
      <c r="I18" s="303"/>
    </row>
    <row r="19" spans="1:9" ht="38.25" customHeight="1" x14ac:dyDescent="0.2">
      <c r="A19" s="2160">
        <v>4</v>
      </c>
      <c r="B19" s="2162" t="s">
        <v>538</v>
      </c>
      <c r="C19" s="305">
        <v>5000</v>
      </c>
      <c r="D19" s="302">
        <v>0</v>
      </c>
      <c r="E19" s="302">
        <v>5000</v>
      </c>
      <c r="F19" s="307">
        <v>2239</v>
      </c>
      <c r="G19" s="302">
        <v>5000</v>
      </c>
      <c r="H19" s="1024">
        <f t="shared" si="0"/>
        <v>7115</v>
      </c>
      <c r="I19" s="308" t="s">
        <v>1820</v>
      </c>
    </row>
    <row r="20" spans="1:9" ht="48" x14ac:dyDescent="0.2">
      <c r="A20" s="2161"/>
      <c r="B20" s="2163"/>
      <c r="C20" s="305">
        <f>20000-1125-5000</f>
        <v>13875</v>
      </c>
      <c r="D20" s="302">
        <f>4809+4356</f>
        <v>9165</v>
      </c>
      <c r="E20" s="302">
        <v>16166</v>
      </c>
      <c r="F20" s="307">
        <v>5110</v>
      </c>
      <c r="G20" s="302">
        <v>19166</v>
      </c>
      <c r="H20" s="1024">
        <f t="shared" si="0"/>
        <v>27271</v>
      </c>
      <c r="I20" s="308" t="s">
        <v>1987</v>
      </c>
    </row>
    <row r="21" spans="1:9" ht="60" x14ac:dyDescent="0.2">
      <c r="A21" s="299">
        <v>5</v>
      </c>
      <c r="B21" s="300" t="s">
        <v>539</v>
      </c>
      <c r="C21" s="301">
        <v>0</v>
      </c>
      <c r="D21" s="309">
        <v>3146</v>
      </c>
      <c r="E21" s="309">
        <v>12584</v>
      </c>
      <c r="F21" s="1753">
        <v>5110</v>
      </c>
      <c r="G21" s="302">
        <v>10648</v>
      </c>
      <c r="H21" s="1024">
        <f t="shared" si="0"/>
        <v>15151</v>
      </c>
      <c r="I21" s="306" t="s">
        <v>540</v>
      </c>
    </row>
    <row r="22" spans="1:9" x14ac:dyDescent="0.2">
      <c r="A22" s="299">
        <v>6</v>
      </c>
      <c r="B22" s="300" t="s">
        <v>541</v>
      </c>
      <c r="C22" s="301">
        <v>0</v>
      </c>
      <c r="D22" s="309">
        <v>0</v>
      </c>
      <c r="E22" s="310">
        <v>5200</v>
      </c>
      <c r="F22" s="1753">
        <v>5110</v>
      </c>
      <c r="G22" s="302">
        <v>5200</v>
      </c>
      <c r="H22" s="1024">
        <f t="shared" si="0"/>
        <v>7399</v>
      </c>
      <c r="I22" s="306"/>
    </row>
    <row r="23" spans="1:9" ht="36" x14ac:dyDescent="0.2">
      <c r="A23" s="299">
        <v>7</v>
      </c>
      <c r="B23" s="306" t="s">
        <v>542</v>
      </c>
      <c r="C23" s="301">
        <v>0</v>
      </c>
      <c r="D23" s="311">
        <v>0</v>
      </c>
      <c r="E23" s="309">
        <v>10000</v>
      </c>
      <c r="F23" s="1753">
        <v>5110</v>
      </c>
      <c r="G23" s="302"/>
      <c r="H23" s="1024">
        <f t="shared" si="0"/>
        <v>0</v>
      </c>
      <c r="I23" s="303"/>
    </row>
    <row r="25" spans="1:9" s="215" customFormat="1" x14ac:dyDescent="0.2">
      <c r="A25" s="215" t="s">
        <v>115</v>
      </c>
      <c r="C25" s="219" t="s">
        <v>543</v>
      </c>
      <c r="D25" s="219"/>
      <c r="E25" s="219"/>
      <c r="F25" s="219"/>
      <c r="G25" s="219"/>
      <c r="H25" s="219"/>
    </row>
    <row r="26" spans="1:9" s="215" customFormat="1" x14ac:dyDescent="0.2">
      <c r="A26" s="215" t="s">
        <v>117</v>
      </c>
      <c r="C26" s="2020" t="s">
        <v>544</v>
      </c>
      <c r="D26" s="2020"/>
      <c r="E26" s="2020"/>
      <c r="F26" s="2020"/>
      <c r="G26" s="2020"/>
      <c r="H26" s="2020"/>
    </row>
    <row r="27" spans="1:9" s="215" customFormat="1" x14ac:dyDescent="0.2">
      <c r="A27" s="2096" t="s">
        <v>47</v>
      </c>
      <c r="B27" s="2096" t="s">
        <v>119</v>
      </c>
      <c r="C27" s="2096" t="s">
        <v>120</v>
      </c>
      <c r="D27" s="2096" t="s">
        <v>121</v>
      </c>
      <c r="E27" s="2096" t="s">
        <v>122</v>
      </c>
      <c r="F27" s="220"/>
      <c r="G27" s="220"/>
      <c r="H27" s="220"/>
      <c r="I27" s="2096" t="s">
        <v>126</v>
      </c>
    </row>
    <row r="28" spans="1:9" s="215" customFormat="1" ht="36" x14ac:dyDescent="0.2">
      <c r="A28" s="2096"/>
      <c r="B28" s="2096"/>
      <c r="C28" s="2096"/>
      <c r="D28" s="2096"/>
      <c r="E28" s="2096"/>
      <c r="F28" s="221" t="s">
        <v>129</v>
      </c>
      <c r="G28" s="221" t="s">
        <v>124</v>
      </c>
      <c r="H28" s="1799" t="s">
        <v>2165</v>
      </c>
      <c r="I28" s="2096"/>
    </row>
    <row r="29" spans="1:9" s="215" customFormat="1" x14ac:dyDescent="0.2">
      <c r="A29" s="2152" t="s">
        <v>2182</v>
      </c>
      <c r="B29" s="2152"/>
      <c r="C29" s="222">
        <f>SUM(C30:C37)</f>
        <v>49431</v>
      </c>
      <c r="D29" s="222">
        <f>SUM(D30:D37)</f>
        <v>48605</v>
      </c>
      <c r="E29" s="222">
        <f>SUM(E30:E36)</f>
        <v>51000</v>
      </c>
      <c r="F29" s="222"/>
      <c r="G29" s="222">
        <f>SUM(G30:G36)</f>
        <v>37200</v>
      </c>
      <c r="H29" s="222">
        <f>SUM(H30:H36)</f>
        <v>52933</v>
      </c>
      <c r="I29" s="223"/>
    </row>
    <row r="30" spans="1:9" ht="23.25" customHeight="1" x14ac:dyDescent="0.2">
      <c r="A30" s="312">
        <v>1</v>
      </c>
      <c r="B30" s="313" t="s">
        <v>545</v>
      </c>
      <c r="C30" s="309">
        <v>22142</v>
      </c>
      <c r="D30" s="309">
        <v>22142</v>
      </c>
      <c r="E30" s="309">
        <v>27500</v>
      </c>
      <c r="F30" s="1753">
        <v>2279</v>
      </c>
      <c r="G30" s="302">
        <v>23200</v>
      </c>
      <c r="H30" s="1024">
        <f>ROUNDUP(G30/0.702804,0)</f>
        <v>33011</v>
      </c>
      <c r="I30" s="314"/>
    </row>
    <row r="31" spans="1:9" ht="24" customHeight="1" x14ac:dyDescent="0.2">
      <c r="A31" s="2155">
        <v>2</v>
      </c>
      <c r="B31" s="1993" t="s">
        <v>546</v>
      </c>
      <c r="C31" s="309">
        <v>4011</v>
      </c>
      <c r="D31" s="309">
        <v>4011</v>
      </c>
      <c r="E31" s="309">
        <v>3500</v>
      </c>
      <c r="F31" s="1753">
        <v>2390</v>
      </c>
      <c r="G31" s="302">
        <v>3500</v>
      </c>
      <c r="H31" s="1024">
        <f t="shared" ref="H31:H36" si="1">ROUNDUP(G31/0.702804,0)</f>
        <v>4981</v>
      </c>
      <c r="I31" s="314"/>
    </row>
    <row r="32" spans="1:9" ht="12.75" customHeight="1" x14ac:dyDescent="0.2">
      <c r="A32" s="2156"/>
      <c r="B32" s="1995"/>
      <c r="C32" s="309">
        <v>500</v>
      </c>
      <c r="D32" s="309">
        <v>327</v>
      </c>
      <c r="E32" s="309">
        <v>1000</v>
      </c>
      <c r="F32" s="1753">
        <v>2279</v>
      </c>
      <c r="G32" s="302">
        <v>1000</v>
      </c>
      <c r="H32" s="1024">
        <f t="shared" si="1"/>
        <v>1423</v>
      </c>
      <c r="I32" s="314"/>
    </row>
    <row r="33" spans="1:9" x14ac:dyDescent="0.2">
      <c r="A33" s="2157">
        <v>3</v>
      </c>
      <c r="B33" s="1993" t="s">
        <v>547</v>
      </c>
      <c r="C33" s="309">
        <v>2805</v>
      </c>
      <c r="D33" s="309">
        <v>2805</v>
      </c>
      <c r="E33" s="309">
        <v>4000</v>
      </c>
      <c r="F33" s="1753">
        <v>2279</v>
      </c>
      <c r="G33" s="302">
        <v>2000</v>
      </c>
      <c r="H33" s="1024">
        <f t="shared" si="1"/>
        <v>2846</v>
      </c>
      <c r="I33" s="314"/>
    </row>
    <row r="34" spans="1:9" x14ac:dyDescent="0.2">
      <c r="A34" s="2158"/>
      <c r="B34" s="1994"/>
      <c r="C34" s="309">
        <v>10926</v>
      </c>
      <c r="D34" s="309">
        <v>10889</v>
      </c>
      <c r="E34" s="309"/>
      <c r="F34" s="1753">
        <v>5239</v>
      </c>
      <c r="G34" s="302"/>
      <c r="H34" s="1024">
        <f t="shared" si="1"/>
        <v>0</v>
      </c>
      <c r="I34" s="314"/>
    </row>
    <row r="35" spans="1:9" x14ac:dyDescent="0.2">
      <c r="A35" s="2159"/>
      <c r="B35" s="1995"/>
      <c r="C35" s="309">
        <v>7584</v>
      </c>
      <c r="D35" s="309">
        <v>7584</v>
      </c>
      <c r="E35" s="309">
        <v>15000</v>
      </c>
      <c r="F35" s="1753">
        <v>2312</v>
      </c>
      <c r="G35" s="302">
        <v>7500</v>
      </c>
      <c r="H35" s="1024">
        <f t="shared" si="1"/>
        <v>10672</v>
      </c>
      <c r="I35" s="314"/>
    </row>
    <row r="36" spans="1:9" ht="36" x14ac:dyDescent="0.2">
      <c r="A36" s="992">
        <v>4</v>
      </c>
      <c r="B36" s="991" t="s">
        <v>712</v>
      </c>
      <c r="C36" s="309">
        <v>847</v>
      </c>
      <c r="D36" s="309">
        <v>847</v>
      </c>
      <c r="E36" s="309">
        <v>0</v>
      </c>
      <c r="F36" s="1753">
        <v>5218</v>
      </c>
      <c r="G36" s="302">
        <v>0</v>
      </c>
      <c r="H36" s="1024">
        <f t="shared" si="1"/>
        <v>0</v>
      </c>
      <c r="I36" s="314"/>
    </row>
    <row r="37" spans="1:9" ht="51" customHeight="1" x14ac:dyDescent="0.2">
      <c r="A37" s="312">
        <v>5</v>
      </c>
      <c r="B37" s="313" t="s">
        <v>548</v>
      </c>
      <c r="C37" s="309">
        <v>616</v>
      </c>
      <c r="D37" s="309">
        <v>0</v>
      </c>
      <c r="E37" s="309">
        <v>626</v>
      </c>
      <c r="F37" s="1753">
        <v>2279</v>
      </c>
      <c r="G37" s="1687">
        <v>626</v>
      </c>
      <c r="H37" s="1688">
        <f>ROUND(G37/0.702804,0)</f>
        <v>891</v>
      </c>
      <c r="I37" s="1689" t="s">
        <v>549</v>
      </c>
    </row>
    <row r="40" spans="1:9" s="215" customFormat="1" x14ac:dyDescent="0.2">
      <c r="A40" s="215" t="s">
        <v>115</v>
      </c>
      <c r="C40" s="219" t="s">
        <v>550</v>
      </c>
      <c r="D40" s="219"/>
      <c r="E40" s="219"/>
      <c r="F40" s="219"/>
      <c r="G40" s="219"/>
      <c r="H40" s="219"/>
    </row>
    <row r="41" spans="1:9" s="215" customFormat="1" x14ac:dyDescent="0.2">
      <c r="A41" s="215" t="s">
        <v>117</v>
      </c>
      <c r="C41" s="2020" t="s">
        <v>551</v>
      </c>
      <c r="D41" s="2020"/>
      <c r="E41" s="2020"/>
      <c r="F41" s="2020"/>
      <c r="G41" s="2020"/>
      <c r="H41" s="2020"/>
    </row>
    <row r="42" spans="1:9" s="215" customFormat="1" x14ac:dyDescent="0.2">
      <c r="A42" s="2096" t="s">
        <v>47</v>
      </c>
      <c r="B42" s="2096" t="s">
        <v>119</v>
      </c>
      <c r="C42" s="2096" t="s">
        <v>120</v>
      </c>
      <c r="D42" s="2096" t="s">
        <v>121</v>
      </c>
      <c r="E42" s="2096" t="s">
        <v>122</v>
      </c>
      <c r="F42" s="220"/>
      <c r="G42" s="220"/>
      <c r="H42" s="220"/>
      <c r="I42" s="2096" t="s">
        <v>126</v>
      </c>
    </row>
    <row r="43" spans="1:9" s="215" customFormat="1" ht="36" x14ac:dyDescent="0.2">
      <c r="A43" s="2096"/>
      <c r="B43" s="2096"/>
      <c r="C43" s="2096"/>
      <c r="D43" s="2096"/>
      <c r="E43" s="2096"/>
      <c r="F43" s="221" t="s">
        <v>129</v>
      </c>
      <c r="G43" s="221" t="s">
        <v>124</v>
      </c>
      <c r="H43" s="1799" t="s">
        <v>2165</v>
      </c>
      <c r="I43" s="2096"/>
    </row>
    <row r="44" spans="1:9" s="215" customFormat="1" x14ac:dyDescent="0.2">
      <c r="A44" s="2152" t="s">
        <v>2182</v>
      </c>
      <c r="B44" s="2152"/>
      <c r="C44" s="222">
        <f>SUM(C45:C54)</f>
        <v>40735</v>
      </c>
      <c r="D44" s="222">
        <f>SUM(D45:D54)</f>
        <v>10677</v>
      </c>
      <c r="E44" s="222">
        <f>SUM(E45:E54)</f>
        <v>43250</v>
      </c>
      <c r="F44" s="222"/>
      <c r="G44" s="222">
        <f>SUM(G45:G54)</f>
        <v>41050</v>
      </c>
      <c r="H44" s="1023">
        <f>SUM(H45:H54)</f>
        <v>58412</v>
      </c>
      <c r="I44" s="223"/>
    </row>
    <row r="45" spans="1:9" ht="23.25" customHeight="1" x14ac:dyDescent="0.2">
      <c r="A45" s="315">
        <v>1</v>
      </c>
      <c r="B45" s="316" t="s">
        <v>552</v>
      </c>
      <c r="C45" s="317">
        <f>1125+800</f>
        <v>1925</v>
      </c>
      <c r="D45" s="318">
        <v>1925</v>
      </c>
      <c r="E45" s="318">
        <v>0</v>
      </c>
      <c r="F45" s="1754">
        <v>5110</v>
      </c>
      <c r="G45" s="303"/>
      <c r="H45" s="1024">
        <f t="shared" ref="H45:H54" si="2">ROUNDUP(G45/0.702804,0)</f>
        <v>0</v>
      </c>
      <c r="I45" s="303"/>
    </row>
    <row r="46" spans="1:9" ht="36" x14ac:dyDescent="0.2">
      <c r="A46" s="315">
        <v>2</v>
      </c>
      <c r="B46" s="319" t="s">
        <v>553</v>
      </c>
      <c r="C46" s="320">
        <f>2100</f>
        <v>2100</v>
      </c>
      <c r="D46" s="303">
        <v>2057</v>
      </c>
      <c r="E46" s="303">
        <v>0</v>
      </c>
      <c r="F46" s="1755">
        <v>2279</v>
      </c>
      <c r="G46" s="303"/>
      <c r="H46" s="1024">
        <f t="shared" si="2"/>
        <v>0</v>
      </c>
      <c r="I46" s="303"/>
    </row>
    <row r="47" spans="1:9" ht="36" x14ac:dyDescent="0.2">
      <c r="A47" s="315">
        <v>3</v>
      </c>
      <c r="B47" s="306" t="s">
        <v>554</v>
      </c>
      <c r="C47" s="321">
        <v>0</v>
      </c>
      <c r="D47" s="321">
        <v>0</v>
      </c>
      <c r="E47" s="321">
        <v>2100</v>
      </c>
      <c r="F47" s="1755">
        <v>2279</v>
      </c>
      <c r="G47" s="303">
        <v>2100</v>
      </c>
      <c r="H47" s="1024">
        <f t="shared" si="2"/>
        <v>2989</v>
      </c>
      <c r="I47" s="303"/>
    </row>
    <row r="48" spans="1:9" ht="36" x14ac:dyDescent="0.2">
      <c r="A48" s="315"/>
      <c r="B48" s="306" t="s">
        <v>555</v>
      </c>
      <c r="C48" s="321">
        <v>0</v>
      </c>
      <c r="D48" s="321">
        <v>0</v>
      </c>
      <c r="E48" s="321">
        <v>2950</v>
      </c>
      <c r="F48" s="1755">
        <v>2390</v>
      </c>
      <c r="G48" s="303">
        <v>2950</v>
      </c>
      <c r="H48" s="1024">
        <f t="shared" si="2"/>
        <v>4198</v>
      </c>
      <c r="I48" s="303"/>
    </row>
    <row r="49" spans="1:9" ht="36" customHeight="1" x14ac:dyDescent="0.2">
      <c r="A49" s="315">
        <v>4</v>
      </c>
      <c r="B49" s="319" t="s">
        <v>556</v>
      </c>
      <c r="C49" s="320">
        <v>2000</v>
      </c>
      <c r="D49" s="303">
        <v>1985</v>
      </c>
      <c r="E49" s="303">
        <v>2000</v>
      </c>
      <c r="F49" s="1755">
        <v>2279</v>
      </c>
      <c r="G49" s="303">
        <v>2000</v>
      </c>
      <c r="H49" s="1024">
        <f t="shared" si="2"/>
        <v>2846</v>
      </c>
      <c r="I49" s="303"/>
    </row>
    <row r="50" spans="1:9" ht="24" x14ac:dyDescent="0.2">
      <c r="A50" s="315">
        <v>5</v>
      </c>
      <c r="B50" s="319" t="s">
        <v>557</v>
      </c>
      <c r="C50" s="320">
        <v>300</v>
      </c>
      <c r="D50" s="303">
        <v>300</v>
      </c>
      <c r="E50" s="303">
        <v>0</v>
      </c>
      <c r="F50" s="1755">
        <v>5239</v>
      </c>
      <c r="G50" s="303"/>
      <c r="H50" s="1024">
        <f t="shared" si="2"/>
        <v>0</v>
      </c>
      <c r="I50" s="303"/>
    </row>
    <row r="51" spans="1:9" ht="48" x14ac:dyDescent="0.2">
      <c r="A51" s="299">
        <v>6</v>
      </c>
      <c r="B51" s="319" t="s">
        <v>558</v>
      </c>
      <c r="C51" s="317">
        <v>30000</v>
      </c>
      <c r="D51" s="303">
        <v>0</v>
      </c>
      <c r="E51" s="303">
        <v>30000</v>
      </c>
      <c r="F51" s="1755">
        <v>2279</v>
      </c>
      <c r="G51" s="303">
        <v>30000</v>
      </c>
      <c r="H51" s="1024">
        <f t="shared" si="2"/>
        <v>42687</v>
      </c>
      <c r="I51" s="303"/>
    </row>
    <row r="52" spans="1:9" ht="51" customHeight="1" x14ac:dyDescent="0.2">
      <c r="A52" s="299">
        <v>7</v>
      </c>
      <c r="B52" s="319" t="s">
        <v>559</v>
      </c>
      <c r="C52" s="317">
        <v>4410</v>
      </c>
      <c r="D52" s="303">
        <v>4410</v>
      </c>
      <c r="E52" s="303">
        <v>0</v>
      </c>
      <c r="F52" s="1755">
        <v>2279</v>
      </c>
      <c r="G52" s="303"/>
      <c r="H52" s="1024">
        <f t="shared" si="2"/>
        <v>0</v>
      </c>
      <c r="I52" s="303"/>
    </row>
    <row r="53" spans="1:9" ht="51" customHeight="1" x14ac:dyDescent="0.2">
      <c r="A53" s="299">
        <v>8</v>
      </c>
      <c r="B53" s="306" t="s">
        <v>560</v>
      </c>
      <c r="C53" s="322">
        <v>0</v>
      </c>
      <c r="D53" s="322">
        <v>0</v>
      </c>
      <c r="E53" s="322">
        <v>2200</v>
      </c>
      <c r="F53" s="1755">
        <v>2279</v>
      </c>
      <c r="G53" s="303"/>
      <c r="H53" s="1024">
        <f t="shared" si="2"/>
        <v>0</v>
      </c>
      <c r="I53" s="303"/>
    </row>
    <row r="54" spans="1:9" ht="36" x14ac:dyDescent="0.2">
      <c r="A54" s="994">
        <v>9</v>
      </c>
      <c r="B54" s="306" t="s">
        <v>1805</v>
      </c>
      <c r="C54" s="322"/>
      <c r="D54" s="322"/>
      <c r="E54" s="322">
        <v>4000</v>
      </c>
      <c r="F54" s="1755">
        <v>2279</v>
      </c>
      <c r="G54" s="303">
        <v>4000</v>
      </c>
      <c r="H54" s="1024">
        <f t="shared" si="2"/>
        <v>5692</v>
      </c>
      <c r="I54" s="303"/>
    </row>
    <row r="56" spans="1:9" s="215" customFormat="1" x14ac:dyDescent="0.2">
      <c r="A56" s="215" t="s">
        <v>115</v>
      </c>
      <c r="C56" s="219" t="s">
        <v>561</v>
      </c>
      <c r="D56" s="219"/>
      <c r="E56" s="219"/>
      <c r="F56" s="219"/>
      <c r="G56" s="219"/>
      <c r="H56" s="219"/>
    </row>
    <row r="57" spans="1:9" s="215" customFormat="1" x14ac:dyDescent="0.2">
      <c r="A57" s="215" t="s">
        <v>117</v>
      </c>
      <c r="C57" s="2020" t="s">
        <v>551</v>
      </c>
      <c r="D57" s="2020"/>
      <c r="E57" s="2020"/>
      <c r="F57" s="2020"/>
      <c r="G57" s="2020"/>
      <c r="H57" s="2020"/>
    </row>
    <row r="58" spans="1:9" s="215" customFormat="1" x14ac:dyDescent="0.2">
      <c r="A58" s="2096" t="s">
        <v>47</v>
      </c>
      <c r="B58" s="2096" t="s">
        <v>119</v>
      </c>
      <c r="C58" s="2096" t="s">
        <v>120</v>
      </c>
      <c r="D58" s="2096" t="s">
        <v>121</v>
      </c>
      <c r="E58" s="2096" t="s">
        <v>122</v>
      </c>
      <c r="F58" s="220"/>
      <c r="G58" s="220"/>
      <c r="H58" s="220"/>
      <c r="I58" s="2096" t="s">
        <v>126</v>
      </c>
    </row>
    <row r="59" spans="1:9" s="215" customFormat="1" ht="36" x14ac:dyDescent="0.2">
      <c r="A59" s="2096"/>
      <c r="B59" s="2096"/>
      <c r="C59" s="2096"/>
      <c r="D59" s="2096"/>
      <c r="E59" s="2096"/>
      <c r="F59" s="221" t="s">
        <v>129</v>
      </c>
      <c r="G59" s="221" t="s">
        <v>124</v>
      </c>
      <c r="H59" s="1799" t="s">
        <v>2165</v>
      </c>
      <c r="I59" s="2096"/>
    </row>
    <row r="60" spans="1:9" s="215" customFormat="1" x14ac:dyDescent="0.2">
      <c r="A60" s="2152" t="s">
        <v>2182</v>
      </c>
      <c r="B60" s="2152"/>
      <c r="C60" s="222">
        <f>SUM(C61:C62)</f>
        <v>122</v>
      </c>
      <c r="D60" s="222">
        <f>SUM(D61:D62)</f>
        <v>122</v>
      </c>
      <c r="E60" s="222">
        <f>SUM(E61:E62)</f>
        <v>0</v>
      </c>
      <c r="F60" s="222"/>
      <c r="G60" s="222">
        <f>SUM(G61:G62)</f>
        <v>122</v>
      </c>
      <c r="H60" s="1023">
        <f>SUM(H61:H62)</f>
        <v>174</v>
      </c>
      <c r="I60" s="223"/>
    </row>
    <row r="61" spans="1:9" s="325" customFormat="1" ht="25.5" customHeight="1" x14ac:dyDescent="0.25">
      <c r="A61" s="2153">
        <v>1</v>
      </c>
      <c r="B61" s="2154" t="s">
        <v>562</v>
      </c>
      <c r="C61" s="323">
        <v>113</v>
      </c>
      <c r="D61" s="323">
        <v>113</v>
      </c>
      <c r="E61" s="323">
        <v>0</v>
      </c>
      <c r="F61" s="324">
        <v>2279</v>
      </c>
      <c r="G61" s="993">
        <v>113</v>
      </c>
      <c r="H61" s="1024">
        <f>ROUND(G61/0.702804,0)</f>
        <v>161</v>
      </c>
      <c r="I61" s="1690" t="s">
        <v>549</v>
      </c>
    </row>
    <row r="62" spans="1:9" s="325" customFormat="1" ht="23.25" customHeight="1" x14ac:dyDescent="0.25">
      <c r="A62" s="2153"/>
      <c r="B62" s="2154"/>
      <c r="C62" s="323">
        <v>9</v>
      </c>
      <c r="D62" s="323">
        <v>9</v>
      </c>
      <c r="E62" s="323">
        <v>0</v>
      </c>
      <c r="F62" s="324">
        <v>5250</v>
      </c>
      <c r="G62" s="993">
        <v>9</v>
      </c>
      <c r="H62" s="1024">
        <f>ROUND(G62/0.702804,0)</f>
        <v>13</v>
      </c>
      <c r="I62" s="1690" t="s">
        <v>549</v>
      </c>
    </row>
    <row r="64" spans="1:9" s="215" customFormat="1" x14ac:dyDescent="0.2">
      <c r="A64" s="2016" t="s">
        <v>2169</v>
      </c>
      <c r="B64" s="2017"/>
      <c r="C64" s="326">
        <f>C60+C44+C29+C15</f>
        <v>125828</v>
      </c>
      <c r="D64" s="326">
        <f>D60+D44+D29+D15</f>
        <v>72877</v>
      </c>
      <c r="E64" s="326">
        <f>E60+E44+E29+E15</f>
        <v>163056</v>
      </c>
      <c r="F64" s="326"/>
      <c r="G64" s="326">
        <f>G60+G44+G29+G15</f>
        <v>133886</v>
      </c>
      <c r="H64" s="326">
        <f>H60+H44+H29+H15</f>
        <v>190511</v>
      </c>
      <c r="I64" s="327"/>
    </row>
    <row r="70" s="215" customFormat="1" x14ac:dyDescent="0.2"/>
  </sheetData>
  <sheetProtection password="CA5B" sheet="1" objects="1" scenarios="1"/>
  <mergeCells count="45">
    <mergeCell ref="A8:H8"/>
    <mergeCell ref="C10:H10"/>
    <mergeCell ref="C11:H11"/>
    <mergeCell ref="C12:H12"/>
    <mergeCell ref="A13:A14"/>
    <mergeCell ref="B13:B14"/>
    <mergeCell ref="C13:C14"/>
    <mergeCell ref="D13:D14"/>
    <mergeCell ref="E13:E14"/>
    <mergeCell ref="I13:I14"/>
    <mergeCell ref="A15:B15"/>
    <mergeCell ref="A19:A20"/>
    <mergeCell ref="B19:B20"/>
    <mergeCell ref="C26:H26"/>
    <mergeCell ref="C42:C43"/>
    <mergeCell ref="D42:D43"/>
    <mergeCell ref="E42:E43"/>
    <mergeCell ref="I27:I28"/>
    <mergeCell ref="A29:B29"/>
    <mergeCell ref="A31:A32"/>
    <mergeCell ref="B31:B32"/>
    <mergeCell ref="A33:A35"/>
    <mergeCell ref="B33:B35"/>
    <mergeCell ref="A27:A28"/>
    <mergeCell ref="B27:B28"/>
    <mergeCell ref="C27:C28"/>
    <mergeCell ref="D27:D28"/>
    <mergeCell ref="E27:E28"/>
    <mergeCell ref="C41:H41"/>
    <mergeCell ref="F1:I3"/>
    <mergeCell ref="A60:B60"/>
    <mergeCell ref="A61:A62"/>
    <mergeCell ref="B61:B62"/>
    <mergeCell ref="A64:B64"/>
    <mergeCell ref="I42:I43"/>
    <mergeCell ref="A44:B44"/>
    <mergeCell ref="C57:H57"/>
    <mergeCell ref="A58:A59"/>
    <mergeCell ref="B58:B59"/>
    <mergeCell ref="C58:C59"/>
    <mergeCell ref="D58:D59"/>
    <mergeCell ref="E58:E59"/>
    <mergeCell ref="I58:I59"/>
    <mergeCell ref="A42:A43"/>
    <mergeCell ref="B42:B43"/>
  </mergeCells>
  <pageMargins left="0.9055118110236221" right="0.70866141732283472" top="0.55118110236220474" bottom="0.74803149606299213" header="0.31496062992125984" footer="0.31496062992125984"/>
  <pageSetup paperSize="9" scale="75"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7"/>
  <sheetViews>
    <sheetView zoomScaleNormal="100" workbookViewId="0">
      <selection activeCell="K10" sqref="K10"/>
    </sheetView>
  </sheetViews>
  <sheetFormatPr defaultRowHeight="15" x14ac:dyDescent="0.25"/>
  <cols>
    <col min="1" max="1" width="4.28515625" style="398" customWidth="1"/>
    <col min="2" max="2" width="38.7109375" style="398" customWidth="1"/>
    <col min="3" max="3" width="11" style="398" customWidth="1"/>
    <col min="4" max="4" width="10.28515625" style="398" customWidth="1"/>
    <col min="5" max="5" width="11.5703125" style="398" customWidth="1"/>
    <col min="6" max="6" width="13.28515625" style="398" customWidth="1"/>
    <col min="7" max="7" width="0" style="398" hidden="1" customWidth="1"/>
    <col min="8" max="8" width="10.42578125" style="398" customWidth="1"/>
    <col min="9" max="9" width="20.42578125" style="398" customWidth="1"/>
    <col min="10" max="16384" width="9.140625" style="398"/>
  </cols>
  <sheetData>
    <row r="1" spans="1:9" s="330" customFormat="1" x14ac:dyDescent="0.25">
      <c r="B1" s="329"/>
      <c r="C1" s="329"/>
      <c r="D1" s="329"/>
      <c r="E1" s="329"/>
      <c r="F1" s="2164" t="s">
        <v>2202</v>
      </c>
      <c r="G1" s="2165"/>
      <c r="H1" s="2165"/>
      <c r="I1" s="2165"/>
    </row>
    <row r="2" spans="1:9" s="330" customFormat="1" x14ac:dyDescent="0.25">
      <c r="A2" s="328"/>
      <c r="B2" s="329"/>
      <c r="C2" s="329"/>
      <c r="D2" s="329"/>
      <c r="E2" s="329"/>
      <c r="F2" s="2165"/>
      <c r="G2" s="2165"/>
      <c r="H2" s="2165"/>
      <c r="I2" s="2165"/>
    </row>
    <row r="3" spans="1:9" s="330" customFormat="1" x14ac:dyDescent="0.25">
      <c r="A3" s="328"/>
      <c r="B3" s="329"/>
      <c r="C3" s="329"/>
      <c r="D3" s="329"/>
      <c r="E3" s="329"/>
      <c r="F3" s="2165"/>
      <c r="G3" s="2165"/>
      <c r="H3" s="2165"/>
      <c r="I3" s="2165"/>
    </row>
    <row r="4" spans="1:9" s="330" customFormat="1" x14ac:dyDescent="0.25">
      <c r="A4" s="328"/>
      <c r="B4" s="329"/>
      <c r="C4" s="329"/>
      <c r="D4" s="329"/>
      <c r="E4" s="329"/>
      <c r="F4" s="1889"/>
      <c r="G4" s="1889"/>
      <c r="H4" s="1889"/>
      <c r="I4" s="1889"/>
    </row>
    <row r="5" spans="1:9" s="330" customFormat="1" x14ac:dyDescent="0.25">
      <c r="A5" s="328"/>
      <c r="B5" s="329"/>
      <c r="C5" s="329"/>
      <c r="D5" s="329"/>
      <c r="E5" s="329"/>
      <c r="F5" s="1889"/>
      <c r="G5" s="1889"/>
      <c r="H5" s="1889"/>
      <c r="I5" s="1889"/>
    </row>
    <row r="6" spans="1:9" s="330" customFormat="1" x14ac:dyDescent="0.25">
      <c r="A6" s="328" t="s">
        <v>112</v>
      </c>
      <c r="B6" s="329"/>
      <c r="C6" s="329"/>
      <c r="D6" s="329"/>
      <c r="E6" s="329"/>
      <c r="F6" s="1889"/>
      <c r="G6" s="1889"/>
      <c r="H6" s="1889"/>
      <c r="I6" s="1889"/>
    </row>
    <row r="7" spans="1:9" s="330" customFormat="1" x14ac:dyDescent="0.25">
      <c r="A7" s="328"/>
      <c r="B7" s="329"/>
      <c r="C7" s="329"/>
      <c r="D7" s="329"/>
      <c r="E7" s="329"/>
      <c r="F7" s="329"/>
      <c r="G7" s="329"/>
      <c r="H7" s="329"/>
    </row>
    <row r="8" spans="1:9" s="330" customFormat="1" ht="15.75" x14ac:dyDescent="0.25">
      <c r="A8" s="2168" t="s">
        <v>113</v>
      </c>
      <c r="B8" s="2168"/>
      <c r="C8" s="2168"/>
      <c r="D8" s="2168"/>
      <c r="E8" s="2168"/>
      <c r="F8" s="2168"/>
      <c r="G8" s="2168"/>
      <c r="H8" s="2168"/>
    </row>
    <row r="9" spans="1:9" s="330" customFormat="1" ht="15.75" x14ac:dyDescent="0.25">
      <c r="A9" s="331"/>
      <c r="B9" s="331"/>
      <c r="C9" s="331"/>
      <c r="D9" s="331"/>
      <c r="E9" s="331"/>
      <c r="F9" s="331"/>
      <c r="G9" s="331"/>
      <c r="H9" s="331"/>
    </row>
    <row r="10" spans="1:9" s="330" customFormat="1" ht="30" customHeight="1" x14ac:dyDescent="0.25">
      <c r="A10" s="328" t="s">
        <v>563</v>
      </c>
      <c r="B10" s="328"/>
      <c r="C10" s="2171" t="s">
        <v>1809</v>
      </c>
      <c r="D10" s="2171"/>
      <c r="E10" s="2171"/>
      <c r="F10" s="2171"/>
      <c r="G10" s="2171"/>
      <c r="H10" s="2171"/>
      <c r="I10" s="2171"/>
    </row>
    <row r="11" spans="1:9" s="330" customFormat="1" x14ac:dyDescent="0.25">
      <c r="A11" s="328" t="s">
        <v>115</v>
      </c>
      <c r="B11" s="328"/>
      <c r="C11" s="2169" t="s">
        <v>1821</v>
      </c>
      <c r="D11" s="2169"/>
      <c r="E11" s="2169"/>
      <c r="F11" s="2169"/>
      <c r="G11" s="2169"/>
      <c r="H11" s="2169"/>
    </row>
    <row r="12" spans="1:9" s="330" customFormat="1" x14ac:dyDescent="0.25">
      <c r="A12" s="328" t="s">
        <v>117</v>
      </c>
      <c r="B12" s="328"/>
      <c r="C12" s="2170" t="s">
        <v>751</v>
      </c>
      <c r="D12" s="2170"/>
      <c r="E12" s="2170"/>
      <c r="F12" s="2170"/>
      <c r="G12" s="2170"/>
      <c r="H12" s="2170"/>
    </row>
    <row r="13" spans="1:9" s="328" customFormat="1" ht="12" x14ac:dyDescent="0.2">
      <c r="A13" s="2166" t="s">
        <v>47</v>
      </c>
      <c r="B13" s="2166" t="s">
        <v>119</v>
      </c>
      <c r="C13" s="2166" t="s">
        <v>120</v>
      </c>
      <c r="D13" s="2166" t="s">
        <v>121</v>
      </c>
      <c r="E13" s="2166" t="s">
        <v>122</v>
      </c>
      <c r="F13" s="391"/>
      <c r="G13" s="391"/>
      <c r="H13" s="391"/>
      <c r="I13" s="2166" t="s">
        <v>126</v>
      </c>
    </row>
    <row r="14" spans="1:9" s="328" customFormat="1" ht="48" x14ac:dyDescent="0.2">
      <c r="A14" s="2166"/>
      <c r="B14" s="2166"/>
      <c r="C14" s="2166"/>
      <c r="D14" s="2166"/>
      <c r="E14" s="2166"/>
      <c r="F14" s="391" t="s">
        <v>129</v>
      </c>
      <c r="G14" s="391" t="s">
        <v>124</v>
      </c>
      <c r="H14" s="391" t="s">
        <v>2165</v>
      </c>
      <c r="I14" s="2166"/>
    </row>
    <row r="15" spans="1:9" s="328" customFormat="1" ht="12" x14ac:dyDescent="0.2">
      <c r="A15" s="2167" t="s">
        <v>2182</v>
      </c>
      <c r="B15" s="2167"/>
      <c r="C15" s="392">
        <f>SUM(C16:C24)</f>
        <v>0</v>
      </c>
      <c r="D15" s="392">
        <f t="shared" ref="D15" si="0">SUM(D16:D24)</f>
        <v>0</v>
      </c>
      <c r="E15" s="392">
        <f>SUM(E16:E24)</f>
        <v>68000</v>
      </c>
      <c r="F15" s="392"/>
      <c r="G15" s="392">
        <f>SUM(G16:G24)</f>
        <v>71948</v>
      </c>
      <c r="H15" s="1025">
        <f>SUM(H16:H24)</f>
        <v>102376</v>
      </c>
      <c r="I15" s="393"/>
    </row>
    <row r="16" spans="1:9" ht="24" x14ac:dyDescent="0.25">
      <c r="A16" s="394">
        <v>1</v>
      </c>
      <c r="B16" s="347" t="s">
        <v>630</v>
      </c>
      <c r="C16" s="395">
        <v>0</v>
      </c>
      <c r="D16" s="395">
        <v>0</v>
      </c>
      <c r="E16" s="396">
        <v>20000</v>
      </c>
      <c r="F16" s="1756">
        <v>2231</v>
      </c>
      <c r="G16" s="397">
        <v>20000</v>
      </c>
      <c r="H16" s="1026">
        <f>ROUNDUP(G16/0.702804,0)</f>
        <v>28458</v>
      </c>
      <c r="I16" s="397"/>
    </row>
    <row r="17" spans="1:11" ht="36" x14ac:dyDescent="0.25">
      <c r="A17" s="394">
        <v>2</v>
      </c>
      <c r="B17" s="347" t="s">
        <v>631</v>
      </c>
      <c r="C17" s="395">
        <v>0</v>
      </c>
      <c r="D17" s="395">
        <v>0</v>
      </c>
      <c r="E17" s="396">
        <v>27000</v>
      </c>
      <c r="F17" s="1756">
        <v>2122</v>
      </c>
      <c r="G17" s="397">
        <v>27000</v>
      </c>
      <c r="H17" s="1026">
        <f t="shared" ref="H17:H24" si="1">ROUNDUP(G17/0.702804,0)</f>
        <v>38418</v>
      </c>
      <c r="I17" s="397"/>
      <c r="K17" s="1887"/>
    </row>
    <row r="18" spans="1:11" x14ac:dyDescent="0.25">
      <c r="A18" s="394">
        <v>3</v>
      </c>
      <c r="B18" s="347" t="s">
        <v>632</v>
      </c>
      <c r="C18" s="395">
        <v>0</v>
      </c>
      <c r="D18" s="395">
        <v>0</v>
      </c>
      <c r="E18" s="396">
        <v>8000</v>
      </c>
      <c r="F18" s="1756">
        <v>2121</v>
      </c>
      <c r="G18" s="397">
        <v>8000</v>
      </c>
      <c r="H18" s="1026">
        <f t="shared" si="1"/>
        <v>11383</v>
      </c>
      <c r="I18" s="397"/>
    </row>
    <row r="19" spans="1:11" ht="36" x14ac:dyDescent="0.25">
      <c r="A19" s="399">
        <v>4</v>
      </c>
      <c r="B19" s="347" t="s">
        <v>633</v>
      </c>
      <c r="C19" s="395">
        <v>0</v>
      </c>
      <c r="D19" s="395">
        <v>0</v>
      </c>
      <c r="E19" s="400">
        <v>3000</v>
      </c>
      <c r="F19" s="1756">
        <v>2112</v>
      </c>
      <c r="G19" s="397">
        <v>3000</v>
      </c>
      <c r="H19" s="1026">
        <f t="shared" si="1"/>
        <v>4269</v>
      </c>
      <c r="I19" s="397"/>
    </row>
    <row r="20" spans="1:11" x14ac:dyDescent="0.25">
      <c r="A20" s="399">
        <v>5</v>
      </c>
      <c r="B20" s="347" t="s">
        <v>634</v>
      </c>
      <c r="C20" s="395">
        <v>0</v>
      </c>
      <c r="D20" s="395">
        <v>0</v>
      </c>
      <c r="E20" s="400">
        <v>1000</v>
      </c>
      <c r="F20" s="1756">
        <v>2111</v>
      </c>
      <c r="G20" s="397">
        <v>1000</v>
      </c>
      <c r="H20" s="1026">
        <f t="shared" si="1"/>
        <v>1423</v>
      </c>
      <c r="I20" s="397"/>
    </row>
    <row r="21" spans="1:11" ht="24" x14ac:dyDescent="0.25">
      <c r="A21" s="399">
        <v>5</v>
      </c>
      <c r="B21" s="347" t="s">
        <v>635</v>
      </c>
      <c r="C21" s="395">
        <v>0</v>
      </c>
      <c r="D21" s="395">
        <v>0</v>
      </c>
      <c r="E21" s="396">
        <v>4000</v>
      </c>
      <c r="F21" s="1757">
        <v>2390</v>
      </c>
      <c r="G21" s="397">
        <v>4000</v>
      </c>
      <c r="H21" s="1026">
        <f t="shared" si="1"/>
        <v>5692</v>
      </c>
      <c r="I21" s="397"/>
    </row>
    <row r="22" spans="1:11" ht="24" x14ac:dyDescent="0.25">
      <c r="A22" s="399">
        <v>6</v>
      </c>
      <c r="B22" s="347" t="s">
        <v>636</v>
      </c>
      <c r="C22" s="395">
        <v>0</v>
      </c>
      <c r="D22" s="395">
        <v>0</v>
      </c>
      <c r="E22" s="401">
        <v>2000</v>
      </c>
      <c r="F22" s="1757">
        <v>2232</v>
      </c>
      <c r="G22" s="397">
        <v>2000</v>
      </c>
      <c r="H22" s="1026">
        <f t="shared" si="1"/>
        <v>2846</v>
      </c>
      <c r="I22" s="397"/>
    </row>
    <row r="23" spans="1:11" ht="24" x14ac:dyDescent="0.25">
      <c r="A23" s="399">
        <v>7</v>
      </c>
      <c r="B23" s="347" t="s">
        <v>637</v>
      </c>
      <c r="C23" s="395">
        <v>0</v>
      </c>
      <c r="D23" s="395">
        <v>0</v>
      </c>
      <c r="E23" s="396">
        <v>3000</v>
      </c>
      <c r="F23" s="1757">
        <v>2390</v>
      </c>
      <c r="G23" s="397">
        <v>3000</v>
      </c>
      <c r="H23" s="1026">
        <f t="shared" si="1"/>
        <v>4269</v>
      </c>
      <c r="I23" s="397"/>
    </row>
    <row r="24" spans="1:11" x14ac:dyDescent="0.25">
      <c r="A24" s="1002">
        <v>8</v>
      </c>
      <c r="B24" s="1001" t="s">
        <v>1810</v>
      </c>
      <c r="C24" s="1001"/>
      <c r="D24" s="1001"/>
      <c r="E24" s="1001"/>
      <c r="F24" s="1003">
        <v>6422</v>
      </c>
      <c r="G24" s="1067">
        <v>3948</v>
      </c>
      <c r="H24" s="1068">
        <f t="shared" si="1"/>
        <v>5618</v>
      </c>
      <c r="I24" s="1069"/>
      <c r="J24" s="1070"/>
    </row>
    <row r="27" spans="1:11" s="386" customFormat="1" ht="12" x14ac:dyDescent="0.2"/>
  </sheetData>
  <sheetProtection password="CA5B" sheet="1" objects="1" scenarios="1"/>
  <mergeCells count="12">
    <mergeCell ref="F1:I3"/>
    <mergeCell ref="I13:I14"/>
    <mergeCell ref="A15:B15"/>
    <mergeCell ref="A8:H8"/>
    <mergeCell ref="C11:H11"/>
    <mergeCell ref="C12:H12"/>
    <mergeCell ref="A13:A14"/>
    <mergeCell ref="B13:B14"/>
    <mergeCell ref="C13:C14"/>
    <mergeCell ref="D13:D14"/>
    <mergeCell ref="E13:E14"/>
    <mergeCell ref="C10:I10"/>
  </mergeCells>
  <pageMargins left="0.9055118110236221" right="0.31496062992125984" top="0.55118110236220474" bottom="0.55118110236220474"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7"/>
  <sheetViews>
    <sheetView zoomScaleNormal="100" workbookViewId="0">
      <selection activeCell="L14" sqref="L14"/>
    </sheetView>
  </sheetViews>
  <sheetFormatPr defaultRowHeight="12" x14ac:dyDescent="0.2"/>
  <cols>
    <col min="1" max="1" width="5.5703125" style="346" customWidth="1"/>
    <col min="2" max="2" width="26.28515625" style="346" customWidth="1"/>
    <col min="3" max="3" width="10.28515625" style="346" customWidth="1"/>
    <col min="4" max="4" width="9.28515625" style="346" customWidth="1"/>
    <col min="5" max="5" width="10.7109375" style="346" customWidth="1"/>
    <col min="6" max="6" width="11.140625" style="346" customWidth="1"/>
    <col min="7" max="7" width="10.42578125" style="346" hidden="1" customWidth="1"/>
    <col min="8" max="8" width="11.5703125" style="346" customWidth="1"/>
    <col min="9" max="9" width="19.7109375" style="346" customWidth="1"/>
    <col min="10" max="16384" width="9.140625" style="346"/>
  </cols>
  <sheetData>
    <row r="1" spans="1:9" s="330" customFormat="1" ht="15" x14ac:dyDescent="0.25">
      <c r="B1" s="329"/>
      <c r="C1" s="329"/>
      <c r="D1" s="329"/>
      <c r="E1" s="329"/>
      <c r="F1" s="2164" t="s">
        <v>2203</v>
      </c>
      <c r="G1" s="2165"/>
      <c r="H1" s="2165"/>
      <c r="I1" s="2165"/>
    </row>
    <row r="2" spans="1:9" s="330" customFormat="1" ht="15" x14ac:dyDescent="0.25">
      <c r="A2" s="328"/>
      <c r="B2" s="329"/>
      <c r="C2" s="329"/>
      <c r="D2" s="329"/>
      <c r="E2" s="329"/>
      <c r="F2" s="2165"/>
      <c r="G2" s="2165"/>
      <c r="H2" s="2165"/>
      <c r="I2" s="2165"/>
    </row>
    <row r="3" spans="1:9" s="330" customFormat="1" ht="15" x14ac:dyDescent="0.25">
      <c r="A3" s="328"/>
      <c r="B3" s="329"/>
      <c r="C3" s="329"/>
      <c r="D3" s="329"/>
      <c r="E3" s="329"/>
      <c r="F3" s="2165"/>
      <c r="G3" s="2165"/>
      <c r="H3" s="2165"/>
      <c r="I3" s="2165"/>
    </row>
    <row r="4" spans="1:9" s="330" customFormat="1" ht="15" x14ac:dyDescent="0.25">
      <c r="A4" s="328"/>
      <c r="B4" s="329"/>
      <c r="C4" s="329"/>
      <c r="D4" s="329"/>
      <c r="E4" s="329"/>
      <c r="F4" s="1889"/>
      <c r="G4" s="1889"/>
      <c r="H4" s="1889"/>
      <c r="I4" s="1889"/>
    </row>
    <row r="5" spans="1:9" s="330" customFormat="1" ht="15" x14ac:dyDescent="0.25">
      <c r="A5" s="328"/>
      <c r="B5" s="329"/>
      <c r="C5" s="329"/>
      <c r="D5" s="329"/>
      <c r="E5" s="329"/>
      <c r="F5" s="1889"/>
      <c r="G5" s="1889"/>
      <c r="H5" s="1889"/>
      <c r="I5" s="1889"/>
    </row>
    <row r="6" spans="1:9" s="330" customFormat="1" ht="15" x14ac:dyDescent="0.25">
      <c r="A6" s="328" t="s">
        <v>112</v>
      </c>
      <c r="B6" s="329"/>
      <c r="C6" s="329"/>
      <c r="D6" s="329"/>
      <c r="E6" s="329"/>
      <c r="F6" s="329"/>
      <c r="G6" s="329"/>
      <c r="H6" s="329"/>
    </row>
    <row r="7" spans="1:9" s="330" customFormat="1" ht="15" x14ac:dyDescent="0.25">
      <c r="A7" s="328"/>
      <c r="B7" s="329"/>
      <c r="C7" s="329"/>
      <c r="D7" s="329"/>
      <c r="E7" s="329"/>
      <c r="F7" s="329"/>
      <c r="G7" s="329"/>
      <c r="H7" s="329"/>
    </row>
    <row r="8" spans="1:9" s="330" customFormat="1" ht="15.75" x14ac:dyDescent="0.25">
      <c r="A8" s="2168" t="s">
        <v>113</v>
      </c>
      <c r="B8" s="2168"/>
      <c r="C8" s="2168"/>
      <c r="D8" s="2168"/>
      <c r="E8" s="2168"/>
      <c r="F8" s="2168"/>
      <c r="G8" s="2168"/>
      <c r="H8" s="2168"/>
    </row>
    <row r="9" spans="1:9" s="330" customFormat="1" ht="15.75" x14ac:dyDescent="0.25">
      <c r="A9" s="331"/>
      <c r="B9" s="331"/>
      <c r="C9" s="331"/>
      <c r="D9" s="331"/>
      <c r="E9" s="331"/>
      <c r="F9" s="331"/>
      <c r="G9" s="331"/>
      <c r="H9" s="331"/>
    </row>
    <row r="10" spans="1:9" s="330" customFormat="1" ht="15.75" x14ac:dyDescent="0.25">
      <c r="A10" s="328" t="s">
        <v>563</v>
      </c>
      <c r="B10" s="328"/>
      <c r="C10" s="390" t="s">
        <v>1811</v>
      </c>
      <c r="D10" s="390"/>
      <c r="E10" s="390"/>
      <c r="F10" s="390"/>
      <c r="G10" s="390"/>
      <c r="H10" s="390"/>
    </row>
    <row r="11" spans="1:9" s="330" customFormat="1" ht="15" x14ac:dyDescent="0.25">
      <c r="A11" s="328" t="s">
        <v>115</v>
      </c>
      <c r="B11" s="328"/>
      <c r="C11" s="2169" t="s">
        <v>564</v>
      </c>
      <c r="D11" s="2169"/>
      <c r="E11" s="2169"/>
      <c r="F11" s="2169"/>
      <c r="G11" s="2169"/>
      <c r="H11" s="2169"/>
    </row>
    <row r="12" spans="1:9" s="330" customFormat="1" ht="15" x14ac:dyDescent="0.25">
      <c r="A12" s="328" t="s">
        <v>117</v>
      </c>
      <c r="B12" s="328"/>
      <c r="C12" s="2170" t="s">
        <v>565</v>
      </c>
      <c r="D12" s="2170"/>
      <c r="E12" s="2170"/>
      <c r="F12" s="2170"/>
      <c r="G12" s="2170"/>
      <c r="H12" s="2170"/>
    </row>
    <row r="13" spans="1:9" s="328" customFormat="1" x14ac:dyDescent="0.2">
      <c r="A13" s="2183" t="s">
        <v>47</v>
      </c>
      <c r="B13" s="2185" t="s">
        <v>119</v>
      </c>
      <c r="C13" s="2185" t="s">
        <v>120</v>
      </c>
      <c r="D13" s="2185" t="s">
        <v>121</v>
      </c>
      <c r="E13" s="2185" t="s">
        <v>122</v>
      </c>
      <c r="F13" s="332"/>
      <c r="G13" s="332"/>
      <c r="H13" s="332"/>
      <c r="I13" s="2187" t="s">
        <v>126</v>
      </c>
    </row>
    <row r="14" spans="1:9" s="328" customFormat="1" ht="36" x14ac:dyDescent="0.2">
      <c r="A14" s="2184"/>
      <c r="B14" s="2186"/>
      <c r="C14" s="2186"/>
      <c r="D14" s="2186"/>
      <c r="E14" s="2186"/>
      <c r="F14" s="333" t="s">
        <v>129</v>
      </c>
      <c r="G14" s="333" t="s">
        <v>124</v>
      </c>
      <c r="H14" s="333" t="s">
        <v>2165</v>
      </c>
      <c r="I14" s="2188"/>
    </row>
    <row r="15" spans="1:9" s="328" customFormat="1" x14ac:dyDescent="0.2">
      <c r="A15" s="2172" t="s">
        <v>2182</v>
      </c>
      <c r="B15" s="2173"/>
      <c r="C15" s="334">
        <f>SUM(C16:C34)</f>
        <v>0</v>
      </c>
      <c r="D15" s="334">
        <f t="shared" ref="D15:E15" si="0">SUM(D16:D34)</f>
        <v>0</v>
      </c>
      <c r="E15" s="334">
        <f t="shared" si="0"/>
        <v>400500</v>
      </c>
      <c r="F15" s="334"/>
      <c r="G15" s="334">
        <f>SUM(G16:G34)</f>
        <v>400500</v>
      </c>
      <c r="H15" s="334">
        <f>SUM(H16:H34)</f>
        <v>569870</v>
      </c>
      <c r="I15" s="335"/>
    </row>
    <row r="16" spans="1:9" ht="36.75" customHeight="1" x14ac:dyDescent="0.2">
      <c r="A16" s="341">
        <v>1</v>
      </c>
      <c r="B16" s="342" t="s">
        <v>567</v>
      </c>
      <c r="C16" s="343">
        <v>0</v>
      </c>
      <c r="D16" s="344">
        <v>0</v>
      </c>
      <c r="E16" s="344">
        <v>4000</v>
      </c>
      <c r="F16" s="1758">
        <v>2239</v>
      </c>
      <c r="G16" s="344">
        <v>4000</v>
      </c>
      <c r="H16" s="1028">
        <f>ROUNDUP(G16/0.702804,0)</f>
        <v>5692</v>
      </c>
      <c r="I16" s="345" t="s">
        <v>610</v>
      </c>
    </row>
    <row r="17" spans="1:9" ht="36" x14ac:dyDescent="0.2">
      <c r="A17" s="341">
        <v>2</v>
      </c>
      <c r="B17" s="347" t="s">
        <v>569</v>
      </c>
      <c r="C17" s="343">
        <v>0</v>
      </c>
      <c r="D17" s="344">
        <v>0</v>
      </c>
      <c r="E17" s="344">
        <v>1000</v>
      </c>
      <c r="F17" s="1758">
        <v>2232</v>
      </c>
      <c r="G17" s="344">
        <v>1000</v>
      </c>
      <c r="H17" s="1028">
        <f t="shared" ref="H17:H34" si="1">ROUNDUP(G17/0.702804,0)</f>
        <v>1423</v>
      </c>
      <c r="I17" s="345" t="s">
        <v>611</v>
      </c>
    </row>
    <row r="18" spans="1:9" ht="36" x14ac:dyDescent="0.2">
      <c r="A18" s="352">
        <v>3</v>
      </c>
      <c r="B18" s="342" t="s">
        <v>574</v>
      </c>
      <c r="C18" s="301">
        <v>0</v>
      </c>
      <c r="D18" s="344">
        <v>0</v>
      </c>
      <c r="E18" s="344">
        <v>36000</v>
      </c>
      <c r="F18" s="307">
        <v>5234</v>
      </c>
      <c r="G18" s="344">
        <v>36000</v>
      </c>
      <c r="H18" s="1028">
        <f t="shared" si="1"/>
        <v>51224</v>
      </c>
      <c r="I18" s="345" t="s">
        <v>568</v>
      </c>
    </row>
    <row r="19" spans="1:9" ht="39" customHeight="1" x14ac:dyDescent="0.2">
      <c r="A19" s="387">
        <v>4</v>
      </c>
      <c r="B19" s="388" t="s">
        <v>576</v>
      </c>
      <c r="C19" s="301">
        <v>0</v>
      </c>
      <c r="D19" s="344">
        <v>0</v>
      </c>
      <c r="E19" s="344">
        <v>4000</v>
      </c>
      <c r="F19" s="307">
        <v>5234</v>
      </c>
      <c r="G19" s="344">
        <v>4000</v>
      </c>
      <c r="H19" s="1028">
        <f t="shared" si="1"/>
        <v>5692</v>
      </c>
      <c r="I19" s="389" t="s">
        <v>612</v>
      </c>
    </row>
    <row r="20" spans="1:9" ht="48" x14ac:dyDescent="0.2">
      <c r="A20" s="352">
        <v>5</v>
      </c>
      <c r="B20" s="347" t="s">
        <v>580</v>
      </c>
      <c r="C20" s="301">
        <v>0</v>
      </c>
      <c r="D20" s="344">
        <v>0</v>
      </c>
      <c r="E20" s="344">
        <v>36000</v>
      </c>
      <c r="F20" s="307">
        <v>2212</v>
      </c>
      <c r="G20" s="344">
        <v>36000</v>
      </c>
      <c r="H20" s="1028">
        <f t="shared" si="1"/>
        <v>51224</v>
      </c>
      <c r="I20" s="345" t="s">
        <v>613</v>
      </c>
    </row>
    <row r="21" spans="1:9" ht="39.75" customHeight="1" x14ac:dyDescent="0.2">
      <c r="A21" s="2174">
        <v>6</v>
      </c>
      <c r="B21" s="2177" t="s">
        <v>614</v>
      </c>
      <c r="C21" s="343">
        <v>0</v>
      </c>
      <c r="D21" s="344">
        <v>0</v>
      </c>
      <c r="E21" s="344">
        <v>20000</v>
      </c>
      <c r="F21" s="356">
        <v>2231</v>
      </c>
      <c r="G21" s="344">
        <v>20000</v>
      </c>
      <c r="H21" s="1028">
        <f t="shared" si="1"/>
        <v>28458</v>
      </c>
      <c r="I21" s="2180" t="s">
        <v>615</v>
      </c>
    </row>
    <row r="22" spans="1:9" ht="36" customHeight="1" x14ac:dyDescent="0.2">
      <c r="A22" s="2175"/>
      <c r="B22" s="2178"/>
      <c r="C22" s="343">
        <v>0</v>
      </c>
      <c r="D22" s="344">
        <v>0</v>
      </c>
      <c r="E22" s="344">
        <v>5000</v>
      </c>
      <c r="F22" s="356">
        <v>2390</v>
      </c>
      <c r="G22" s="344">
        <v>5000</v>
      </c>
      <c r="H22" s="1028">
        <f t="shared" si="1"/>
        <v>7115</v>
      </c>
      <c r="I22" s="2181"/>
    </row>
    <row r="23" spans="1:9" ht="39" customHeight="1" x14ac:dyDescent="0.2">
      <c r="A23" s="2176"/>
      <c r="B23" s="2179"/>
      <c r="C23" s="343">
        <v>0</v>
      </c>
      <c r="D23" s="344">
        <v>0</v>
      </c>
      <c r="E23" s="344">
        <v>10000</v>
      </c>
      <c r="F23" s="356">
        <v>2279</v>
      </c>
      <c r="G23" s="344">
        <v>10000</v>
      </c>
      <c r="H23" s="1028">
        <f t="shared" si="1"/>
        <v>14229</v>
      </c>
      <c r="I23" s="2182"/>
    </row>
    <row r="24" spans="1:9" ht="28.5" customHeight="1" x14ac:dyDescent="0.2">
      <c r="A24" s="352">
        <v>7</v>
      </c>
      <c r="B24" s="349" t="s">
        <v>616</v>
      </c>
      <c r="C24" s="301">
        <v>0</v>
      </c>
      <c r="D24" s="344">
        <v>0</v>
      </c>
      <c r="E24" s="344">
        <v>36000</v>
      </c>
      <c r="F24" s="307">
        <v>5110</v>
      </c>
      <c r="G24" s="344">
        <v>36000</v>
      </c>
      <c r="H24" s="1028">
        <f t="shared" si="1"/>
        <v>51224</v>
      </c>
      <c r="I24" s="389" t="s">
        <v>617</v>
      </c>
    </row>
    <row r="25" spans="1:9" ht="42" customHeight="1" x14ac:dyDescent="0.2">
      <c r="A25" s="352">
        <v>8</v>
      </c>
      <c r="B25" s="347" t="s">
        <v>618</v>
      </c>
      <c r="C25" s="343">
        <v>0</v>
      </c>
      <c r="D25" s="344">
        <v>0</v>
      </c>
      <c r="E25" s="344">
        <v>100000</v>
      </c>
      <c r="F25" s="356">
        <v>2239</v>
      </c>
      <c r="G25" s="344">
        <v>100000</v>
      </c>
      <c r="H25" s="1028">
        <f t="shared" si="1"/>
        <v>142288</v>
      </c>
      <c r="I25" s="345" t="s">
        <v>619</v>
      </c>
    </row>
    <row r="26" spans="1:9" ht="36" x14ac:dyDescent="0.2">
      <c r="A26" s="366">
        <v>9</v>
      </c>
      <c r="B26" s="367" t="s">
        <v>620</v>
      </c>
      <c r="C26" s="368">
        <v>0</v>
      </c>
      <c r="D26" s="369">
        <v>0</v>
      </c>
      <c r="E26" s="369">
        <v>36000</v>
      </c>
      <c r="F26" s="370">
        <v>2279</v>
      </c>
      <c r="G26" s="369">
        <v>36000</v>
      </c>
      <c r="H26" s="1028">
        <f t="shared" si="1"/>
        <v>51224</v>
      </c>
      <c r="I26" s="345" t="s">
        <v>621</v>
      </c>
    </row>
    <row r="27" spans="1:9" ht="42" customHeight="1" x14ac:dyDescent="0.2">
      <c r="A27" s="366">
        <v>10</v>
      </c>
      <c r="B27" s="367" t="s">
        <v>622</v>
      </c>
      <c r="C27" s="368">
        <v>0</v>
      </c>
      <c r="D27" s="369">
        <v>0</v>
      </c>
      <c r="E27" s="369">
        <v>36000</v>
      </c>
      <c r="F27" s="370">
        <v>2390</v>
      </c>
      <c r="G27" s="369">
        <v>36000</v>
      </c>
      <c r="H27" s="1028">
        <f t="shared" si="1"/>
        <v>51224</v>
      </c>
      <c r="I27" s="345" t="s">
        <v>623</v>
      </c>
    </row>
    <row r="28" spans="1:9" ht="16.5" customHeight="1" x14ac:dyDescent="0.2">
      <c r="A28" s="366">
        <v>11</v>
      </c>
      <c r="B28" s="367" t="s">
        <v>624</v>
      </c>
      <c r="C28" s="368">
        <v>0</v>
      </c>
      <c r="D28" s="369">
        <v>0</v>
      </c>
      <c r="E28" s="369">
        <v>1000</v>
      </c>
      <c r="F28" s="370">
        <v>2390</v>
      </c>
      <c r="G28" s="369">
        <v>1000</v>
      </c>
      <c r="H28" s="1028">
        <f t="shared" si="1"/>
        <v>1423</v>
      </c>
      <c r="I28" s="345" t="s">
        <v>625</v>
      </c>
    </row>
    <row r="29" spans="1:9" ht="24" x14ac:dyDescent="0.2">
      <c r="A29" s="366">
        <v>12</v>
      </c>
      <c r="B29" s="367" t="s">
        <v>626</v>
      </c>
      <c r="C29" s="368">
        <v>0</v>
      </c>
      <c r="D29" s="369">
        <v>0</v>
      </c>
      <c r="E29" s="369">
        <v>36000</v>
      </c>
      <c r="F29" s="370">
        <v>2390</v>
      </c>
      <c r="G29" s="369">
        <v>36000</v>
      </c>
      <c r="H29" s="1028">
        <f t="shared" si="1"/>
        <v>51224</v>
      </c>
      <c r="I29" s="345" t="s">
        <v>627</v>
      </c>
    </row>
    <row r="30" spans="1:9" x14ac:dyDescent="0.2">
      <c r="A30" s="366">
        <v>13</v>
      </c>
      <c r="B30" s="367" t="s">
        <v>628</v>
      </c>
      <c r="C30" s="368">
        <v>0</v>
      </c>
      <c r="D30" s="369">
        <v>0</v>
      </c>
      <c r="E30" s="369">
        <v>1500</v>
      </c>
      <c r="F30" s="370">
        <v>2279</v>
      </c>
      <c r="G30" s="369">
        <v>1500</v>
      </c>
      <c r="H30" s="1028">
        <f t="shared" si="1"/>
        <v>2135</v>
      </c>
      <c r="I30" s="371"/>
    </row>
    <row r="31" spans="1:9" x14ac:dyDescent="0.2">
      <c r="A31" s="366">
        <v>14</v>
      </c>
      <c r="B31" s="367" t="s">
        <v>629</v>
      </c>
      <c r="C31" s="368">
        <v>0</v>
      </c>
      <c r="D31" s="369">
        <v>0</v>
      </c>
      <c r="E31" s="369">
        <v>20000</v>
      </c>
      <c r="F31" s="370">
        <v>2232</v>
      </c>
      <c r="G31" s="369">
        <v>20000</v>
      </c>
      <c r="H31" s="1028">
        <f t="shared" si="1"/>
        <v>28458</v>
      </c>
      <c r="I31" s="371"/>
    </row>
    <row r="32" spans="1:9" x14ac:dyDescent="0.2">
      <c r="A32" s="1207">
        <v>15</v>
      </c>
      <c r="B32" s="1208" t="s">
        <v>605</v>
      </c>
      <c r="C32" s="368">
        <v>0</v>
      </c>
      <c r="D32" s="369">
        <v>0</v>
      </c>
      <c r="E32" s="369">
        <v>3000</v>
      </c>
      <c r="F32" s="370">
        <v>1150</v>
      </c>
      <c r="G32" s="369">
        <v>3000</v>
      </c>
      <c r="H32" s="1213">
        <f t="shared" si="1"/>
        <v>4269</v>
      </c>
      <c r="I32" s="371"/>
    </row>
    <row r="33" spans="1:9" x14ac:dyDescent="0.2">
      <c r="A33" s="1693">
        <v>16</v>
      </c>
      <c r="B33" s="1694" t="s">
        <v>1949</v>
      </c>
      <c r="C33" s="1694">
        <v>0</v>
      </c>
      <c r="D33" s="1695">
        <v>0</v>
      </c>
      <c r="E33" s="1694">
        <v>10000</v>
      </c>
      <c r="F33" s="1759">
        <v>2275</v>
      </c>
      <c r="G33" s="1694">
        <v>10000</v>
      </c>
      <c r="H33" s="1213">
        <f t="shared" si="1"/>
        <v>14229</v>
      </c>
      <c r="I33" s="1696" t="s">
        <v>1950</v>
      </c>
    </row>
    <row r="34" spans="1:9" ht="24" x14ac:dyDescent="0.2">
      <c r="A34" s="1691">
        <v>17</v>
      </c>
      <c r="B34" s="1697" t="s">
        <v>508</v>
      </c>
      <c r="C34" s="1215">
        <v>0</v>
      </c>
      <c r="D34" s="1692">
        <v>0</v>
      </c>
      <c r="E34" s="1215">
        <v>5000</v>
      </c>
      <c r="F34" s="1698">
        <v>1150</v>
      </c>
      <c r="G34" s="1215">
        <v>5000</v>
      </c>
      <c r="H34" s="1215">
        <f t="shared" si="1"/>
        <v>7115</v>
      </c>
      <c r="I34" s="1216"/>
    </row>
    <row r="37" spans="1:9" s="386" customFormat="1" x14ac:dyDescent="0.2"/>
  </sheetData>
  <sheetProtection password="CA5B" sheet="1" objects="1" scenarios="1"/>
  <mergeCells count="14">
    <mergeCell ref="A15:B15"/>
    <mergeCell ref="A21:A23"/>
    <mergeCell ref="B21:B23"/>
    <mergeCell ref="I21:I23"/>
    <mergeCell ref="F1:I3"/>
    <mergeCell ref="A8:H8"/>
    <mergeCell ref="C11:H11"/>
    <mergeCell ref="C12:H12"/>
    <mergeCell ref="A13:A14"/>
    <mergeCell ref="B13:B14"/>
    <mergeCell ref="C13:C14"/>
    <mergeCell ref="D13:D14"/>
    <mergeCell ref="E13:E14"/>
    <mergeCell ref="I13:I14"/>
  </mergeCells>
  <pageMargins left="1.1023622047244095" right="0.51181102362204722" top="0.35433070866141736" bottom="0.35433070866141736"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63"/>
  <sheetViews>
    <sheetView zoomScaleNormal="100" workbookViewId="0">
      <selection activeCell="K11" sqref="K11"/>
    </sheetView>
  </sheetViews>
  <sheetFormatPr defaultRowHeight="12" x14ac:dyDescent="0.2"/>
  <cols>
    <col min="1" max="1" width="5.5703125" style="346" customWidth="1"/>
    <col min="2" max="2" width="26.28515625" style="346" customWidth="1"/>
    <col min="3" max="3" width="11.42578125" style="346" customWidth="1"/>
    <col min="4" max="4" width="10" style="346" customWidth="1"/>
    <col min="5" max="5" width="12.5703125" style="346" customWidth="1"/>
    <col min="6" max="6" width="11.140625" style="346" customWidth="1"/>
    <col min="7" max="7" width="10.42578125" style="346" hidden="1" customWidth="1"/>
    <col min="8" max="8" width="11.5703125" style="346" customWidth="1"/>
    <col min="9" max="9" width="19.7109375" style="346" customWidth="1"/>
    <col min="10" max="16384" width="9.140625" style="346"/>
  </cols>
  <sheetData>
    <row r="1" spans="1:9" x14ac:dyDescent="0.2">
      <c r="F1" s="2189" t="s">
        <v>2184</v>
      </c>
      <c r="G1" s="2189"/>
      <c r="H1" s="2189"/>
      <c r="I1" s="2189"/>
    </row>
    <row r="2" spans="1:9" x14ac:dyDescent="0.2">
      <c r="F2" s="2189"/>
      <c r="G2" s="2189"/>
      <c r="H2" s="2189"/>
      <c r="I2" s="2189"/>
    </row>
    <row r="3" spans="1:9" s="330" customFormat="1" ht="15" x14ac:dyDescent="0.25">
      <c r="B3" s="329"/>
      <c r="C3" s="329"/>
      <c r="D3" s="329"/>
      <c r="E3" s="329"/>
      <c r="F3" s="2189"/>
      <c r="G3" s="2189"/>
      <c r="H3" s="2189"/>
      <c r="I3" s="2189"/>
    </row>
    <row r="4" spans="1:9" s="330" customFormat="1" ht="15" x14ac:dyDescent="0.25">
      <c r="A4" s="328"/>
      <c r="B4" s="329"/>
      <c r="C4" s="329"/>
      <c r="D4" s="329"/>
      <c r="E4" s="329"/>
      <c r="F4" s="1876"/>
      <c r="G4" s="1876"/>
      <c r="H4" s="1876"/>
      <c r="I4" s="1876"/>
    </row>
    <row r="5" spans="1:9" s="330" customFormat="1" ht="15" x14ac:dyDescent="0.25">
      <c r="A5" s="328"/>
      <c r="B5" s="329"/>
      <c r="C5" s="329"/>
      <c r="D5" s="329"/>
      <c r="E5" s="329"/>
      <c r="F5" s="1876"/>
      <c r="G5" s="1876"/>
      <c r="H5" s="1876"/>
      <c r="I5" s="1876"/>
    </row>
    <row r="6" spans="1:9" s="330" customFormat="1" ht="15" x14ac:dyDescent="0.25">
      <c r="A6" s="328" t="s">
        <v>112</v>
      </c>
      <c r="B6" s="329"/>
      <c r="C6" s="329"/>
      <c r="D6" s="329"/>
      <c r="E6" s="329"/>
      <c r="F6" s="1876"/>
      <c r="G6" s="1876"/>
      <c r="H6" s="1876"/>
      <c r="I6" s="1876"/>
    </row>
    <row r="7" spans="1:9" s="330" customFormat="1" ht="15" x14ac:dyDescent="0.25">
      <c r="A7" s="328"/>
      <c r="B7" s="329"/>
      <c r="C7" s="329"/>
      <c r="D7" s="329"/>
      <c r="E7" s="329"/>
      <c r="F7" s="329"/>
      <c r="G7" s="329"/>
      <c r="H7" s="329"/>
    </row>
    <row r="8" spans="1:9" s="330" customFormat="1" ht="15.75" x14ac:dyDescent="0.25">
      <c r="A8" s="2168" t="s">
        <v>113</v>
      </c>
      <c r="B8" s="2168"/>
      <c r="C8" s="2168"/>
      <c r="D8" s="2168"/>
      <c r="E8" s="2168"/>
      <c r="F8" s="2168"/>
      <c r="G8" s="2168"/>
      <c r="H8" s="2168"/>
    </row>
    <row r="9" spans="1:9" s="330" customFormat="1" ht="15.75" x14ac:dyDescent="0.25">
      <c r="A9" s="331"/>
      <c r="B9" s="331"/>
      <c r="C9" s="331"/>
      <c r="D9" s="331"/>
      <c r="E9" s="331"/>
      <c r="F9" s="331"/>
      <c r="G9" s="331"/>
      <c r="H9" s="331"/>
    </row>
    <row r="10" spans="1:9" s="330" customFormat="1" ht="30.75" customHeight="1" x14ac:dyDescent="0.25">
      <c r="A10" s="328" t="s">
        <v>563</v>
      </c>
      <c r="B10" s="328"/>
      <c r="C10" s="2171" t="s">
        <v>1965</v>
      </c>
      <c r="D10" s="2171"/>
      <c r="E10" s="2171"/>
      <c r="F10" s="2171"/>
      <c r="G10" s="2171"/>
      <c r="H10" s="2171"/>
    </row>
    <row r="11" spans="1:9" s="330" customFormat="1" ht="15" x14ac:dyDescent="0.25">
      <c r="A11" s="328" t="s">
        <v>115</v>
      </c>
      <c r="B11" s="328"/>
      <c r="C11" s="2169" t="s">
        <v>564</v>
      </c>
      <c r="D11" s="2169"/>
      <c r="E11" s="2169"/>
      <c r="F11" s="2169"/>
      <c r="G11" s="2169"/>
      <c r="H11" s="2169"/>
    </row>
    <row r="12" spans="1:9" s="330" customFormat="1" ht="15" x14ac:dyDescent="0.25">
      <c r="A12" s="328" t="s">
        <v>117</v>
      </c>
      <c r="B12" s="328"/>
      <c r="C12" s="2170" t="s">
        <v>565</v>
      </c>
      <c r="D12" s="2170"/>
      <c r="E12" s="2170"/>
      <c r="F12" s="2170"/>
      <c r="G12" s="2170"/>
      <c r="H12" s="2170"/>
    </row>
    <row r="13" spans="1:9" s="328" customFormat="1" x14ac:dyDescent="0.2">
      <c r="A13" s="2183" t="s">
        <v>47</v>
      </c>
      <c r="B13" s="2185" t="s">
        <v>119</v>
      </c>
      <c r="C13" s="2185" t="s">
        <v>120</v>
      </c>
      <c r="D13" s="2185" t="s">
        <v>121</v>
      </c>
      <c r="E13" s="2185" t="s">
        <v>122</v>
      </c>
      <c r="F13" s="332"/>
      <c r="G13" s="332"/>
      <c r="H13" s="332"/>
      <c r="I13" s="2187" t="s">
        <v>126</v>
      </c>
    </row>
    <row r="14" spans="1:9" s="328" customFormat="1" ht="36" x14ac:dyDescent="0.2">
      <c r="A14" s="2184"/>
      <c r="B14" s="2186"/>
      <c r="C14" s="2186"/>
      <c r="D14" s="2186"/>
      <c r="E14" s="2186"/>
      <c r="F14" s="333" t="s">
        <v>129</v>
      </c>
      <c r="G14" s="333" t="s">
        <v>124</v>
      </c>
      <c r="H14" s="333" t="s">
        <v>2165</v>
      </c>
      <c r="I14" s="2188"/>
    </row>
    <row r="15" spans="1:9" s="328" customFormat="1" x14ac:dyDescent="0.2">
      <c r="A15" s="2172" t="s">
        <v>2182</v>
      </c>
      <c r="B15" s="2173"/>
      <c r="C15" s="334">
        <f>C16+C20+C25+C31+C34+C36+C43</f>
        <v>238037</v>
      </c>
      <c r="D15" s="334">
        <f t="shared" ref="D15" si="0">D16+D20+D25+D31+D34+D36+D43</f>
        <v>183075</v>
      </c>
      <c r="E15" s="334">
        <f>E16+E20+E25+E31+E34+E36+E43</f>
        <v>183000</v>
      </c>
      <c r="F15" s="334"/>
      <c r="G15" s="334">
        <f>G16+G20+G25+G31+G34+G36+G43</f>
        <v>186703</v>
      </c>
      <c r="H15" s="1027">
        <f>H16+H20+H25+H31+H34+H36+H43</f>
        <v>265662</v>
      </c>
      <c r="I15" s="335"/>
    </row>
    <row r="16" spans="1:9" s="340" customFormat="1" ht="24" x14ac:dyDescent="0.2">
      <c r="A16" s="336">
        <v>1</v>
      </c>
      <c r="B16" s="337" t="s">
        <v>566</v>
      </c>
      <c r="C16" s="338">
        <f>SUM(C17:C19)</f>
        <v>47850</v>
      </c>
      <c r="D16" s="338">
        <f t="shared" ref="D16" si="1">SUM(D17:D19)</f>
        <v>32403</v>
      </c>
      <c r="E16" s="338">
        <f>SUM(E17:E19)</f>
        <v>66000</v>
      </c>
      <c r="F16" s="338"/>
      <c r="G16" s="338">
        <f>SUM(G17:G19)</f>
        <v>66000</v>
      </c>
      <c r="H16" s="1029">
        <f>SUM(H17:H19)</f>
        <v>93910</v>
      </c>
      <c r="I16" s="339"/>
    </row>
    <row r="17" spans="1:9" ht="36.75" customHeight="1" x14ac:dyDescent="0.2">
      <c r="A17" s="341" t="s">
        <v>199</v>
      </c>
      <c r="B17" s="342" t="s">
        <v>567</v>
      </c>
      <c r="C17" s="343">
        <v>1500</v>
      </c>
      <c r="D17" s="344">
        <v>0</v>
      </c>
      <c r="E17" s="344">
        <v>0</v>
      </c>
      <c r="F17" s="1758">
        <v>2239</v>
      </c>
      <c r="G17" s="344"/>
      <c r="H17" s="1028">
        <f>ROUNDUP(G17/0.702804,0)</f>
        <v>0</v>
      </c>
      <c r="I17" s="345" t="s">
        <v>568</v>
      </c>
    </row>
    <row r="18" spans="1:9" ht="24" x14ac:dyDescent="0.2">
      <c r="A18" s="341" t="s">
        <v>206</v>
      </c>
      <c r="B18" s="347" t="s">
        <v>569</v>
      </c>
      <c r="C18" s="343">
        <v>350</v>
      </c>
      <c r="D18" s="344">
        <v>0</v>
      </c>
      <c r="E18" s="344">
        <v>0</v>
      </c>
      <c r="F18" s="1758">
        <v>2232</v>
      </c>
      <c r="G18" s="344"/>
      <c r="H18" s="1028">
        <f t="shared" ref="H18:H54" si="2">ROUNDUP(G18/0.702804,0)</f>
        <v>0</v>
      </c>
      <c r="I18" s="348"/>
    </row>
    <row r="19" spans="1:9" ht="144" x14ac:dyDescent="0.2">
      <c r="A19" s="341" t="s">
        <v>570</v>
      </c>
      <c r="B19" s="349" t="s">
        <v>571</v>
      </c>
      <c r="C19" s="301">
        <f>38000+6000+2000</f>
        <v>46000</v>
      </c>
      <c r="D19" s="344">
        <v>32403</v>
      </c>
      <c r="E19" s="344">
        <v>66000</v>
      </c>
      <c r="F19" s="1753">
        <v>2239</v>
      </c>
      <c r="G19" s="344">
        <v>66000</v>
      </c>
      <c r="H19" s="1028">
        <f t="shared" si="2"/>
        <v>93910</v>
      </c>
      <c r="I19" s="345" t="s">
        <v>572</v>
      </c>
    </row>
    <row r="20" spans="1:9" s="340" customFormat="1" x14ac:dyDescent="0.2">
      <c r="A20" s="336">
        <v>2</v>
      </c>
      <c r="B20" s="337" t="s">
        <v>573</v>
      </c>
      <c r="C20" s="350">
        <f>SUM(C21:C24)</f>
        <v>64600</v>
      </c>
      <c r="D20" s="350">
        <f t="shared" ref="D20" si="3">SUM(D21:D24)</f>
        <v>43746</v>
      </c>
      <c r="E20" s="350">
        <f>SUM(E21:E24)</f>
        <v>3000</v>
      </c>
      <c r="F20" s="350"/>
      <c r="G20" s="350">
        <f>SUM(G21:G24)</f>
        <v>3000</v>
      </c>
      <c r="H20" s="1030">
        <f>SUM(H21:H24)</f>
        <v>4269</v>
      </c>
      <c r="I20" s="351"/>
    </row>
    <row r="21" spans="1:9" ht="36" x14ac:dyDescent="0.2">
      <c r="A21" s="352" t="s">
        <v>211</v>
      </c>
      <c r="B21" s="342" t="s">
        <v>574</v>
      </c>
      <c r="C21" s="301">
        <f>47500-5000</f>
        <v>42500</v>
      </c>
      <c r="D21" s="344">
        <v>27746</v>
      </c>
      <c r="E21" s="344">
        <v>0</v>
      </c>
      <c r="F21" s="307">
        <v>5234</v>
      </c>
      <c r="G21" s="344"/>
      <c r="H21" s="1028">
        <f t="shared" si="2"/>
        <v>0</v>
      </c>
      <c r="I21" s="345" t="s">
        <v>568</v>
      </c>
    </row>
    <row r="22" spans="1:9" ht="36" x14ac:dyDescent="0.2">
      <c r="A22" s="352" t="s">
        <v>216</v>
      </c>
      <c r="B22" s="342" t="s">
        <v>575</v>
      </c>
      <c r="C22" s="301">
        <f>5300-1783-3517</f>
        <v>0</v>
      </c>
      <c r="D22" s="344">
        <v>0</v>
      </c>
      <c r="E22" s="344">
        <v>3000</v>
      </c>
      <c r="F22" s="307">
        <v>5234</v>
      </c>
      <c r="G22" s="344">
        <v>3000</v>
      </c>
      <c r="H22" s="1028">
        <f t="shared" si="2"/>
        <v>4269</v>
      </c>
      <c r="I22" s="348"/>
    </row>
    <row r="23" spans="1:9" ht="18" customHeight="1" x14ac:dyDescent="0.2">
      <c r="A23" s="2190" t="s">
        <v>219</v>
      </c>
      <c r="B23" s="2191" t="s">
        <v>576</v>
      </c>
      <c r="C23" s="301">
        <f>6000+25000-6500-10400</f>
        <v>14100</v>
      </c>
      <c r="D23" s="344">
        <v>10000</v>
      </c>
      <c r="E23" s="344">
        <v>0</v>
      </c>
      <c r="F23" s="1753">
        <v>2239</v>
      </c>
      <c r="G23" s="344"/>
      <c r="H23" s="1028">
        <f t="shared" si="2"/>
        <v>0</v>
      </c>
      <c r="I23" s="2180" t="s">
        <v>568</v>
      </c>
    </row>
    <row r="24" spans="1:9" ht="21.75" customHeight="1" x14ac:dyDescent="0.2">
      <c r="A24" s="2190"/>
      <c r="B24" s="2191"/>
      <c r="C24" s="301">
        <f>10000-2000</f>
        <v>8000</v>
      </c>
      <c r="D24" s="344">
        <v>6000</v>
      </c>
      <c r="E24" s="344">
        <v>0</v>
      </c>
      <c r="F24" s="307">
        <v>5234</v>
      </c>
      <c r="G24" s="344"/>
      <c r="H24" s="1028">
        <f t="shared" si="2"/>
        <v>0</v>
      </c>
      <c r="I24" s="2182"/>
    </row>
    <row r="25" spans="1:9" s="340" customFormat="1" x14ac:dyDescent="0.2">
      <c r="A25" s="353">
        <v>3</v>
      </c>
      <c r="B25" s="337" t="s">
        <v>577</v>
      </c>
      <c r="C25" s="354">
        <f>SUM(C26:C30)</f>
        <v>13300</v>
      </c>
      <c r="D25" s="354">
        <f t="shared" ref="D25" si="4">SUM(D26:D30)</f>
        <v>13300</v>
      </c>
      <c r="E25" s="354">
        <f>SUM(E26:E30)</f>
        <v>39500</v>
      </c>
      <c r="F25" s="354"/>
      <c r="G25" s="354">
        <f>SUM(G26:G30)</f>
        <v>43203</v>
      </c>
      <c r="H25" s="1031">
        <f>SUM(H26:H30)</f>
        <v>61475</v>
      </c>
      <c r="I25" s="355"/>
    </row>
    <row r="26" spans="1:9" ht="108" x14ac:dyDescent="0.2">
      <c r="A26" s="352" t="s">
        <v>222</v>
      </c>
      <c r="B26" s="349" t="s">
        <v>578</v>
      </c>
      <c r="C26" s="301">
        <v>8300</v>
      </c>
      <c r="D26" s="344">
        <v>8300</v>
      </c>
      <c r="E26" s="344">
        <v>10500</v>
      </c>
      <c r="F26" s="307">
        <v>2212</v>
      </c>
      <c r="G26" s="344">
        <f>10500+3703</f>
        <v>14203</v>
      </c>
      <c r="H26" s="1028">
        <f t="shared" si="2"/>
        <v>20210</v>
      </c>
      <c r="I26" s="345" t="s">
        <v>579</v>
      </c>
    </row>
    <row r="27" spans="1:9" ht="36" x14ac:dyDescent="0.2">
      <c r="A27" s="352" t="s">
        <v>227</v>
      </c>
      <c r="B27" s="347" t="s">
        <v>580</v>
      </c>
      <c r="C27" s="301">
        <v>5000</v>
      </c>
      <c r="D27" s="344">
        <v>5000</v>
      </c>
      <c r="E27" s="344">
        <v>0</v>
      </c>
      <c r="F27" s="307">
        <v>2212</v>
      </c>
      <c r="G27" s="344"/>
      <c r="H27" s="1028">
        <f t="shared" si="2"/>
        <v>0</v>
      </c>
      <c r="I27" s="345" t="s">
        <v>568</v>
      </c>
    </row>
    <row r="28" spans="1:9" ht="72" x14ac:dyDescent="0.2">
      <c r="A28" s="352" t="s">
        <v>581</v>
      </c>
      <c r="B28" s="347" t="s">
        <v>582</v>
      </c>
      <c r="C28" s="301">
        <v>0</v>
      </c>
      <c r="D28" s="344">
        <v>0</v>
      </c>
      <c r="E28" s="344">
        <v>14000</v>
      </c>
      <c r="F28" s="307">
        <v>2239</v>
      </c>
      <c r="G28" s="344">
        <v>14000</v>
      </c>
      <c r="H28" s="1028">
        <f t="shared" si="2"/>
        <v>19921</v>
      </c>
      <c r="I28" s="345" t="s">
        <v>583</v>
      </c>
    </row>
    <row r="29" spans="1:9" ht="36" x14ac:dyDescent="0.2">
      <c r="A29" s="352" t="s">
        <v>584</v>
      </c>
      <c r="B29" s="347" t="s">
        <v>585</v>
      </c>
      <c r="C29" s="301">
        <v>0</v>
      </c>
      <c r="D29" s="344">
        <v>0</v>
      </c>
      <c r="E29" s="344">
        <v>5000</v>
      </c>
      <c r="F29" s="307">
        <v>5110</v>
      </c>
      <c r="G29" s="344">
        <v>5000</v>
      </c>
      <c r="H29" s="1028">
        <f t="shared" si="2"/>
        <v>7115</v>
      </c>
      <c r="I29" s="348"/>
    </row>
    <row r="30" spans="1:9" ht="60" x14ac:dyDescent="0.2">
      <c r="A30" s="352" t="s">
        <v>586</v>
      </c>
      <c r="B30" s="347" t="s">
        <v>587</v>
      </c>
      <c r="C30" s="301">
        <v>0</v>
      </c>
      <c r="D30" s="344">
        <v>0</v>
      </c>
      <c r="E30" s="344">
        <v>10000</v>
      </c>
      <c r="F30" s="307">
        <v>2232</v>
      </c>
      <c r="G30" s="344">
        <v>10000</v>
      </c>
      <c r="H30" s="1028">
        <f t="shared" si="2"/>
        <v>14229</v>
      </c>
      <c r="I30" s="345" t="s">
        <v>588</v>
      </c>
    </row>
    <row r="31" spans="1:9" s="340" customFormat="1" x14ac:dyDescent="0.2">
      <c r="A31" s="353">
        <v>4</v>
      </c>
      <c r="B31" s="337" t="s">
        <v>589</v>
      </c>
      <c r="C31" s="350">
        <f>SUM(C32:C33)</f>
        <v>15000</v>
      </c>
      <c r="D31" s="350">
        <f t="shared" ref="D31" si="5">SUM(D32:D33)</f>
        <v>15000</v>
      </c>
      <c r="E31" s="350">
        <f>SUM(E32:E33)</f>
        <v>28500</v>
      </c>
      <c r="F31" s="350"/>
      <c r="G31" s="350">
        <f>SUM(G32:G33)</f>
        <v>28500</v>
      </c>
      <c r="H31" s="1030">
        <f>SUM(H32:H33)</f>
        <v>40552</v>
      </c>
      <c r="I31" s="351"/>
    </row>
    <row r="32" spans="1:9" ht="24" x14ac:dyDescent="0.2">
      <c r="A32" s="352" t="s">
        <v>231</v>
      </c>
      <c r="B32" s="347" t="s">
        <v>590</v>
      </c>
      <c r="C32" s="343">
        <f>3500+500</f>
        <v>4000</v>
      </c>
      <c r="D32" s="344">
        <v>4000</v>
      </c>
      <c r="E32" s="344">
        <v>4500</v>
      </c>
      <c r="F32" s="307">
        <v>2239</v>
      </c>
      <c r="G32" s="344">
        <v>4500</v>
      </c>
      <c r="H32" s="1028">
        <f t="shared" si="2"/>
        <v>6403</v>
      </c>
      <c r="I32" s="348"/>
    </row>
    <row r="33" spans="1:9" ht="132" x14ac:dyDescent="0.2">
      <c r="A33" s="352" t="s">
        <v>234</v>
      </c>
      <c r="B33" s="349" t="s">
        <v>164</v>
      </c>
      <c r="C33" s="301">
        <f>7000+4000</f>
        <v>11000</v>
      </c>
      <c r="D33" s="344">
        <v>11000</v>
      </c>
      <c r="E33" s="344">
        <v>24000</v>
      </c>
      <c r="F33" s="307">
        <v>2219</v>
      </c>
      <c r="G33" s="344">
        <v>24000</v>
      </c>
      <c r="H33" s="1028">
        <f t="shared" si="2"/>
        <v>34149</v>
      </c>
      <c r="I33" s="345" t="s">
        <v>591</v>
      </c>
    </row>
    <row r="34" spans="1:9" s="340" customFormat="1" ht="24" x14ac:dyDescent="0.2">
      <c r="A34" s="353">
        <v>5</v>
      </c>
      <c r="B34" s="337" t="s">
        <v>592</v>
      </c>
      <c r="C34" s="350">
        <f>C35</f>
        <v>500</v>
      </c>
      <c r="D34" s="350">
        <f t="shared" ref="D34" si="6">D35</f>
        <v>0</v>
      </c>
      <c r="E34" s="350">
        <f>E35</f>
        <v>0</v>
      </c>
      <c r="F34" s="350"/>
      <c r="G34" s="350">
        <f>G35</f>
        <v>0</v>
      </c>
      <c r="H34" s="1030">
        <f>H35</f>
        <v>0</v>
      </c>
      <c r="I34" s="351"/>
    </row>
    <row r="35" spans="1:9" ht="36" x14ac:dyDescent="0.2">
      <c r="A35" s="352" t="s">
        <v>237</v>
      </c>
      <c r="B35" s="342" t="s">
        <v>593</v>
      </c>
      <c r="C35" s="343">
        <v>500</v>
      </c>
      <c r="D35" s="344">
        <v>0</v>
      </c>
      <c r="E35" s="344">
        <v>0</v>
      </c>
      <c r="F35" s="356">
        <v>2231</v>
      </c>
      <c r="G35" s="344"/>
      <c r="H35" s="1028">
        <f t="shared" si="2"/>
        <v>0</v>
      </c>
      <c r="I35" s="345" t="s">
        <v>594</v>
      </c>
    </row>
    <row r="36" spans="1:9" s="359" customFormat="1" x14ac:dyDescent="0.2">
      <c r="A36" s="2195">
        <v>6</v>
      </c>
      <c r="B36" s="2198" t="s">
        <v>595</v>
      </c>
      <c r="C36" s="357">
        <f>C37+C38+C39+C40+C41+C42</f>
        <v>52786</v>
      </c>
      <c r="D36" s="357">
        <f>D37+D38+D39+D40+D41+D42</f>
        <v>50757</v>
      </c>
      <c r="E36" s="357">
        <f>E37+E38+E39+E40+E41+E42</f>
        <v>23500</v>
      </c>
      <c r="F36" s="357"/>
      <c r="G36" s="357">
        <f>G37+G38+G39+G40+G41+G42</f>
        <v>23500</v>
      </c>
      <c r="H36" s="1032">
        <f>H37+H38+H39+H40+H41+H42</f>
        <v>33439</v>
      </c>
      <c r="I36" s="358"/>
    </row>
    <row r="37" spans="1:9" s="363" customFormat="1" ht="15" customHeight="1" x14ac:dyDescent="0.2">
      <c r="A37" s="2196"/>
      <c r="B37" s="2199"/>
      <c r="C37" s="343">
        <f>35000-1000-4000-8000-12118</f>
        <v>9882</v>
      </c>
      <c r="D37" s="360">
        <v>9882</v>
      </c>
      <c r="E37" s="360"/>
      <c r="F37" s="361">
        <v>2239</v>
      </c>
      <c r="G37" s="360"/>
      <c r="H37" s="1033">
        <f t="shared" si="2"/>
        <v>0</v>
      </c>
      <c r="I37" s="362"/>
    </row>
    <row r="38" spans="1:9" s="363" customFormat="1" ht="36" x14ac:dyDescent="0.2">
      <c r="A38" s="2196"/>
      <c r="B38" s="2199"/>
      <c r="C38" s="343">
        <v>5000</v>
      </c>
      <c r="D38" s="360">
        <v>4000</v>
      </c>
      <c r="E38" s="360">
        <v>4000</v>
      </c>
      <c r="F38" s="361">
        <v>2232</v>
      </c>
      <c r="G38" s="360">
        <v>4000</v>
      </c>
      <c r="H38" s="1033">
        <f t="shared" si="2"/>
        <v>5692</v>
      </c>
      <c r="I38" s="364" t="s">
        <v>596</v>
      </c>
    </row>
    <row r="39" spans="1:9" s="363" customFormat="1" ht="96" x14ac:dyDescent="0.2">
      <c r="A39" s="2196"/>
      <c r="B39" s="2199"/>
      <c r="C39" s="343">
        <f>4987+2500+2000+9000</f>
        <v>18487</v>
      </c>
      <c r="D39" s="360">
        <v>18000</v>
      </c>
      <c r="E39" s="360">
        <v>10000</v>
      </c>
      <c r="F39" s="361">
        <v>2231</v>
      </c>
      <c r="G39" s="360">
        <v>10000</v>
      </c>
      <c r="H39" s="1033">
        <f t="shared" si="2"/>
        <v>14229</v>
      </c>
      <c r="I39" s="364" t="s">
        <v>597</v>
      </c>
    </row>
    <row r="40" spans="1:9" s="363" customFormat="1" ht="42" customHeight="1" x14ac:dyDescent="0.2">
      <c r="A40" s="2196"/>
      <c r="B40" s="2199"/>
      <c r="C40" s="343">
        <f>1000+1517</f>
        <v>2517</v>
      </c>
      <c r="D40" s="360">
        <v>2000</v>
      </c>
      <c r="E40" s="360">
        <v>1000</v>
      </c>
      <c r="F40" s="361">
        <v>2279</v>
      </c>
      <c r="G40" s="360">
        <v>1000</v>
      </c>
      <c r="H40" s="1033">
        <f t="shared" si="2"/>
        <v>1423</v>
      </c>
      <c r="I40" s="364" t="s">
        <v>598</v>
      </c>
    </row>
    <row r="41" spans="1:9" s="363" customFormat="1" ht="72" x14ac:dyDescent="0.2">
      <c r="A41" s="2196"/>
      <c r="B41" s="2199"/>
      <c r="C41" s="343">
        <f>3000+4000+1500+8000</f>
        <v>16500</v>
      </c>
      <c r="D41" s="360">
        <v>16500</v>
      </c>
      <c r="E41" s="360">
        <v>8500</v>
      </c>
      <c r="F41" s="361">
        <v>2390</v>
      </c>
      <c r="G41" s="360">
        <v>8500</v>
      </c>
      <c r="H41" s="1033">
        <f t="shared" si="2"/>
        <v>12095</v>
      </c>
      <c r="I41" s="364" t="s">
        <v>599</v>
      </c>
    </row>
    <row r="42" spans="1:9" s="363" customFormat="1" ht="15" customHeight="1" x14ac:dyDescent="0.2">
      <c r="A42" s="2197"/>
      <c r="B42" s="2200"/>
      <c r="C42" s="343">
        <v>400</v>
      </c>
      <c r="D42" s="360">
        <v>375</v>
      </c>
      <c r="E42" s="360">
        <v>0</v>
      </c>
      <c r="F42" s="361">
        <v>2264</v>
      </c>
      <c r="G42" s="360"/>
      <c r="H42" s="1033">
        <f t="shared" si="2"/>
        <v>0</v>
      </c>
      <c r="I42" s="362"/>
    </row>
    <row r="43" spans="1:9" s="340" customFormat="1" x14ac:dyDescent="0.2">
      <c r="A43" s="353">
        <v>7</v>
      </c>
      <c r="B43" s="365" t="s">
        <v>600</v>
      </c>
      <c r="C43" s="350">
        <f>SUM(C44:C54)</f>
        <v>44001</v>
      </c>
      <c r="D43" s="350">
        <f t="shared" ref="D43" si="7">SUM(D44:D54)</f>
        <v>27869</v>
      </c>
      <c r="E43" s="350">
        <f>SUM(E44:E54)</f>
        <v>22500</v>
      </c>
      <c r="F43" s="350"/>
      <c r="G43" s="350">
        <f>SUM(G44:G54)</f>
        <v>22500</v>
      </c>
      <c r="H43" s="1030">
        <f>SUM(H44:H54)</f>
        <v>32017</v>
      </c>
      <c r="I43" s="351"/>
    </row>
    <row r="44" spans="1:9" ht="24" x14ac:dyDescent="0.2">
      <c r="A44" s="352" t="s">
        <v>257</v>
      </c>
      <c r="B44" s="347" t="s">
        <v>601</v>
      </c>
      <c r="C44" s="343">
        <v>1300</v>
      </c>
      <c r="D44" s="344">
        <v>0</v>
      </c>
      <c r="E44" s="344">
        <v>0</v>
      </c>
      <c r="F44" s="356">
        <v>2231</v>
      </c>
      <c r="G44" s="344"/>
      <c r="H44" s="1028">
        <f t="shared" si="2"/>
        <v>0</v>
      </c>
      <c r="I44" s="348"/>
    </row>
    <row r="45" spans="1:9" x14ac:dyDescent="0.2">
      <c r="A45" s="2192" t="s">
        <v>261</v>
      </c>
      <c r="B45" s="1991" t="s">
        <v>602</v>
      </c>
      <c r="C45" s="301">
        <f>24670-20814</f>
        <v>3856</v>
      </c>
      <c r="D45" s="344">
        <v>3601</v>
      </c>
      <c r="E45" s="344">
        <v>0</v>
      </c>
      <c r="F45" s="307">
        <v>2239</v>
      </c>
      <c r="G45" s="344"/>
      <c r="H45" s="1028">
        <f t="shared" si="2"/>
        <v>0</v>
      </c>
      <c r="I45" s="2180" t="s">
        <v>568</v>
      </c>
    </row>
    <row r="46" spans="1:9" ht="30.75" customHeight="1" x14ac:dyDescent="0.2">
      <c r="A46" s="2192"/>
      <c r="B46" s="1991"/>
      <c r="C46" s="301">
        <f>3630+7783+20814-7000</f>
        <v>25227</v>
      </c>
      <c r="D46" s="344">
        <v>12000</v>
      </c>
      <c r="E46" s="344">
        <v>0</v>
      </c>
      <c r="F46" s="1753">
        <v>5110</v>
      </c>
      <c r="G46" s="344"/>
      <c r="H46" s="1028">
        <f t="shared" si="2"/>
        <v>0</v>
      </c>
      <c r="I46" s="2182"/>
    </row>
    <row r="47" spans="1:9" x14ac:dyDescent="0.2">
      <c r="A47" s="2192" t="s">
        <v>263</v>
      </c>
      <c r="B47" s="1991" t="s">
        <v>603</v>
      </c>
      <c r="C47" s="343">
        <v>1694</v>
      </c>
      <c r="D47" s="344">
        <v>357</v>
      </c>
      <c r="E47" s="344">
        <v>0</v>
      </c>
      <c r="F47" s="356">
        <v>2390</v>
      </c>
      <c r="G47" s="344"/>
      <c r="H47" s="1028">
        <f t="shared" si="2"/>
        <v>0</v>
      </c>
      <c r="I47" s="348"/>
    </row>
    <row r="48" spans="1:9" x14ac:dyDescent="0.2">
      <c r="A48" s="2192"/>
      <c r="B48" s="1991"/>
      <c r="C48" s="343">
        <v>6299</v>
      </c>
      <c r="D48" s="344">
        <v>6298</v>
      </c>
      <c r="E48" s="344">
        <v>0</v>
      </c>
      <c r="F48" s="356">
        <v>2264</v>
      </c>
      <c r="G48" s="344"/>
      <c r="H48" s="1028">
        <f t="shared" si="2"/>
        <v>0</v>
      </c>
      <c r="I48" s="348"/>
    </row>
    <row r="49" spans="1:9" x14ac:dyDescent="0.2">
      <c r="A49" s="2192"/>
      <c r="B49" s="1991"/>
      <c r="C49" s="343">
        <v>85</v>
      </c>
      <c r="D49" s="344">
        <v>74</v>
      </c>
      <c r="E49" s="344">
        <v>0</v>
      </c>
      <c r="F49" s="356">
        <v>2269</v>
      </c>
      <c r="G49" s="344"/>
      <c r="H49" s="1028">
        <f t="shared" si="2"/>
        <v>0</v>
      </c>
      <c r="I49" s="348"/>
    </row>
    <row r="50" spans="1:9" x14ac:dyDescent="0.2">
      <c r="A50" s="2192"/>
      <c r="B50" s="1991"/>
      <c r="C50" s="343">
        <v>2368</v>
      </c>
      <c r="D50" s="344">
        <v>2367</v>
      </c>
      <c r="E50" s="344">
        <v>0</v>
      </c>
      <c r="F50" s="356">
        <v>2279</v>
      </c>
      <c r="G50" s="344"/>
      <c r="H50" s="1028">
        <f t="shared" si="2"/>
        <v>0</v>
      </c>
      <c r="I50" s="348"/>
    </row>
    <row r="51" spans="1:9" x14ac:dyDescent="0.2">
      <c r="A51" s="2192"/>
      <c r="B51" s="1991"/>
      <c r="C51" s="343">
        <v>1672</v>
      </c>
      <c r="D51" s="344">
        <v>1672</v>
      </c>
      <c r="E51" s="344">
        <v>0</v>
      </c>
      <c r="F51" s="356">
        <v>1150</v>
      </c>
      <c r="G51" s="344"/>
      <c r="H51" s="1028">
        <f t="shared" si="2"/>
        <v>0</v>
      </c>
      <c r="I51" s="348"/>
    </row>
    <row r="52" spans="1:9" ht="36" x14ac:dyDescent="0.2">
      <c r="A52" s="352" t="s">
        <v>265</v>
      </c>
      <c r="B52" s="347" t="s">
        <v>604</v>
      </c>
      <c r="C52" s="343">
        <v>1500</v>
      </c>
      <c r="D52" s="344">
        <v>1500</v>
      </c>
      <c r="E52" s="344">
        <v>4000</v>
      </c>
      <c r="F52" s="356">
        <v>2231</v>
      </c>
      <c r="G52" s="344">
        <v>4000</v>
      </c>
      <c r="H52" s="1028">
        <f t="shared" si="2"/>
        <v>5692</v>
      </c>
      <c r="I52" s="348"/>
    </row>
    <row r="53" spans="1:9" x14ac:dyDescent="0.2">
      <c r="A53" s="366" t="s">
        <v>267</v>
      </c>
      <c r="B53" s="367" t="s">
        <v>605</v>
      </c>
      <c r="C53" s="368">
        <v>0</v>
      </c>
      <c r="D53" s="369">
        <v>0</v>
      </c>
      <c r="E53" s="369">
        <v>3500</v>
      </c>
      <c r="F53" s="370">
        <v>1150</v>
      </c>
      <c r="G53" s="369">
        <v>3500</v>
      </c>
      <c r="H53" s="1028">
        <f t="shared" si="2"/>
        <v>4981</v>
      </c>
      <c r="I53" s="371"/>
    </row>
    <row r="54" spans="1:9" ht="36" x14ac:dyDescent="0.2">
      <c r="A54" s="372" t="s">
        <v>606</v>
      </c>
      <c r="B54" s="373" t="s">
        <v>607</v>
      </c>
      <c r="C54" s="374">
        <v>0</v>
      </c>
      <c r="D54" s="375">
        <v>0</v>
      </c>
      <c r="E54" s="375">
        <v>15000</v>
      </c>
      <c r="F54" s="1760">
        <v>2279</v>
      </c>
      <c r="G54" s="375">
        <v>15000</v>
      </c>
      <c r="H54" s="1034">
        <f t="shared" si="2"/>
        <v>21344</v>
      </c>
      <c r="I54" s="376" t="s">
        <v>608</v>
      </c>
    </row>
    <row r="55" spans="1:9" x14ac:dyDescent="0.2">
      <c r="D55" s="377"/>
    </row>
    <row r="56" spans="1:9" x14ac:dyDescent="0.2">
      <c r="D56" s="377"/>
    </row>
    <row r="57" spans="1:9" s="330" customFormat="1" ht="15" x14ac:dyDescent="0.25">
      <c r="A57" s="328" t="s">
        <v>115</v>
      </c>
      <c r="B57" s="328"/>
      <c r="C57" s="2169" t="s">
        <v>564</v>
      </c>
      <c r="D57" s="2169"/>
      <c r="E57" s="2169"/>
      <c r="F57" s="2169"/>
      <c r="G57" s="2169"/>
      <c r="H57" s="2169"/>
    </row>
    <row r="58" spans="1:9" s="330" customFormat="1" ht="15" x14ac:dyDescent="0.25">
      <c r="A58" s="328" t="s">
        <v>117</v>
      </c>
      <c r="B58" s="328"/>
      <c r="C58" s="2170" t="s">
        <v>609</v>
      </c>
      <c r="D58" s="2170"/>
      <c r="E58" s="2170"/>
      <c r="F58" s="2170"/>
      <c r="G58" s="2170"/>
      <c r="H58" s="2170"/>
    </row>
    <row r="59" spans="1:9" s="328" customFormat="1" x14ac:dyDescent="0.2">
      <c r="A59" s="2183" t="s">
        <v>47</v>
      </c>
      <c r="B59" s="2185" t="s">
        <v>119</v>
      </c>
      <c r="C59" s="2185" t="s">
        <v>120</v>
      </c>
      <c r="D59" s="2185" t="s">
        <v>121</v>
      </c>
      <c r="E59" s="2185" t="s">
        <v>122</v>
      </c>
      <c r="F59" s="332"/>
      <c r="G59" s="332"/>
      <c r="H59" s="332"/>
      <c r="I59" s="2187" t="s">
        <v>126</v>
      </c>
    </row>
    <row r="60" spans="1:9" s="328" customFormat="1" ht="36" x14ac:dyDescent="0.2">
      <c r="A60" s="2184"/>
      <c r="B60" s="2186"/>
      <c r="C60" s="2186"/>
      <c r="D60" s="2186"/>
      <c r="E60" s="2186"/>
      <c r="F60" s="333" t="s">
        <v>129</v>
      </c>
      <c r="G60" s="333" t="s">
        <v>124</v>
      </c>
      <c r="H60" s="1800" t="s">
        <v>2165</v>
      </c>
      <c r="I60" s="2188"/>
    </row>
    <row r="61" spans="1:9" s="328" customFormat="1" x14ac:dyDescent="0.2">
      <c r="A61" s="2172" t="s">
        <v>2182</v>
      </c>
      <c r="B61" s="2173"/>
      <c r="C61" s="334">
        <f>C62</f>
        <v>9525</v>
      </c>
      <c r="D61" s="334">
        <f t="shared" ref="D61" si="8">D62</f>
        <v>9525</v>
      </c>
      <c r="E61" s="334">
        <f>E62</f>
        <v>9525</v>
      </c>
      <c r="F61" s="334"/>
      <c r="G61" s="334">
        <f>SUM(G62)</f>
        <v>9525</v>
      </c>
      <c r="H61" s="1027">
        <f>SUM(H62)</f>
        <v>13553</v>
      </c>
      <c r="I61" s="335"/>
    </row>
    <row r="62" spans="1:9" ht="24" x14ac:dyDescent="0.2">
      <c r="A62" s="378">
        <v>1</v>
      </c>
      <c r="B62" s="379" t="s">
        <v>2161</v>
      </c>
      <c r="C62" s="380">
        <v>9525</v>
      </c>
      <c r="D62" s="381">
        <v>9525</v>
      </c>
      <c r="E62" s="381">
        <v>9525</v>
      </c>
      <c r="F62" s="382">
        <v>2279</v>
      </c>
      <c r="G62" s="381">
        <v>9525</v>
      </c>
      <c r="H62" s="1035">
        <f>ROUNDUP(G62/0.702804,0)</f>
        <v>13553</v>
      </c>
      <c r="I62" s="383"/>
    </row>
    <row r="63" spans="1:9" s="386" customFormat="1" x14ac:dyDescent="0.2">
      <c r="A63" s="2193" t="s">
        <v>2170</v>
      </c>
      <c r="B63" s="2194"/>
      <c r="C63" s="384">
        <f>C61+C15</f>
        <v>247562</v>
      </c>
      <c r="D63" s="384">
        <f t="shared" ref="D63" si="9">D61+D15</f>
        <v>192600</v>
      </c>
      <c r="E63" s="384">
        <f>E61+E15</f>
        <v>192525</v>
      </c>
      <c r="F63" s="384"/>
      <c r="G63" s="1036">
        <f>G61+G15</f>
        <v>196228</v>
      </c>
      <c r="H63" s="1036">
        <f>H61+H15</f>
        <v>279215</v>
      </c>
      <c r="I63" s="385"/>
    </row>
  </sheetData>
  <sheetProtection password="CA5B" sheet="1" objects="1" scenarios="1"/>
  <mergeCells count="32">
    <mergeCell ref="C13:C14"/>
    <mergeCell ref="D13:D14"/>
    <mergeCell ref="E13:E14"/>
    <mergeCell ref="A63:B63"/>
    <mergeCell ref="C58:H58"/>
    <mergeCell ref="A59:A60"/>
    <mergeCell ref="B59:B60"/>
    <mergeCell ref="C59:C60"/>
    <mergeCell ref="D59:D60"/>
    <mergeCell ref="E59:E60"/>
    <mergeCell ref="A36:A42"/>
    <mergeCell ref="B36:B42"/>
    <mergeCell ref="A45:A46"/>
    <mergeCell ref="B45:B46"/>
    <mergeCell ref="A13:A14"/>
    <mergeCell ref="B13:B14"/>
    <mergeCell ref="I23:I24"/>
    <mergeCell ref="I45:I46"/>
    <mergeCell ref="F1:I3"/>
    <mergeCell ref="I59:I60"/>
    <mergeCell ref="A61:B61"/>
    <mergeCell ref="C57:H57"/>
    <mergeCell ref="I13:I14"/>
    <mergeCell ref="A15:B15"/>
    <mergeCell ref="A23:A24"/>
    <mergeCell ref="B23:B24"/>
    <mergeCell ref="A47:A51"/>
    <mergeCell ref="B47:B51"/>
    <mergeCell ref="A8:H8"/>
    <mergeCell ref="C10:H10"/>
    <mergeCell ref="C11:H11"/>
    <mergeCell ref="C12:H12"/>
  </mergeCells>
  <pageMargins left="1.0629921259842521" right="0.11811023622047245" top="0.59055118110236227" bottom="0.39370078740157483" header="0.31496062992125984" footer="0.31496062992125984"/>
  <pageSetup paperSize="9" scale="7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24"/>
  <sheetViews>
    <sheetView zoomScaleNormal="100" zoomScaleSheetLayoutView="100" workbookViewId="0">
      <selection activeCell="N15" sqref="N15"/>
    </sheetView>
  </sheetViews>
  <sheetFormatPr defaultRowHeight="12.75" x14ac:dyDescent="0.2"/>
  <cols>
    <col min="1" max="1" width="5.85546875" style="242" customWidth="1"/>
    <col min="2" max="2" width="26.85546875" style="242" customWidth="1"/>
    <col min="3" max="3" width="13.28515625" style="242" customWidth="1"/>
    <col min="4" max="4" width="9.140625" style="242"/>
    <col min="5" max="5" width="9.85546875" style="242" hidden="1" customWidth="1"/>
    <col min="6" max="6" width="9.85546875" style="242" customWidth="1"/>
    <col min="7" max="7" width="9.140625" style="242"/>
    <col min="8" max="8" width="9.7109375" style="297" customWidth="1"/>
    <col min="9" max="9" width="11.28515625" style="242" hidden="1" customWidth="1"/>
    <col min="10" max="10" width="11.140625" style="242" customWidth="1"/>
    <col min="11" max="11" width="13.140625" style="298" bestFit="1" customWidth="1"/>
    <col min="12" max="251" width="9.140625" style="242"/>
    <col min="252" max="252" width="5.85546875" style="242" customWidth="1"/>
    <col min="253" max="253" width="26.85546875" style="242" customWidth="1"/>
    <col min="254" max="254" width="13.28515625" style="242" customWidth="1"/>
    <col min="255" max="255" width="9.140625" style="242"/>
    <col min="256" max="257" width="9.85546875" style="242" customWidth="1"/>
    <col min="258" max="258" width="9.140625" style="242"/>
    <col min="259" max="259" width="9.7109375" style="242" customWidth="1"/>
    <col min="260" max="260" width="11.28515625" style="242" customWidth="1"/>
    <col min="261" max="261" width="11.140625" style="242" customWidth="1"/>
    <col min="262" max="262" width="11" style="242" customWidth="1"/>
    <col min="263" max="265" width="9.140625" style="242"/>
    <col min="266" max="266" width="11.140625" style="242" customWidth="1"/>
    <col min="267" max="507" width="9.140625" style="242"/>
    <col min="508" max="508" width="5.85546875" style="242" customWidth="1"/>
    <col min="509" max="509" width="26.85546875" style="242" customWidth="1"/>
    <col min="510" max="510" width="13.28515625" style="242" customWidth="1"/>
    <col min="511" max="511" width="9.140625" style="242"/>
    <col min="512" max="513" width="9.85546875" style="242" customWidth="1"/>
    <col min="514" max="514" width="9.140625" style="242"/>
    <col min="515" max="515" width="9.7109375" style="242" customWidth="1"/>
    <col min="516" max="516" width="11.28515625" style="242" customWidth="1"/>
    <col min="517" max="517" width="11.140625" style="242" customWidth="1"/>
    <col min="518" max="518" width="11" style="242" customWidth="1"/>
    <col min="519" max="521" width="9.140625" style="242"/>
    <col min="522" max="522" width="11.140625" style="242" customWidth="1"/>
    <col min="523" max="763" width="9.140625" style="242"/>
    <col min="764" max="764" width="5.85546875" style="242" customWidth="1"/>
    <col min="765" max="765" width="26.85546875" style="242" customWidth="1"/>
    <col min="766" max="766" width="13.28515625" style="242" customWidth="1"/>
    <col min="767" max="767" width="9.140625" style="242"/>
    <col min="768" max="769" width="9.85546875" style="242" customWidth="1"/>
    <col min="770" max="770" width="9.140625" style="242"/>
    <col min="771" max="771" width="9.7109375" style="242" customWidth="1"/>
    <col min="772" max="772" width="11.28515625" style="242" customWidth="1"/>
    <col min="773" max="773" width="11.140625" style="242" customWidth="1"/>
    <col min="774" max="774" width="11" style="242" customWidth="1"/>
    <col min="775" max="777" width="9.140625" style="242"/>
    <col min="778" max="778" width="11.140625" style="242" customWidth="1"/>
    <col min="779" max="1019" width="9.140625" style="242"/>
    <col min="1020" max="1020" width="5.85546875" style="242" customWidth="1"/>
    <col min="1021" max="1021" width="26.85546875" style="242" customWidth="1"/>
    <col min="1022" max="1022" width="13.28515625" style="242" customWidth="1"/>
    <col min="1023" max="1023" width="9.140625" style="242"/>
    <col min="1024" max="1025" width="9.85546875" style="242" customWidth="1"/>
    <col min="1026" max="1026" width="9.140625" style="242"/>
    <col min="1027" max="1027" width="9.7109375" style="242" customWidth="1"/>
    <col min="1028" max="1028" width="11.28515625" style="242" customWidth="1"/>
    <col min="1029" max="1029" width="11.140625" style="242" customWidth="1"/>
    <col min="1030" max="1030" width="11" style="242" customWidth="1"/>
    <col min="1031" max="1033" width="9.140625" style="242"/>
    <col min="1034" max="1034" width="11.140625" style="242" customWidth="1"/>
    <col min="1035" max="1275" width="9.140625" style="242"/>
    <col min="1276" max="1276" width="5.85546875" style="242" customWidth="1"/>
    <col min="1277" max="1277" width="26.85546875" style="242" customWidth="1"/>
    <col min="1278" max="1278" width="13.28515625" style="242" customWidth="1"/>
    <col min="1279" max="1279" width="9.140625" style="242"/>
    <col min="1280" max="1281" width="9.85546875" style="242" customWidth="1"/>
    <col min="1282" max="1282" width="9.140625" style="242"/>
    <col min="1283" max="1283" width="9.7109375" style="242" customWidth="1"/>
    <col min="1284" max="1284" width="11.28515625" style="242" customWidth="1"/>
    <col min="1285" max="1285" width="11.140625" style="242" customWidth="1"/>
    <col min="1286" max="1286" width="11" style="242" customWidth="1"/>
    <col min="1287" max="1289" width="9.140625" style="242"/>
    <col min="1290" max="1290" width="11.140625" style="242" customWidth="1"/>
    <col min="1291" max="1531" width="9.140625" style="242"/>
    <col min="1532" max="1532" width="5.85546875" style="242" customWidth="1"/>
    <col min="1533" max="1533" width="26.85546875" style="242" customWidth="1"/>
    <col min="1534" max="1534" width="13.28515625" style="242" customWidth="1"/>
    <col min="1535" max="1535" width="9.140625" style="242"/>
    <col min="1536" max="1537" width="9.85546875" style="242" customWidth="1"/>
    <col min="1538" max="1538" width="9.140625" style="242"/>
    <col min="1539" max="1539" width="9.7109375" style="242" customWidth="1"/>
    <col min="1540" max="1540" width="11.28515625" style="242" customWidth="1"/>
    <col min="1541" max="1541" width="11.140625" style="242" customWidth="1"/>
    <col min="1542" max="1542" width="11" style="242" customWidth="1"/>
    <col min="1543" max="1545" width="9.140625" style="242"/>
    <col min="1546" max="1546" width="11.140625" style="242" customWidth="1"/>
    <col min="1547" max="1787" width="9.140625" style="242"/>
    <col min="1788" max="1788" width="5.85546875" style="242" customWidth="1"/>
    <col min="1789" max="1789" width="26.85546875" style="242" customWidth="1"/>
    <col min="1790" max="1790" width="13.28515625" style="242" customWidth="1"/>
    <col min="1791" max="1791" width="9.140625" style="242"/>
    <col min="1792" max="1793" width="9.85546875" style="242" customWidth="1"/>
    <col min="1794" max="1794" width="9.140625" style="242"/>
    <col min="1795" max="1795" width="9.7109375" style="242" customWidth="1"/>
    <col min="1796" max="1796" width="11.28515625" style="242" customWidth="1"/>
    <col min="1797" max="1797" width="11.140625" style="242" customWidth="1"/>
    <col min="1798" max="1798" width="11" style="242" customWidth="1"/>
    <col min="1799" max="1801" width="9.140625" style="242"/>
    <col min="1802" max="1802" width="11.140625" style="242" customWidth="1"/>
    <col min="1803" max="2043" width="9.140625" style="242"/>
    <col min="2044" max="2044" width="5.85546875" style="242" customWidth="1"/>
    <col min="2045" max="2045" width="26.85546875" style="242" customWidth="1"/>
    <col min="2046" max="2046" width="13.28515625" style="242" customWidth="1"/>
    <col min="2047" max="2047" width="9.140625" style="242"/>
    <col min="2048" max="2049" width="9.85546875" style="242" customWidth="1"/>
    <col min="2050" max="2050" width="9.140625" style="242"/>
    <col min="2051" max="2051" width="9.7109375" style="242" customWidth="1"/>
    <col min="2052" max="2052" width="11.28515625" style="242" customWidth="1"/>
    <col min="2053" max="2053" width="11.140625" style="242" customWidth="1"/>
    <col min="2054" max="2054" width="11" style="242" customWidth="1"/>
    <col min="2055" max="2057" width="9.140625" style="242"/>
    <col min="2058" max="2058" width="11.140625" style="242" customWidth="1"/>
    <col min="2059" max="2299" width="9.140625" style="242"/>
    <col min="2300" max="2300" width="5.85546875" style="242" customWidth="1"/>
    <col min="2301" max="2301" width="26.85546875" style="242" customWidth="1"/>
    <col min="2302" max="2302" width="13.28515625" style="242" customWidth="1"/>
    <col min="2303" max="2303" width="9.140625" style="242"/>
    <col min="2304" max="2305" width="9.85546875" style="242" customWidth="1"/>
    <col min="2306" max="2306" width="9.140625" style="242"/>
    <col min="2307" max="2307" width="9.7109375" style="242" customWidth="1"/>
    <col min="2308" max="2308" width="11.28515625" style="242" customWidth="1"/>
    <col min="2309" max="2309" width="11.140625" style="242" customWidth="1"/>
    <col min="2310" max="2310" width="11" style="242" customWidth="1"/>
    <col min="2311" max="2313" width="9.140625" style="242"/>
    <col min="2314" max="2314" width="11.140625" style="242" customWidth="1"/>
    <col min="2315" max="2555" width="9.140625" style="242"/>
    <col min="2556" max="2556" width="5.85546875" style="242" customWidth="1"/>
    <col min="2557" max="2557" width="26.85546875" style="242" customWidth="1"/>
    <col min="2558" max="2558" width="13.28515625" style="242" customWidth="1"/>
    <col min="2559" max="2559" width="9.140625" style="242"/>
    <col min="2560" max="2561" width="9.85546875" style="242" customWidth="1"/>
    <col min="2562" max="2562" width="9.140625" style="242"/>
    <col min="2563" max="2563" width="9.7109375" style="242" customWidth="1"/>
    <col min="2564" max="2564" width="11.28515625" style="242" customWidth="1"/>
    <col min="2565" max="2565" width="11.140625" style="242" customWidth="1"/>
    <col min="2566" max="2566" width="11" style="242" customWidth="1"/>
    <col min="2567" max="2569" width="9.140625" style="242"/>
    <col min="2570" max="2570" width="11.140625" style="242" customWidth="1"/>
    <col min="2571" max="2811" width="9.140625" style="242"/>
    <col min="2812" max="2812" width="5.85546875" style="242" customWidth="1"/>
    <col min="2813" max="2813" width="26.85546875" style="242" customWidth="1"/>
    <col min="2814" max="2814" width="13.28515625" style="242" customWidth="1"/>
    <col min="2815" max="2815" width="9.140625" style="242"/>
    <col min="2816" max="2817" width="9.85546875" style="242" customWidth="1"/>
    <col min="2818" max="2818" width="9.140625" style="242"/>
    <col min="2819" max="2819" width="9.7109375" style="242" customWidth="1"/>
    <col min="2820" max="2820" width="11.28515625" style="242" customWidth="1"/>
    <col min="2821" max="2821" width="11.140625" style="242" customWidth="1"/>
    <col min="2822" max="2822" width="11" style="242" customWidth="1"/>
    <col min="2823" max="2825" width="9.140625" style="242"/>
    <col min="2826" max="2826" width="11.140625" style="242" customWidth="1"/>
    <col min="2827" max="3067" width="9.140625" style="242"/>
    <col min="3068" max="3068" width="5.85546875" style="242" customWidth="1"/>
    <col min="3069" max="3069" width="26.85546875" style="242" customWidth="1"/>
    <col min="3070" max="3070" width="13.28515625" style="242" customWidth="1"/>
    <col min="3071" max="3071" width="9.140625" style="242"/>
    <col min="3072" max="3073" width="9.85546875" style="242" customWidth="1"/>
    <col min="3074" max="3074" width="9.140625" style="242"/>
    <col min="3075" max="3075" width="9.7109375" style="242" customWidth="1"/>
    <col min="3076" max="3076" width="11.28515625" style="242" customWidth="1"/>
    <col min="3077" max="3077" width="11.140625" style="242" customWidth="1"/>
    <col min="3078" max="3078" width="11" style="242" customWidth="1"/>
    <col min="3079" max="3081" width="9.140625" style="242"/>
    <col min="3082" max="3082" width="11.140625" style="242" customWidth="1"/>
    <col min="3083" max="3323" width="9.140625" style="242"/>
    <col min="3324" max="3324" width="5.85546875" style="242" customWidth="1"/>
    <col min="3325" max="3325" width="26.85546875" style="242" customWidth="1"/>
    <col min="3326" max="3326" width="13.28515625" style="242" customWidth="1"/>
    <col min="3327" max="3327" width="9.140625" style="242"/>
    <col min="3328" max="3329" width="9.85546875" style="242" customWidth="1"/>
    <col min="3330" max="3330" width="9.140625" style="242"/>
    <col min="3331" max="3331" width="9.7109375" style="242" customWidth="1"/>
    <col min="3332" max="3332" width="11.28515625" style="242" customWidth="1"/>
    <col min="3333" max="3333" width="11.140625" style="242" customWidth="1"/>
    <col min="3334" max="3334" width="11" style="242" customWidth="1"/>
    <col min="3335" max="3337" width="9.140625" style="242"/>
    <col min="3338" max="3338" width="11.140625" style="242" customWidth="1"/>
    <col min="3339" max="3579" width="9.140625" style="242"/>
    <col min="3580" max="3580" width="5.85546875" style="242" customWidth="1"/>
    <col min="3581" max="3581" width="26.85546875" style="242" customWidth="1"/>
    <col min="3582" max="3582" width="13.28515625" style="242" customWidth="1"/>
    <col min="3583" max="3583" width="9.140625" style="242"/>
    <col min="3584" max="3585" width="9.85546875" style="242" customWidth="1"/>
    <col min="3586" max="3586" width="9.140625" style="242"/>
    <col min="3587" max="3587" width="9.7109375" style="242" customWidth="1"/>
    <col min="3588" max="3588" width="11.28515625" style="242" customWidth="1"/>
    <col min="3589" max="3589" width="11.140625" style="242" customWidth="1"/>
    <col min="3590" max="3590" width="11" style="242" customWidth="1"/>
    <col min="3591" max="3593" width="9.140625" style="242"/>
    <col min="3594" max="3594" width="11.140625" style="242" customWidth="1"/>
    <col min="3595" max="3835" width="9.140625" style="242"/>
    <col min="3836" max="3836" width="5.85546875" style="242" customWidth="1"/>
    <col min="3837" max="3837" width="26.85546875" style="242" customWidth="1"/>
    <col min="3838" max="3838" width="13.28515625" style="242" customWidth="1"/>
    <col min="3839" max="3839" width="9.140625" style="242"/>
    <col min="3840" max="3841" width="9.85546875" style="242" customWidth="1"/>
    <col min="3842" max="3842" width="9.140625" style="242"/>
    <col min="3843" max="3843" width="9.7109375" style="242" customWidth="1"/>
    <col min="3844" max="3844" width="11.28515625" style="242" customWidth="1"/>
    <col min="3845" max="3845" width="11.140625" style="242" customWidth="1"/>
    <col min="3846" max="3846" width="11" style="242" customWidth="1"/>
    <col min="3847" max="3849" width="9.140625" style="242"/>
    <col min="3850" max="3850" width="11.140625" style="242" customWidth="1"/>
    <col min="3851" max="4091" width="9.140625" style="242"/>
    <col min="4092" max="4092" width="5.85546875" style="242" customWidth="1"/>
    <col min="4093" max="4093" width="26.85546875" style="242" customWidth="1"/>
    <col min="4094" max="4094" width="13.28515625" style="242" customWidth="1"/>
    <col min="4095" max="4095" width="9.140625" style="242"/>
    <col min="4096" max="4097" width="9.85546875" style="242" customWidth="1"/>
    <col min="4098" max="4098" width="9.140625" style="242"/>
    <col min="4099" max="4099" width="9.7109375" style="242" customWidth="1"/>
    <col min="4100" max="4100" width="11.28515625" style="242" customWidth="1"/>
    <col min="4101" max="4101" width="11.140625" style="242" customWidth="1"/>
    <col min="4102" max="4102" width="11" style="242" customWidth="1"/>
    <col min="4103" max="4105" width="9.140625" style="242"/>
    <col min="4106" max="4106" width="11.140625" style="242" customWidth="1"/>
    <col min="4107" max="4347" width="9.140625" style="242"/>
    <col min="4348" max="4348" width="5.85546875" style="242" customWidth="1"/>
    <col min="4349" max="4349" width="26.85546875" style="242" customWidth="1"/>
    <col min="4350" max="4350" width="13.28515625" style="242" customWidth="1"/>
    <col min="4351" max="4351" width="9.140625" style="242"/>
    <col min="4352" max="4353" width="9.85546875" style="242" customWidth="1"/>
    <col min="4354" max="4354" width="9.140625" style="242"/>
    <col min="4355" max="4355" width="9.7109375" style="242" customWidth="1"/>
    <col min="4356" max="4356" width="11.28515625" style="242" customWidth="1"/>
    <col min="4357" max="4357" width="11.140625" style="242" customWidth="1"/>
    <col min="4358" max="4358" width="11" style="242" customWidth="1"/>
    <col min="4359" max="4361" width="9.140625" style="242"/>
    <col min="4362" max="4362" width="11.140625" style="242" customWidth="1"/>
    <col min="4363" max="4603" width="9.140625" style="242"/>
    <col min="4604" max="4604" width="5.85546875" style="242" customWidth="1"/>
    <col min="4605" max="4605" width="26.85546875" style="242" customWidth="1"/>
    <col min="4606" max="4606" width="13.28515625" style="242" customWidth="1"/>
    <col min="4607" max="4607" width="9.140625" style="242"/>
    <col min="4608" max="4609" width="9.85546875" style="242" customWidth="1"/>
    <col min="4610" max="4610" width="9.140625" style="242"/>
    <col min="4611" max="4611" width="9.7109375" style="242" customWidth="1"/>
    <col min="4612" max="4612" width="11.28515625" style="242" customWidth="1"/>
    <col min="4613" max="4613" width="11.140625" style="242" customWidth="1"/>
    <col min="4614" max="4614" width="11" style="242" customWidth="1"/>
    <col min="4615" max="4617" width="9.140625" style="242"/>
    <col min="4618" max="4618" width="11.140625" style="242" customWidth="1"/>
    <col min="4619" max="4859" width="9.140625" style="242"/>
    <col min="4860" max="4860" width="5.85546875" style="242" customWidth="1"/>
    <col min="4861" max="4861" width="26.85546875" style="242" customWidth="1"/>
    <col min="4862" max="4862" width="13.28515625" style="242" customWidth="1"/>
    <col min="4863" max="4863" width="9.140625" style="242"/>
    <col min="4864" max="4865" width="9.85546875" style="242" customWidth="1"/>
    <col min="4866" max="4866" width="9.140625" style="242"/>
    <col min="4867" max="4867" width="9.7109375" style="242" customWidth="1"/>
    <col min="4868" max="4868" width="11.28515625" style="242" customWidth="1"/>
    <col min="4869" max="4869" width="11.140625" style="242" customWidth="1"/>
    <col min="4870" max="4870" width="11" style="242" customWidth="1"/>
    <col min="4871" max="4873" width="9.140625" style="242"/>
    <col min="4874" max="4874" width="11.140625" style="242" customWidth="1"/>
    <col min="4875" max="5115" width="9.140625" style="242"/>
    <col min="5116" max="5116" width="5.85546875" style="242" customWidth="1"/>
    <col min="5117" max="5117" width="26.85546875" style="242" customWidth="1"/>
    <col min="5118" max="5118" width="13.28515625" style="242" customWidth="1"/>
    <col min="5119" max="5119" width="9.140625" style="242"/>
    <col min="5120" max="5121" width="9.85546875" style="242" customWidth="1"/>
    <col min="5122" max="5122" width="9.140625" style="242"/>
    <col min="5123" max="5123" width="9.7109375" style="242" customWidth="1"/>
    <col min="5124" max="5124" width="11.28515625" style="242" customWidth="1"/>
    <col min="5125" max="5125" width="11.140625" style="242" customWidth="1"/>
    <col min="5126" max="5126" width="11" style="242" customWidth="1"/>
    <col min="5127" max="5129" width="9.140625" style="242"/>
    <col min="5130" max="5130" width="11.140625" style="242" customWidth="1"/>
    <col min="5131" max="5371" width="9.140625" style="242"/>
    <col min="5372" max="5372" width="5.85546875" style="242" customWidth="1"/>
    <col min="5373" max="5373" width="26.85546875" style="242" customWidth="1"/>
    <col min="5374" max="5374" width="13.28515625" style="242" customWidth="1"/>
    <col min="5375" max="5375" width="9.140625" style="242"/>
    <col min="5376" max="5377" width="9.85546875" style="242" customWidth="1"/>
    <col min="5378" max="5378" width="9.140625" style="242"/>
    <col min="5379" max="5379" width="9.7109375" style="242" customWidth="1"/>
    <col min="5380" max="5380" width="11.28515625" style="242" customWidth="1"/>
    <col min="5381" max="5381" width="11.140625" style="242" customWidth="1"/>
    <col min="5382" max="5382" width="11" style="242" customWidth="1"/>
    <col min="5383" max="5385" width="9.140625" style="242"/>
    <col min="5386" max="5386" width="11.140625" style="242" customWidth="1"/>
    <col min="5387" max="5627" width="9.140625" style="242"/>
    <col min="5628" max="5628" width="5.85546875" style="242" customWidth="1"/>
    <col min="5629" max="5629" width="26.85546875" style="242" customWidth="1"/>
    <col min="5630" max="5630" width="13.28515625" style="242" customWidth="1"/>
    <col min="5631" max="5631" width="9.140625" style="242"/>
    <col min="5632" max="5633" width="9.85546875" style="242" customWidth="1"/>
    <col min="5634" max="5634" width="9.140625" style="242"/>
    <col min="5635" max="5635" width="9.7109375" style="242" customWidth="1"/>
    <col min="5636" max="5636" width="11.28515625" style="242" customWidth="1"/>
    <col min="5637" max="5637" width="11.140625" style="242" customWidth="1"/>
    <col min="5638" max="5638" width="11" style="242" customWidth="1"/>
    <col min="5639" max="5641" width="9.140625" style="242"/>
    <col min="5642" max="5642" width="11.140625" style="242" customWidth="1"/>
    <col min="5643" max="5883" width="9.140625" style="242"/>
    <col min="5884" max="5884" width="5.85546875" style="242" customWidth="1"/>
    <col min="5885" max="5885" width="26.85546875" style="242" customWidth="1"/>
    <col min="5886" max="5886" width="13.28515625" style="242" customWidth="1"/>
    <col min="5887" max="5887" width="9.140625" style="242"/>
    <col min="5888" max="5889" width="9.85546875" style="242" customWidth="1"/>
    <col min="5890" max="5890" width="9.140625" style="242"/>
    <col min="5891" max="5891" width="9.7109375" style="242" customWidth="1"/>
    <col min="5892" max="5892" width="11.28515625" style="242" customWidth="1"/>
    <col min="5893" max="5893" width="11.140625" style="242" customWidth="1"/>
    <col min="5894" max="5894" width="11" style="242" customWidth="1"/>
    <col min="5895" max="5897" width="9.140625" style="242"/>
    <col min="5898" max="5898" width="11.140625" style="242" customWidth="1"/>
    <col min="5899" max="6139" width="9.140625" style="242"/>
    <col min="6140" max="6140" width="5.85546875" style="242" customWidth="1"/>
    <col min="6141" max="6141" width="26.85546875" style="242" customWidth="1"/>
    <col min="6142" max="6142" width="13.28515625" style="242" customWidth="1"/>
    <col min="6143" max="6143" width="9.140625" style="242"/>
    <col min="6144" max="6145" width="9.85546875" style="242" customWidth="1"/>
    <col min="6146" max="6146" width="9.140625" style="242"/>
    <col min="6147" max="6147" width="9.7109375" style="242" customWidth="1"/>
    <col min="6148" max="6148" width="11.28515625" style="242" customWidth="1"/>
    <col min="6149" max="6149" width="11.140625" style="242" customWidth="1"/>
    <col min="6150" max="6150" width="11" style="242" customWidth="1"/>
    <col min="6151" max="6153" width="9.140625" style="242"/>
    <col min="6154" max="6154" width="11.140625" style="242" customWidth="1"/>
    <col min="6155" max="6395" width="9.140625" style="242"/>
    <col min="6396" max="6396" width="5.85546875" style="242" customWidth="1"/>
    <col min="6397" max="6397" width="26.85546875" style="242" customWidth="1"/>
    <col min="6398" max="6398" width="13.28515625" style="242" customWidth="1"/>
    <col min="6399" max="6399" width="9.140625" style="242"/>
    <col min="6400" max="6401" width="9.85546875" style="242" customWidth="1"/>
    <col min="6402" max="6402" width="9.140625" style="242"/>
    <col min="6403" max="6403" width="9.7109375" style="242" customWidth="1"/>
    <col min="6404" max="6404" width="11.28515625" style="242" customWidth="1"/>
    <col min="6405" max="6405" width="11.140625" style="242" customWidth="1"/>
    <col min="6406" max="6406" width="11" style="242" customWidth="1"/>
    <col min="6407" max="6409" width="9.140625" style="242"/>
    <col min="6410" max="6410" width="11.140625" style="242" customWidth="1"/>
    <col min="6411" max="6651" width="9.140625" style="242"/>
    <col min="6652" max="6652" width="5.85546875" style="242" customWidth="1"/>
    <col min="6653" max="6653" width="26.85546875" style="242" customWidth="1"/>
    <col min="6654" max="6654" width="13.28515625" style="242" customWidth="1"/>
    <col min="6655" max="6655" width="9.140625" style="242"/>
    <col min="6656" max="6657" width="9.85546875" style="242" customWidth="1"/>
    <col min="6658" max="6658" width="9.140625" style="242"/>
    <col min="6659" max="6659" width="9.7109375" style="242" customWidth="1"/>
    <col min="6660" max="6660" width="11.28515625" style="242" customWidth="1"/>
    <col min="6661" max="6661" width="11.140625" style="242" customWidth="1"/>
    <col min="6662" max="6662" width="11" style="242" customWidth="1"/>
    <col min="6663" max="6665" width="9.140625" style="242"/>
    <col min="6666" max="6666" width="11.140625" style="242" customWidth="1"/>
    <col min="6667" max="6907" width="9.140625" style="242"/>
    <col min="6908" max="6908" width="5.85546875" style="242" customWidth="1"/>
    <col min="6909" max="6909" width="26.85546875" style="242" customWidth="1"/>
    <col min="6910" max="6910" width="13.28515625" style="242" customWidth="1"/>
    <col min="6911" max="6911" width="9.140625" style="242"/>
    <col min="6912" max="6913" width="9.85546875" style="242" customWidth="1"/>
    <col min="6914" max="6914" width="9.140625" style="242"/>
    <col min="6915" max="6915" width="9.7109375" style="242" customWidth="1"/>
    <col min="6916" max="6916" width="11.28515625" style="242" customWidth="1"/>
    <col min="6917" max="6917" width="11.140625" style="242" customWidth="1"/>
    <col min="6918" max="6918" width="11" style="242" customWidth="1"/>
    <col min="6919" max="6921" width="9.140625" style="242"/>
    <col min="6922" max="6922" width="11.140625" style="242" customWidth="1"/>
    <col min="6923" max="7163" width="9.140625" style="242"/>
    <col min="7164" max="7164" width="5.85546875" style="242" customWidth="1"/>
    <col min="7165" max="7165" width="26.85546875" style="242" customWidth="1"/>
    <col min="7166" max="7166" width="13.28515625" style="242" customWidth="1"/>
    <col min="7167" max="7167" width="9.140625" style="242"/>
    <col min="7168" max="7169" width="9.85546875" style="242" customWidth="1"/>
    <col min="7170" max="7170" width="9.140625" style="242"/>
    <col min="7171" max="7171" width="9.7109375" style="242" customWidth="1"/>
    <col min="7172" max="7172" width="11.28515625" style="242" customWidth="1"/>
    <col min="7173" max="7173" width="11.140625" style="242" customWidth="1"/>
    <col min="7174" max="7174" width="11" style="242" customWidth="1"/>
    <col min="7175" max="7177" width="9.140625" style="242"/>
    <col min="7178" max="7178" width="11.140625" style="242" customWidth="1"/>
    <col min="7179" max="7419" width="9.140625" style="242"/>
    <col min="7420" max="7420" width="5.85546875" style="242" customWidth="1"/>
    <col min="7421" max="7421" width="26.85546875" style="242" customWidth="1"/>
    <col min="7422" max="7422" width="13.28515625" style="242" customWidth="1"/>
    <col min="7423" max="7423" width="9.140625" style="242"/>
    <col min="7424" max="7425" width="9.85546875" style="242" customWidth="1"/>
    <col min="7426" max="7426" width="9.140625" style="242"/>
    <col min="7427" max="7427" width="9.7109375" style="242" customWidth="1"/>
    <col min="7428" max="7428" width="11.28515625" style="242" customWidth="1"/>
    <col min="7429" max="7429" width="11.140625" style="242" customWidth="1"/>
    <col min="7430" max="7430" width="11" style="242" customWidth="1"/>
    <col min="7431" max="7433" width="9.140625" style="242"/>
    <col min="7434" max="7434" width="11.140625" style="242" customWidth="1"/>
    <col min="7435" max="7675" width="9.140625" style="242"/>
    <col min="7676" max="7676" width="5.85546875" style="242" customWidth="1"/>
    <col min="7677" max="7677" width="26.85546875" style="242" customWidth="1"/>
    <col min="7678" max="7678" width="13.28515625" style="242" customWidth="1"/>
    <col min="7679" max="7679" width="9.140625" style="242"/>
    <col min="7680" max="7681" width="9.85546875" style="242" customWidth="1"/>
    <col min="7682" max="7682" width="9.140625" style="242"/>
    <col min="7683" max="7683" width="9.7109375" style="242" customWidth="1"/>
    <col min="7684" max="7684" width="11.28515625" style="242" customWidth="1"/>
    <col min="7685" max="7685" width="11.140625" style="242" customWidth="1"/>
    <col min="7686" max="7686" width="11" style="242" customWidth="1"/>
    <col min="7687" max="7689" width="9.140625" style="242"/>
    <col min="7690" max="7690" width="11.140625" style="242" customWidth="1"/>
    <col min="7691" max="7931" width="9.140625" style="242"/>
    <col min="7932" max="7932" width="5.85546875" style="242" customWidth="1"/>
    <col min="7933" max="7933" width="26.85546875" style="242" customWidth="1"/>
    <col min="7934" max="7934" width="13.28515625" style="242" customWidth="1"/>
    <col min="7935" max="7935" width="9.140625" style="242"/>
    <col min="7936" max="7937" width="9.85546875" style="242" customWidth="1"/>
    <col min="7938" max="7938" width="9.140625" style="242"/>
    <col min="7939" max="7939" width="9.7109375" style="242" customWidth="1"/>
    <col min="7940" max="7940" width="11.28515625" style="242" customWidth="1"/>
    <col min="7941" max="7941" width="11.140625" style="242" customWidth="1"/>
    <col min="7942" max="7942" width="11" style="242" customWidth="1"/>
    <col min="7943" max="7945" width="9.140625" style="242"/>
    <col min="7946" max="7946" width="11.140625" style="242" customWidth="1"/>
    <col min="7947" max="8187" width="9.140625" style="242"/>
    <col min="8188" max="8188" width="5.85546875" style="242" customWidth="1"/>
    <col min="8189" max="8189" width="26.85546875" style="242" customWidth="1"/>
    <col min="8190" max="8190" width="13.28515625" style="242" customWidth="1"/>
    <col min="8191" max="8191" width="9.140625" style="242"/>
    <col min="8192" max="8193" width="9.85546875" style="242" customWidth="1"/>
    <col min="8194" max="8194" width="9.140625" style="242"/>
    <col min="8195" max="8195" width="9.7109375" style="242" customWidth="1"/>
    <col min="8196" max="8196" width="11.28515625" style="242" customWidth="1"/>
    <col min="8197" max="8197" width="11.140625" style="242" customWidth="1"/>
    <col min="8198" max="8198" width="11" style="242" customWidth="1"/>
    <col min="8199" max="8201" width="9.140625" style="242"/>
    <col min="8202" max="8202" width="11.140625" style="242" customWidth="1"/>
    <col min="8203" max="8443" width="9.140625" style="242"/>
    <col min="8444" max="8444" width="5.85546875" style="242" customWidth="1"/>
    <col min="8445" max="8445" width="26.85546875" style="242" customWidth="1"/>
    <col min="8446" max="8446" width="13.28515625" style="242" customWidth="1"/>
    <col min="8447" max="8447" width="9.140625" style="242"/>
    <col min="8448" max="8449" width="9.85546875" style="242" customWidth="1"/>
    <col min="8450" max="8450" width="9.140625" style="242"/>
    <col min="8451" max="8451" width="9.7109375" style="242" customWidth="1"/>
    <col min="8452" max="8452" width="11.28515625" style="242" customWidth="1"/>
    <col min="8453" max="8453" width="11.140625" style="242" customWidth="1"/>
    <col min="8454" max="8454" width="11" style="242" customWidth="1"/>
    <col min="8455" max="8457" width="9.140625" style="242"/>
    <col min="8458" max="8458" width="11.140625" style="242" customWidth="1"/>
    <col min="8459" max="8699" width="9.140625" style="242"/>
    <col min="8700" max="8700" width="5.85546875" style="242" customWidth="1"/>
    <col min="8701" max="8701" width="26.85546875" style="242" customWidth="1"/>
    <col min="8702" max="8702" width="13.28515625" style="242" customWidth="1"/>
    <col min="8703" max="8703" width="9.140625" style="242"/>
    <col min="8704" max="8705" width="9.85546875" style="242" customWidth="1"/>
    <col min="8706" max="8706" width="9.140625" style="242"/>
    <col min="8707" max="8707" width="9.7109375" style="242" customWidth="1"/>
    <col min="8708" max="8708" width="11.28515625" style="242" customWidth="1"/>
    <col min="8709" max="8709" width="11.140625" style="242" customWidth="1"/>
    <col min="8710" max="8710" width="11" style="242" customWidth="1"/>
    <col min="8711" max="8713" width="9.140625" style="242"/>
    <col min="8714" max="8714" width="11.140625" style="242" customWidth="1"/>
    <col min="8715" max="8955" width="9.140625" style="242"/>
    <col min="8956" max="8956" width="5.85546875" style="242" customWidth="1"/>
    <col min="8957" max="8957" width="26.85546875" style="242" customWidth="1"/>
    <col min="8958" max="8958" width="13.28515625" style="242" customWidth="1"/>
    <col min="8959" max="8959" width="9.140625" style="242"/>
    <col min="8960" max="8961" width="9.85546875" style="242" customWidth="1"/>
    <col min="8962" max="8962" width="9.140625" style="242"/>
    <col min="8963" max="8963" width="9.7109375" style="242" customWidth="1"/>
    <col min="8964" max="8964" width="11.28515625" style="242" customWidth="1"/>
    <col min="8965" max="8965" width="11.140625" style="242" customWidth="1"/>
    <col min="8966" max="8966" width="11" style="242" customWidth="1"/>
    <col min="8967" max="8969" width="9.140625" style="242"/>
    <col min="8970" max="8970" width="11.140625" style="242" customWidth="1"/>
    <col min="8971" max="9211" width="9.140625" style="242"/>
    <col min="9212" max="9212" width="5.85546875" style="242" customWidth="1"/>
    <col min="9213" max="9213" width="26.85546875" style="242" customWidth="1"/>
    <col min="9214" max="9214" width="13.28515625" style="242" customWidth="1"/>
    <col min="9215" max="9215" width="9.140625" style="242"/>
    <col min="9216" max="9217" width="9.85546875" style="242" customWidth="1"/>
    <col min="9218" max="9218" width="9.140625" style="242"/>
    <col min="9219" max="9219" width="9.7109375" style="242" customWidth="1"/>
    <col min="9220" max="9220" width="11.28515625" style="242" customWidth="1"/>
    <col min="9221" max="9221" width="11.140625" style="242" customWidth="1"/>
    <col min="9222" max="9222" width="11" style="242" customWidth="1"/>
    <col min="9223" max="9225" width="9.140625" style="242"/>
    <col min="9226" max="9226" width="11.140625" style="242" customWidth="1"/>
    <col min="9227" max="9467" width="9.140625" style="242"/>
    <col min="9468" max="9468" width="5.85546875" style="242" customWidth="1"/>
    <col min="9469" max="9469" width="26.85546875" style="242" customWidth="1"/>
    <col min="9470" max="9470" width="13.28515625" style="242" customWidth="1"/>
    <col min="9471" max="9471" width="9.140625" style="242"/>
    <col min="9472" max="9473" width="9.85546875" style="242" customWidth="1"/>
    <col min="9474" max="9474" width="9.140625" style="242"/>
    <col min="9475" max="9475" width="9.7109375" style="242" customWidth="1"/>
    <col min="9476" max="9476" width="11.28515625" style="242" customWidth="1"/>
    <col min="9477" max="9477" width="11.140625" style="242" customWidth="1"/>
    <col min="9478" max="9478" width="11" style="242" customWidth="1"/>
    <col min="9479" max="9481" width="9.140625" style="242"/>
    <col min="9482" max="9482" width="11.140625" style="242" customWidth="1"/>
    <col min="9483" max="9723" width="9.140625" style="242"/>
    <col min="9724" max="9724" width="5.85546875" style="242" customWidth="1"/>
    <col min="9725" max="9725" width="26.85546875" style="242" customWidth="1"/>
    <col min="9726" max="9726" width="13.28515625" style="242" customWidth="1"/>
    <col min="9727" max="9727" width="9.140625" style="242"/>
    <col min="9728" max="9729" width="9.85546875" style="242" customWidth="1"/>
    <col min="9730" max="9730" width="9.140625" style="242"/>
    <col min="9731" max="9731" width="9.7109375" style="242" customWidth="1"/>
    <col min="9732" max="9732" width="11.28515625" style="242" customWidth="1"/>
    <col min="9733" max="9733" width="11.140625" style="242" customWidth="1"/>
    <col min="9734" max="9734" width="11" style="242" customWidth="1"/>
    <col min="9735" max="9737" width="9.140625" style="242"/>
    <col min="9738" max="9738" width="11.140625" style="242" customWidth="1"/>
    <col min="9739" max="9979" width="9.140625" style="242"/>
    <col min="9980" max="9980" width="5.85546875" style="242" customWidth="1"/>
    <col min="9981" max="9981" width="26.85546875" style="242" customWidth="1"/>
    <col min="9982" max="9982" width="13.28515625" style="242" customWidth="1"/>
    <col min="9983" max="9983" width="9.140625" style="242"/>
    <col min="9984" max="9985" width="9.85546875" style="242" customWidth="1"/>
    <col min="9986" max="9986" width="9.140625" style="242"/>
    <col min="9987" max="9987" width="9.7109375" style="242" customWidth="1"/>
    <col min="9988" max="9988" width="11.28515625" style="242" customWidth="1"/>
    <col min="9989" max="9989" width="11.140625" style="242" customWidth="1"/>
    <col min="9990" max="9990" width="11" style="242" customWidth="1"/>
    <col min="9991" max="9993" width="9.140625" style="242"/>
    <col min="9994" max="9994" width="11.140625" style="242" customWidth="1"/>
    <col min="9995" max="10235" width="9.140625" style="242"/>
    <col min="10236" max="10236" width="5.85546875" style="242" customWidth="1"/>
    <col min="10237" max="10237" width="26.85546875" style="242" customWidth="1"/>
    <col min="10238" max="10238" width="13.28515625" style="242" customWidth="1"/>
    <col min="10239" max="10239" width="9.140625" style="242"/>
    <col min="10240" max="10241" width="9.85546875" style="242" customWidth="1"/>
    <col min="10242" max="10242" width="9.140625" style="242"/>
    <col min="10243" max="10243" width="9.7109375" style="242" customWidth="1"/>
    <col min="10244" max="10244" width="11.28515625" style="242" customWidth="1"/>
    <col min="10245" max="10245" width="11.140625" style="242" customWidth="1"/>
    <col min="10246" max="10246" width="11" style="242" customWidth="1"/>
    <col min="10247" max="10249" width="9.140625" style="242"/>
    <col min="10250" max="10250" width="11.140625" style="242" customWidth="1"/>
    <col min="10251" max="10491" width="9.140625" style="242"/>
    <col min="10492" max="10492" width="5.85546875" style="242" customWidth="1"/>
    <col min="10493" max="10493" width="26.85546875" style="242" customWidth="1"/>
    <col min="10494" max="10494" width="13.28515625" style="242" customWidth="1"/>
    <col min="10495" max="10495" width="9.140625" style="242"/>
    <col min="10496" max="10497" width="9.85546875" style="242" customWidth="1"/>
    <col min="10498" max="10498" width="9.140625" style="242"/>
    <col min="10499" max="10499" width="9.7109375" style="242" customWidth="1"/>
    <col min="10500" max="10500" width="11.28515625" style="242" customWidth="1"/>
    <col min="10501" max="10501" width="11.140625" style="242" customWidth="1"/>
    <col min="10502" max="10502" width="11" style="242" customWidth="1"/>
    <col min="10503" max="10505" width="9.140625" style="242"/>
    <col min="10506" max="10506" width="11.140625" style="242" customWidth="1"/>
    <col min="10507" max="10747" width="9.140625" style="242"/>
    <col min="10748" max="10748" width="5.85546875" style="242" customWidth="1"/>
    <col min="10749" max="10749" width="26.85546875" style="242" customWidth="1"/>
    <col min="10750" max="10750" width="13.28515625" style="242" customWidth="1"/>
    <col min="10751" max="10751" width="9.140625" style="242"/>
    <col min="10752" max="10753" width="9.85546875" style="242" customWidth="1"/>
    <col min="10754" max="10754" width="9.140625" style="242"/>
    <col min="10755" max="10755" width="9.7109375" style="242" customWidth="1"/>
    <col min="10756" max="10756" width="11.28515625" style="242" customWidth="1"/>
    <col min="10757" max="10757" width="11.140625" style="242" customWidth="1"/>
    <col min="10758" max="10758" width="11" style="242" customWidth="1"/>
    <col min="10759" max="10761" width="9.140625" style="242"/>
    <col min="10762" max="10762" width="11.140625" style="242" customWidth="1"/>
    <col min="10763" max="11003" width="9.140625" style="242"/>
    <col min="11004" max="11004" width="5.85546875" style="242" customWidth="1"/>
    <col min="11005" max="11005" width="26.85546875" style="242" customWidth="1"/>
    <col min="11006" max="11006" width="13.28515625" style="242" customWidth="1"/>
    <col min="11007" max="11007" width="9.140625" style="242"/>
    <col min="11008" max="11009" width="9.85546875" style="242" customWidth="1"/>
    <col min="11010" max="11010" width="9.140625" style="242"/>
    <col min="11011" max="11011" width="9.7109375" style="242" customWidth="1"/>
    <col min="11012" max="11012" width="11.28515625" style="242" customWidth="1"/>
    <col min="11013" max="11013" width="11.140625" style="242" customWidth="1"/>
    <col min="11014" max="11014" width="11" style="242" customWidth="1"/>
    <col min="11015" max="11017" width="9.140625" style="242"/>
    <col min="11018" max="11018" width="11.140625" style="242" customWidth="1"/>
    <col min="11019" max="11259" width="9.140625" style="242"/>
    <col min="11260" max="11260" width="5.85546875" style="242" customWidth="1"/>
    <col min="11261" max="11261" width="26.85546875" style="242" customWidth="1"/>
    <col min="11262" max="11262" width="13.28515625" style="242" customWidth="1"/>
    <col min="11263" max="11263" width="9.140625" style="242"/>
    <col min="11264" max="11265" width="9.85546875" style="242" customWidth="1"/>
    <col min="11266" max="11266" width="9.140625" style="242"/>
    <col min="11267" max="11267" width="9.7109375" style="242" customWidth="1"/>
    <col min="11268" max="11268" width="11.28515625" style="242" customWidth="1"/>
    <col min="11269" max="11269" width="11.140625" style="242" customWidth="1"/>
    <col min="11270" max="11270" width="11" style="242" customWidth="1"/>
    <col min="11271" max="11273" width="9.140625" style="242"/>
    <col min="11274" max="11274" width="11.140625" style="242" customWidth="1"/>
    <col min="11275" max="11515" width="9.140625" style="242"/>
    <col min="11516" max="11516" width="5.85546875" style="242" customWidth="1"/>
    <col min="11517" max="11517" width="26.85546875" style="242" customWidth="1"/>
    <col min="11518" max="11518" width="13.28515625" style="242" customWidth="1"/>
    <col min="11519" max="11519" width="9.140625" style="242"/>
    <col min="11520" max="11521" width="9.85546875" style="242" customWidth="1"/>
    <col min="11522" max="11522" width="9.140625" style="242"/>
    <col min="11523" max="11523" width="9.7109375" style="242" customWidth="1"/>
    <col min="11524" max="11524" width="11.28515625" style="242" customWidth="1"/>
    <col min="11525" max="11525" width="11.140625" style="242" customWidth="1"/>
    <col min="11526" max="11526" width="11" style="242" customWidth="1"/>
    <col min="11527" max="11529" width="9.140625" style="242"/>
    <col min="11530" max="11530" width="11.140625" style="242" customWidth="1"/>
    <col min="11531" max="11771" width="9.140625" style="242"/>
    <col min="11772" max="11772" width="5.85546875" style="242" customWidth="1"/>
    <col min="11773" max="11773" width="26.85546875" style="242" customWidth="1"/>
    <col min="11774" max="11774" width="13.28515625" style="242" customWidth="1"/>
    <col min="11775" max="11775" width="9.140625" style="242"/>
    <col min="11776" max="11777" width="9.85546875" style="242" customWidth="1"/>
    <col min="11778" max="11778" width="9.140625" style="242"/>
    <col min="11779" max="11779" width="9.7109375" style="242" customWidth="1"/>
    <col min="11780" max="11780" width="11.28515625" style="242" customWidth="1"/>
    <col min="11781" max="11781" width="11.140625" style="242" customWidth="1"/>
    <col min="11782" max="11782" width="11" style="242" customWidth="1"/>
    <col min="11783" max="11785" width="9.140625" style="242"/>
    <col min="11786" max="11786" width="11.140625" style="242" customWidth="1"/>
    <col min="11787" max="12027" width="9.140625" style="242"/>
    <col min="12028" max="12028" width="5.85546875" style="242" customWidth="1"/>
    <col min="12029" max="12029" width="26.85546875" style="242" customWidth="1"/>
    <col min="12030" max="12030" width="13.28515625" style="242" customWidth="1"/>
    <col min="12031" max="12031" width="9.140625" style="242"/>
    <col min="12032" max="12033" width="9.85546875" style="242" customWidth="1"/>
    <col min="12034" max="12034" width="9.140625" style="242"/>
    <col min="12035" max="12035" width="9.7109375" style="242" customWidth="1"/>
    <col min="12036" max="12036" width="11.28515625" style="242" customWidth="1"/>
    <col min="12037" max="12037" width="11.140625" style="242" customWidth="1"/>
    <col min="12038" max="12038" width="11" style="242" customWidth="1"/>
    <col min="12039" max="12041" width="9.140625" style="242"/>
    <col min="12042" max="12042" width="11.140625" style="242" customWidth="1"/>
    <col min="12043" max="12283" width="9.140625" style="242"/>
    <col min="12284" max="12284" width="5.85546875" style="242" customWidth="1"/>
    <col min="12285" max="12285" width="26.85546875" style="242" customWidth="1"/>
    <col min="12286" max="12286" width="13.28515625" style="242" customWidth="1"/>
    <col min="12287" max="12287" width="9.140625" style="242"/>
    <col min="12288" max="12289" width="9.85546875" style="242" customWidth="1"/>
    <col min="12290" max="12290" width="9.140625" style="242"/>
    <col min="12291" max="12291" width="9.7109375" style="242" customWidth="1"/>
    <col min="12292" max="12292" width="11.28515625" style="242" customWidth="1"/>
    <col min="12293" max="12293" width="11.140625" style="242" customWidth="1"/>
    <col min="12294" max="12294" width="11" style="242" customWidth="1"/>
    <col min="12295" max="12297" width="9.140625" style="242"/>
    <col min="12298" max="12298" width="11.140625" style="242" customWidth="1"/>
    <col min="12299" max="12539" width="9.140625" style="242"/>
    <col min="12540" max="12540" width="5.85546875" style="242" customWidth="1"/>
    <col min="12541" max="12541" width="26.85546875" style="242" customWidth="1"/>
    <col min="12542" max="12542" width="13.28515625" style="242" customWidth="1"/>
    <col min="12543" max="12543" width="9.140625" style="242"/>
    <col min="12544" max="12545" width="9.85546875" style="242" customWidth="1"/>
    <col min="12546" max="12546" width="9.140625" style="242"/>
    <col min="12547" max="12547" width="9.7109375" style="242" customWidth="1"/>
    <col min="12548" max="12548" width="11.28515625" style="242" customWidth="1"/>
    <col min="12549" max="12549" width="11.140625" style="242" customWidth="1"/>
    <col min="12550" max="12550" width="11" style="242" customWidth="1"/>
    <col min="12551" max="12553" width="9.140625" style="242"/>
    <col min="12554" max="12554" width="11.140625" style="242" customWidth="1"/>
    <col min="12555" max="12795" width="9.140625" style="242"/>
    <col min="12796" max="12796" width="5.85546875" style="242" customWidth="1"/>
    <col min="12797" max="12797" width="26.85546875" style="242" customWidth="1"/>
    <col min="12798" max="12798" width="13.28515625" style="242" customWidth="1"/>
    <col min="12799" max="12799" width="9.140625" style="242"/>
    <col min="12800" max="12801" width="9.85546875" style="242" customWidth="1"/>
    <col min="12802" max="12802" width="9.140625" style="242"/>
    <col min="12803" max="12803" width="9.7109375" style="242" customWidth="1"/>
    <col min="12804" max="12804" width="11.28515625" style="242" customWidth="1"/>
    <col min="12805" max="12805" width="11.140625" style="242" customWidth="1"/>
    <col min="12806" max="12806" width="11" style="242" customWidth="1"/>
    <col min="12807" max="12809" width="9.140625" style="242"/>
    <col min="12810" max="12810" width="11.140625" style="242" customWidth="1"/>
    <col min="12811" max="13051" width="9.140625" style="242"/>
    <col min="13052" max="13052" width="5.85546875" style="242" customWidth="1"/>
    <col min="13053" max="13053" width="26.85546875" style="242" customWidth="1"/>
    <col min="13054" max="13054" width="13.28515625" style="242" customWidth="1"/>
    <col min="13055" max="13055" width="9.140625" style="242"/>
    <col min="13056" max="13057" width="9.85546875" style="242" customWidth="1"/>
    <col min="13058" max="13058" width="9.140625" style="242"/>
    <col min="13059" max="13059" width="9.7109375" style="242" customWidth="1"/>
    <col min="13060" max="13060" width="11.28515625" style="242" customWidth="1"/>
    <col min="13061" max="13061" width="11.140625" style="242" customWidth="1"/>
    <col min="13062" max="13062" width="11" style="242" customWidth="1"/>
    <col min="13063" max="13065" width="9.140625" style="242"/>
    <col min="13066" max="13066" width="11.140625" style="242" customWidth="1"/>
    <col min="13067" max="13307" width="9.140625" style="242"/>
    <col min="13308" max="13308" width="5.85546875" style="242" customWidth="1"/>
    <col min="13309" max="13309" width="26.85546875" style="242" customWidth="1"/>
    <col min="13310" max="13310" width="13.28515625" style="242" customWidth="1"/>
    <col min="13311" max="13311" width="9.140625" style="242"/>
    <col min="13312" max="13313" width="9.85546875" style="242" customWidth="1"/>
    <col min="13314" max="13314" width="9.140625" style="242"/>
    <col min="13315" max="13315" width="9.7109375" style="242" customWidth="1"/>
    <col min="13316" max="13316" width="11.28515625" style="242" customWidth="1"/>
    <col min="13317" max="13317" width="11.140625" style="242" customWidth="1"/>
    <col min="13318" max="13318" width="11" style="242" customWidth="1"/>
    <col min="13319" max="13321" width="9.140625" style="242"/>
    <col min="13322" max="13322" width="11.140625" style="242" customWidth="1"/>
    <col min="13323" max="13563" width="9.140625" style="242"/>
    <col min="13564" max="13564" width="5.85546875" style="242" customWidth="1"/>
    <col min="13565" max="13565" width="26.85546875" style="242" customWidth="1"/>
    <col min="13566" max="13566" width="13.28515625" style="242" customWidth="1"/>
    <col min="13567" max="13567" width="9.140625" style="242"/>
    <col min="13568" max="13569" width="9.85546875" style="242" customWidth="1"/>
    <col min="13570" max="13570" width="9.140625" style="242"/>
    <col min="13571" max="13571" width="9.7109375" style="242" customWidth="1"/>
    <col min="13572" max="13572" width="11.28515625" style="242" customWidth="1"/>
    <col min="13573" max="13573" width="11.140625" style="242" customWidth="1"/>
    <col min="13574" max="13574" width="11" style="242" customWidth="1"/>
    <col min="13575" max="13577" width="9.140625" style="242"/>
    <col min="13578" max="13578" width="11.140625" style="242" customWidth="1"/>
    <col min="13579" max="13819" width="9.140625" style="242"/>
    <col min="13820" max="13820" width="5.85546875" style="242" customWidth="1"/>
    <col min="13821" max="13821" width="26.85546875" style="242" customWidth="1"/>
    <col min="13822" max="13822" width="13.28515625" style="242" customWidth="1"/>
    <col min="13823" max="13823" width="9.140625" style="242"/>
    <col min="13824" max="13825" width="9.85546875" style="242" customWidth="1"/>
    <col min="13826" max="13826" width="9.140625" style="242"/>
    <col min="13827" max="13827" width="9.7109375" style="242" customWidth="1"/>
    <col min="13828" max="13828" width="11.28515625" style="242" customWidth="1"/>
    <col min="13829" max="13829" width="11.140625" style="242" customWidth="1"/>
    <col min="13830" max="13830" width="11" style="242" customWidth="1"/>
    <col min="13831" max="13833" width="9.140625" style="242"/>
    <col min="13834" max="13834" width="11.140625" style="242" customWidth="1"/>
    <col min="13835" max="14075" width="9.140625" style="242"/>
    <col min="14076" max="14076" width="5.85546875" style="242" customWidth="1"/>
    <col min="14077" max="14077" width="26.85546875" style="242" customWidth="1"/>
    <col min="14078" max="14078" width="13.28515625" style="242" customWidth="1"/>
    <col min="14079" max="14079" width="9.140625" style="242"/>
    <col min="14080" max="14081" width="9.85546875" style="242" customWidth="1"/>
    <col min="14082" max="14082" width="9.140625" style="242"/>
    <col min="14083" max="14083" width="9.7109375" style="242" customWidth="1"/>
    <col min="14084" max="14084" width="11.28515625" style="242" customWidth="1"/>
    <col min="14085" max="14085" width="11.140625" style="242" customWidth="1"/>
    <col min="14086" max="14086" width="11" style="242" customWidth="1"/>
    <col min="14087" max="14089" width="9.140625" style="242"/>
    <col min="14090" max="14090" width="11.140625" style="242" customWidth="1"/>
    <col min="14091" max="14331" width="9.140625" style="242"/>
    <col min="14332" max="14332" width="5.85546875" style="242" customWidth="1"/>
    <col min="14333" max="14333" width="26.85546875" style="242" customWidth="1"/>
    <col min="14334" max="14334" width="13.28515625" style="242" customWidth="1"/>
    <col min="14335" max="14335" width="9.140625" style="242"/>
    <col min="14336" max="14337" width="9.85546875" style="242" customWidth="1"/>
    <col min="14338" max="14338" width="9.140625" style="242"/>
    <col min="14339" max="14339" width="9.7109375" style="242" customWidth="1"/>
    <col min="14340" max="14340" width="11.28515625" style="242" customWidth="1"/>
    <col min="14341" max="14341" width="11.140625" style="242" customWidth="1"/>
    <col min="14342" max="14342" width="11" style="242" customWidth="1"/>
    <col min="14343" max="14345" width="9.140625" style="242"/>
    <col min="14346" max="14346" width="11.140625" style="242" customWidth="1"/>
    <col min="14347" max="14587" width="9.140625" style="242"/>
    <col min="14588" max="14588" width="5.85546875" style="242" customWidth="1"/>
    <col min="14589" max="14589" width="26.85546875" style="242" customWidth="1"/>
    <col min="14590" max="14590" width="13.28515625" style="242" customWidth="1"/>
    <col min="14591" max="14591" width="9.140625" style="242"/>
    <col min="14592" max="14593" width="9.85546875" style="242" customWidth="1"/>
    <col min="14594" max="14594" width="9.140625" style="242"/>
    <col min="14595" max="14595" width="9.7109375" style="242" customWidth="1"/>
    <col min="14596" max="14596" width="11.28515625" style="242" customWidth="1"/>
    <col min="14597" max="14597" width="11.140625" style="242" customWidth="1"/>
    <col min="14598" max="14598" width="11" style="242" customWidth="1"/>
    <col min="14599" max="14601" width="9.140625" style="242"/>
    <col min="14602" max="14602" width="11.140625" style="242" customWidth="1"/>
    <col min="14603" max="14843" width="9.140625" style="242"/>
    <col min="14844" max="14844" width="5.85546875" style="242" customWidth="1"/>
    <col min="14845" max="14845" width="26.85546875" style="242" customWidth="1"/>
    <col min="14846" max="14846" width="13.28515625" style="242" customWidth="1"/>
    <col min="14847" max="14847" width="9.140625" style="242"/>
    <col min="14848" max="14849" width="9.85546875" style="242" customWidth="1"/>
    <col min="14850" max="14850" width="9.140625" style="242"/>
    <col min="14851" max="14851" width="9.7109375" style="242" customWidth="1"/>
    <col min="14852" max="14852" width="11.28515625" style="242" customWidth="1"/>
    <col min="14853" max="14853" width="11.140625" style="242" customWidth="1"/>
    <col min="14854" max="14854" width="11" style="242" customWidth="1"/>
    <col min="14855" max="14857" width="9.140625" style="242"/>
    <col min="14858" max="14858" width="11.140625" style="242" customWidth="1"/>
    <col min="14859" max="15099" width="9.140625" style="242"/>
    <col min="15100" max="15100" width="5.85546875" style="242" customWidth="1"/>
    <col min="15101" max="15101" width="26.85546875" style="242" customWidth="1"/>
    <col min="15102" max="15102" width="13.28515625" style="242" customWidth="1"/>
    <col min="15103" max="15103" width="9.140625" style="242"/>
    <col min="15104" max="15105" width="9.85546875" style="242" customWidth="1"/>
    <col min="15106" max="15106" width="9.140625" style="242"/>
    <col min="15107" max="15107" width="9.7109375" style="242" customWidth="1"/>
    <col min="15108" max="15108" width="11.28515625" style="242" customWidth="1"/>
    <col min="15109" max="15109" width="11.140625" style="242" customWidth="1"/>
    <col min="15110" max="15110" width="11" style="242" customWidth="1"/>
    <col min="15111" max="15113" width="9.140625" style="242"/>
    <col min="15114" max="15114" width="11.140625" style="242" customWidth="1"/>
    <col min="15115" max="15355" width="9.140625" style="242"/>
    <col min="15356" max="15356" width="5.85546875" style="242" customWidth="1"/>
    <col min="15357" max="15357" width="26.85546875" style="242" customWidth="1"/>
    <col min="15358" max="15358" width="13.28515625" style="242" customWidth="1"/>
    <col min="15359" max="15359" width="9.140625" style="242"/>
    <col min="15360" max="15361" width="9.85546875" style="242" customWidth="1"/>
    <col min="15362" max="15362" width="9.140625" style="242"/>
    <col min="15363" max="15363" width="9.7109375" style="242" customWidth="1"/>
    <col min="15364" max="15364" width="11.28515625" style="242" customWidth="1"/>
    <col min="15365" max="15365" width="11.140625" style="242" customWidth="1"/>
    <col min="15366" max="15366" width="11" style="242" customWidth="1"/>
    <col min="15367" max="15369" width="9.140625" style="242"/>
    <col min="15370" max="15370" width="11.140625" style="242" customWidth="1"/>
    <col min="15371" max="15611" width="9.140625" style="242"/>
    <col min="15612" max="15612" width="5.85546875" style="242" customWidth="1"/>
    <col min="15613" max="15613" width="26.85546875" style="242" customWidth="1"/>
    <col min="15614" max="15614" width="13.28515625" style="242" customWidth="1"/>
    <col min="15615" max="15615" width="9.140625" style="242"/>
    <col min="15616" max="15617" width="9.85546875" style="242" customWidth="1"/>
    <col min="15618" max="15618" width="9.140625" style="242"/>
    <col min="15619" max="15619" width="9.7109375" style="242" customWidth="1"/>
    <col min="15620" max="15620" width="11.28515625" style="242" customWidth="1"/>
    <col min="15621" max="15621" width="11.140625" style="242" customWidth="1"/>
    <col min="15622" max="15622" width="11" style="242" customWidth="1"/>
    <col min="15623" max="15625" width="9.140625" style="242"/>
    <col min="15626" max="15626" width="11.140625" style="242" customWidth="1"/>
    <col min="15627" max="15867" width="9.140625" style="242"/>
    <col min="15868" max="15868" width="5.85546875" style="242" customWidth="1"/>
    <col min="15869" max="15869" width="26.85546875" style="242" customWidth="1"/>
    <col min="15870" max="15870" width="13.28515625" style="242" customWidth="1"/>
    <col min="15871" max="15871" width="9.140625" style="242"/>
    <col min="15872" max="15873" width="9.85546875" style="242" customWidth="1"/>
    <col min="15874" max="15874" width="9.140625" style="242"/>
    <col min="15875" max="15875" width="9.7109375" style="242" customWidth="1"/>
    <col min="15876" max="15876" width="11.28515625" style="242" customWidth="1"/>
    <col min="15877" max="15877" width="11.140625" style="242" customWidth="1"/>
    <col min="15878" max="15878" width="11" style="242" customWidth="1"/>
    <col min="15879" max="15881" width="9.140625" style="242"/>
    <col min="15882" max="15882" width="11.140625" style="242" customWidth="1"/>
    <col min="15883" max="16123" width="9.140625" style="242"/>
    <col min="16124" max="16124" width="5.85546875" style="242" customWidth="1"/>
    <col min="16125" max="16125" width="26.85546875" style="242" customWidth="1"/>
    <col min="16126" max="16126" width="13.28515625" style="242" customWidth="1"/>
    <col min="16127" max="16127" width="9.140625" style="242"/>
    <col min="16128" max="16129" width="9.85546875" style="242" customWidth="1"/>
    <col min="16130" max="16130" width="9.140625" style="242"/>
    <col min="16131" max="16131" width="9.7109375" style="242" customWidth="1"/>
    <col min="16132" max="16132" width="11.28515625" style="242" customWidth="1"/>
    <col min="16133" max="16133" width="11.140625" style="242" customWidth="1"/>
    <col min="16134" max="16134" width="11" style="242" customWidth="1"/>
    <col min="16135" max="16137" width="9.140625" style="242"/>
    <col min="16138" max="16138" width="11.140625" style="242" customWidth="1"/>
    <col min="16139" max="16384" width="9.140625" style="242"/>
  </cols>
  <sheetData>
    <row r="1" spans="1:11" x14ac:dyDescent="0.2">
      <c r="G1" s="2035" t="s">
        <v>2204</v>
      </c>
      <c r="H1" s="2036"/>
      <c r="I1" s="2036"/>
      <c r="J1" s="2036"/>
      <c r="K1" s="2036"/>
    </row>
    <row r="2" spans="1:11" x14ac:dyDescent="0.2">
      <c r="G2" s="2036"/>
      <c r="H2" s="2036"/>
      <c r="I2" s="2036"/>
      <c r="J2" s="2036"/>
      <c r="K2" s="2036"/>
    </row>
    <row r="3" spans="1:11" x14ac:dyDescent="0.2">
      <c r="G3" s="2036"/>
      <c r="H3" s="2036"/>
      <c r="I3" s="2036"/>
      <c r="J3" s="2036"/>
      <c r="K3" s="2036"/>
    </row>
    <row r="4" spans="1:11" x14ac:dyDescent="0.2">
      <c r="G4" s="402"/>
      <c r="H4" s="402"/>
      <c r="I4" s="402"/>
      <c r="J4" s="402"/>
      <c r="K4" s="402"/>
    </row>
    <row r="5" spans="1:11" x14ac:dyDescent="0.2">
      <c r="G5" s="402"/>
      <c r="H5" s="402"/>
      <c r="I5" s="402"/>
      <c r="J5" s="402"/>
      <c r="K5" s="402"/>
    </row>
    <row r="6" spans="1:11" x14ac:dyDescent="0.2">
      <c r="A6" s="225" t="s">
        <v>112</v>
      </c>
      <c r="G6" s="402"/>
      <c r="H6" s="402"/>
      <c r="I6" s="402"/>
      <c r="J6" s="402"/>
      <c r="K6" s="402"/>
    </row>
    <row r="7" spans="1:11" s="225" customFormat="1" ht="12" x14ac:dyDescent="0.2">
      <c r="B7" s="226"/>
      <c r="C7" s="226"/>
      <c r="D7" s="226"/>
      <c r="E7" s="226"/>
      <c r="F7" s="226"/>
      <c r="G7" s="226"/>
      <c r="H7" s="227"/>
      <c r="I7" s="226"/>
      <c r="J7" s="228"/>
      <c r="K7" s="229"/>
    </row>
    <row r="8" spans="1:11" s="225" customFormat="1" ht="15.75" x14ac:dyDescent="0.25">
      <c r="A8" s="2221" t="s">
        <v>113</v>
      </c>
      <c r="B8" s="2221"/>
      <c r="C8" s="2221"/>
      <c r="D8" s="2221"/>
      <c r="E8" s="2221"/>
      <c r="F8" s="2221"/>
      <c r="G8" s="2221"/>
      <c r="H8" s="2221"/>
      <c r="I8" s="2221"/>
      <c r="J8" s="2221"/>
      <c r="K8" s="2221"/>
    </row>
    <row r="9" spans="1:11" s="225" customFormat="1" ht="9" customHeight="1" x14ac:dyDescent="0.25">
      <c r="A9" s="230"/>
      <c r="B9" s="230"/>
      <c r="C9" s="230"/>
      <c r="D9" s="230"/>
      <c r="E9" s="231"/>
      <c r="F9" s="230"/>
      <c r="G9" s="230"/>
      <c r="H9" s="230"/>
      <c r="I9" s="230"/>
      <c r="J9" s="230"/>
      <c r="K9" s="232"/>
    </row>
    <row r="10" spans="1:11" s="225" customFormat="1" ht="15.75" x14ac:dyDescent="0.25">
      <c r="A10" s="225" t="s">
        <v>114</v>
      </c>
      <c r="C10" s="233" t="s">
        <v>195</v>
      </c>
      <c r="D10" s="233"/>
      <c r="E10" s="233"/>
      <c r="F10" s="233"/>
      <c r="G10" s="233"/>
      <c r="H10" s="234"/>
      <c r="I10" s="233"/>
      <c r="J10" s="235"/>
      <c r="K10" s="229"/>
    </row>
    <row r="11" spans="1:11" s="225" customFormat="1" ht="12" x14ac:dyDescent="0.2">
      <c r="A11" s="225" t="s">
        <v>115</v>
      </c>
      <c r="C11" s="236" t="s">
        <v>196</v>
      </c>
      <c r="D11" s="236"/>
      <c r="E11" s="236"/>
      <c r="F11" s="236"/>
      <c r="G11" s="236"/>
      <c r="H11" s="237"/>
      <c r="I11" s="236"/>
      <c r="J11" s="236"/>
      <c r="K11" s="229"/>
    </row>
    <row r="12" spans="1:11" s="225" customFormat="1" ht="12" x14ac:dyDescent="0.2">
      <c r="A12" s="225" t="s">
        <v>117</v>
      </c>
      <c r="C12" s="237" t="s">
        <v>197</v>
      </c>
      <c r="D12" s="236"/>
      <c r="E12" s="236"/>
      <c r="F12" s="236"/>
      <c r="G12" s="236"/>
      <c r="H12" s="237"/>
      <c r="I12" s="236"/>
      <c r="J12" s="238"/>
      <c r="K12" s="229"/>
    </row>
    <row r="13" spans="1:11" x14ac:dyDescent="0.2">
      <c r="A13" s="239"/>
      <c r="B13" s="239"/>
      <c r="C13" s="239"/>
      <c r="D13" s="239"/>
      <c r="E13" s="239"/>
      <c r="F13" s="239"/>
      <c r="G13" s="239"/>
      <c r="H13" s="240"/>
      <c r="I13" s="239"/>
      <c r="J13" s="239"/>
      <c r="K13" s="241"/>
    </row>
    <row r="14" spans="1:11" ht="22.5" x14ac:dyDescent="0.2">
      <c r="A14" s="2222" t="s">
        <v>47</v>
      </c>
      <c r="B14" s="2224" t="s">
        <v>119</v>
      </c>
      <c r="C14" s="2125" t="s">
        <v>120</v>
      </c>
      <c r="D14" s="2125" t="s">
        <v>121</v>
      </c>
      <c r="E14" s="2125" t="s">
        <v>122</v>
      </c>
      <c r="F14" s="2125" t="s">
        <v>122</v>
      </c>
      <c r="G14" s="2125"/>
      <c r="H14" s="2224" t="s">
        <v>129</v>
      </c>
      <c r="I14" s="243" t="s">
        <v>189</v>
      </c>
      <c r="J14" s="243"/>
      <c r="K14" s="2226" t="s">
        <v>126</v>
      </c>
    </row>
    <row r="15" spans="1:11" ht="33.75" x14ac:dyDescent="0.2">
      <c r="A15" s="2223"/>
      <c r="B15" s="2225"/>
      <c r="C15" s="2126"/>
      <c r="D15" s="2126"/>
      <c r="E15" s="2126"/>
      <c r="F15" s="2126"/>
      <c r="G15" s="2126"/>
      <c r="H15" s="2225"/>
      <c r="I15" s="244" t="s">
        <v>124</v>
      </c>
      <c r="J15" s="244" t="s">
        <v>2165</v>
      </c>
      <c r="K15" s="2227"/>
    </row>
    <row r="16" spans="1:11" x14ac:dyDescent="0.2">
      <c r="A16" s="2219" t="s">
        <v>55</v>
      </c>
      <c r="B16" s="2220"/>
      <c r="C16" s="246">
        <f>C17+C233+C318</f>
        <v>475495</v>
      </c>
      <c r="D16" s="246">
        <f>D17+D233+D318</f>
        <v>472252</v>
      </c>
      <c r="E16" s="246">
        <f>E17+E233+E318</f>
        <v>709281.96</v>
      </c>
      <c r="F16" s="246">
        <f>F17+F233+F318</f>
        <v>468029</v>
      </c>
      <c r="G16" s="246">
        <f>G17+G233+G318</f>
        <v>468029</v>
      </c>
      <c r="H16" s="247"/>
      <c r="I16" s="246">
        <f>I17+I233+I318</f>
        <v>422171</v>
      </c>
      <c r="J16" s="1037">
        <f>J17+J233+J318</f>
        <v>600812</v>
      </c>
      <c r="K16" s="248"/>
    </row>
    <row r="17" spans="1:12" ht="21" x14ac:dyDescent="0.2">
      <c r="A17" s="249"/>
      <c r="B17" s="250" t="s">
        <v>198</v>
      </c>
      <c r="C17" s="251">
        <f>C18+C28+C38+C48+C51+C66+C77+C91+C110+C119+C136+C143+C145+C147+C150+C161+C165+C171+C177+C202+C212+C221+C229</f>
        <v>183396</v>
      </c>
      <c r="D17" s="251">
        <f>D18+D28+D38+D48+D51+D66+D77+D91+D110+D119+D136+D143+D145+D147+D150+D161+D165+D171+D177+D202+D212+D221+D229</f>
        <v>181783</v>
      </c>
      <c r="E17" s="251">
        <f>E18+E28+E38+E48+E51+E66+E77+E91+E110+E119+E136+E143+E145+E147+E150+E161+E165+E171+E177+E202+E212+E221+E229</f>
        <v>259644</v>
      </c>
      <c r="F17" s="251">
        <f>F18+F28+F38+F48+F51+F66+F77+F91+F110+F119+F136+F143+F145+F147+F150+F161+F165+F171+F177+F202+F212+F221+F229</f>
        <v>189397</v>
      </c>
      <c r="G17" s="251">
        <f>G18+G28+G38+G48+G51+G66+G77+G91+G110+G119+G136+G143+G145+G147+G150+G161+G165+G171+G177+G202+G212+G221+G229</f>
        <v>189397</v>
      </c>
      <c r="H17" s="251"/>
      <c r="I17" s="251">
        <f>I18+I28+I38+I48+I51+I66+I77+I91+I110+I119+I136+I143+I145+I147+I150+I161+I165+I171+I177+I202+I212+I221+I229</f>
        <v>157469</v>
      </c>
      <c r="J17" s="1038">
        <f>J18+J28+J38+J48+J51+J66+J77+J91+J110+J119+J136+J143+J145+J147+J150+J161+J165+J171+J177+J202+J212+J221+J229</f>
        <v>224146</v>
      </c>
      <c r="K17" s="252"/>
      <c r="L17" s="253"/>
    </row>
    <row r="18" spans="1:12" x14ac:dyDescent="0.2">
      <c r="A18" s="249">
        <v>1</v>
      </c>
      <c r="B18" s="250"/>
      <c r="C18" s="251">
        <f>SUM(C19:C27)</f>
        <v>4600</v>
      </c>
      <c r="D18" s="251">
        <f>SUM(D19:D27)</f>
        <v>4882</v>
      </c>
      <c r="E18" s="251">
        <f>SUM(E19:E27)</f>
        <v>5700</v>
      </c>
      <c r="F18" s="251">
        <f>SUM(F19:F27)</f>
        <v>5700</v>
      </c>
      <c r="G18" s="251">
        <f>SUM(G19:G27)</f>
        <v>5700</v>
      </c>
      <c r="H18" s="251"/>
      <c r="I18" s="251">
        <f>SUM(I19:I27)</f>
        <v>4600</v>
      </c>
      <c r="J18" s="1038">
        <f>SUM(J19:J27)</f>
        <v>6551</v>
      </c>
      <c r="K18" s="252"/>
    </row>
    <row r="19" spans="1:12" x14ac:dyDescent="0.2">
      <c r="A19" s="2201" t="s">
        <v>199</v>
      </c>
      <c r="B19" s="2210" t="s">
        <v>200</v>
      </c>
      <c r="C19" s="254">
        <v>900</v>
      </c>
      <c r="D19" s="2203">
        <v>3900</v>
      </c>
      <c r="E19" s="2203">
        <v>4400</v>
      </c>
      <c r="F19" s="2203">
        <f>SUM(G19:G23)</f>
        <v>4400</v>
      </c>
      <c r="G19" s="255">
        <v>1200</v>
      </c>
      <c r="H19" s="256">
        <v>2390</v>
      </c>
      <c r="I19" s="257">
        <v>900</v>
      </c>
      <c r="J19" s="1039">
        <f>ROUNDUP(I19/0.702804,0)</f>
        <v>1281</v>
      </c>
      <c r="K19" s="258" t="s">
        <v>201</v>
      </c>
    </row>
    <row r="20" spans="1:12" x14ac:dyDescent="0.2">
      <c r="A20" s="2201"/>
      <c r="B20" s="2210"/>
      <c r="C20" s="254">
        <v>400</v>
      </c>
      <c r="D20" s="2203"/>
      <c r="E20" s="2203"/>
      <c r="F20" s="2203"/>
      <c r="G20" s="255">
        <v>400</v>
      </c>
      <c r="H20" s="256">
        <v>2264</v>
      </c>
      <c r="I20" s="257">
        <v>400</v>
      </c>
      <c r="J20" s="1039">
        <f t="shared" ref="J20:J83" si="0">ROUNDUP(I20/0.702804,0)</f>
        <v>570</v>
      </c>
      <c r="K20" s="258" t="s">
        <v>202</v>
      </c>
    </row>
    <row r="21" spans="1:12" x14ac:dyDescent="0.2">
      <c r="A21" s="2201"/>
      <c r="B21" s="2210"/>
      <c r="C21" s="254">
        <v>1100</v>
      </c>
      <c r="D21" s="2203"/>
      <c r="E21" s="2203"/>
      <c r="F21" s="2203"/>
      <c r="G21" s="255">
        <v>1400</v>
      </c>
      <c r="H21" s="256">
        <v>2279</v>
      </c>
      <c r="I21" s="257">
        <v>1100</v>
      </c>
      <c r="J21" s="1039">
        <f t="shared" si="0"/>
        <v>1566</v>
      </c>
      <c r="K21" s="258" t="s">
        <v>203</v>
      </c>
    </row>
    <row r="22" spans="1:12" x14ac:dyDescent="0.2">
      <c r="A22" s="2201"/>
      <c r="B22" s="2210"/>
      <c r="C22" s="254">
        <v>1100</v>
      </c>
      <c r="D22" s="2203"/>
      <c r="E22" s="2203"/>
      <c r="F22" s="2203"/>
      <c r="G22" s="255">
        <v>1100</v>
      </c>
      <c r="H22" s="256">
        <v>2231</v>
      </c>
      <c r="I22" s="257">
        <v>1100</v>
      </c>
      <c r="J22" s="1039">
        <f t="shared" si="0"/>
        <v>1566</v>
      </c>
      <c r="K22" s="258" t="s">
        <v>204</v>
      </c>
    </row>
    <row r="23" spans="1:12" ht="22.5" x14ac:dyDescent="0.2">
      <c r="A23" s="2201"/>
      <c r="B23" s="2210"/>
      <c r="C23" s="254">
        <v>100</v>
      </c>
      <c r="D23" s="2203"/>
      <c r="E23" s="2203"/>
      <c r="F23" s="2203"/>
      <c r="G23" s="255">
        <v>300</v>
      </c>
      <c r="H23" s="256">
        <v>2390</v>
      </c>
      <c r="I23" s="257">
        <v>100</v>
      </c>
      <c r="J23" s="1039">
        <f t="shared" si="0"/>
        <v>143</v>
      </c>
      <c r="K23" s="258" t="s">
        <v>205</v>
      </c>
    </row>
    <row r="24" spans="1:12" x14ac:dyDescent="0.2">
      <c r="A24" s="2201" t="s">
        <v>206</v>
      </c>
      <c r="B24" s="2210" t="s">
        <v>207</v>
      </c>
      <c r="C24" s="254">
        <v>300</v>
      </c>
      <c r="D24" s="2203">
        <v>982</v>
      </c>
      <c r="E24" s="2203">
        <v>1300</v>
      </c>
      <c r="F24" s="2203">
        <f>SUM(G24:G27)</f>
        <v>1300</v>
      </c>
      <c r="G24" s="255">
        <v>500</v>
      </c>
      <c r="H24" s="256">
        <v>2390</v>
      </c>
      <c r="I24" s="257">
        <v>300</v>
      </c>
      <c r="J24" s="1039">
        <f t="shared" si="0"/>
        <v>427</v>
      </c>
      <c r="K24" s="258" t="s">
        <v>201</v>
      </c>
    </row>
    <row r="25" spans="1:12" x14ac:dyDescent="0.2">
      <c r="A25" s="2201"/>
      <c r="B25" s="2210"/>
      <c r="C25" s="254">
        <v>400</v>
      </c>
      <c r="D25" s="2203"/>
      <c r="E25" s="2203"/>
      <c r="F25" s="2203"/>
      <c r="G25" s="255">
        <v>500</v>
      </c>
      <c r="H25" s="256">
        <v>2361</v>
      </c>
      <c r="I25" s="257">
        <v>400</v>
      </c>
      <c r="J25" s="1039">
        <f t="shared" si="0"/>
        <v>570</v>
      </c>
      <c r="K25" s="258" t="s">
        <v>208</v>
      </c>
    </row>
    <row r="26" spans="1:12" x14ac:dyDescent="0.2">
      <c r="A26" s="2201"/>
      <c r="B26" s="2210"/>
      <c r="C26" s="254">
        <v>200</v>
      </c>
      <c r="D26" s="2203"/>
      <c r="E26" s="2203"/>
      <c r="F26" s="2203"/>
      <c r="G26" s="255">
        <v>200</v>
      </c>
      <c r="H26" s="256">
        <v>2264</v>
      </c>
      <c r="I26" s="257">
        <v>200</v>
      </c>
      <c r="J26" s="1039">
        <f t="shared" si="0"/>
        <v>285</v>
      </c>
      <c r="K26" s="258" t="s">
        <v>202</v>
      </c>
    </row>
    <row r="27" spans="1:12" x14ac:dyDescent="0.2">
      <c r="A27" s="2201"/>
      <c r="B27" s="2210"/>
      <c r="C27" s="254">
        <v>100</v>
      </c>
      <c r="D27" s="2203"/>
      <c r="E27" s="2203"/>
      <c r="F27" s="2203"/>
      <c r="G27" s="255">
        <v>100</v>
      </c>
      <c r="H27" s="256">
        <v>2262</v>
      </c>
      <c r="I27" s="257">
        <v>100</v>
      </c>
      <c r="J27" s="1039">
        <f t="shared" si="0"/>
        <v>143</v>
      </c>
      <c r="K27" s="258" t="s">
        <v>209</v>
      </c>
    </row>
    <row r="28" spans="1:12" x14ac:dyDescent="0.2">
      <c r="A28" s="249">
        <v>2</v>
      </c>
      <c r="B28" s="250" t="s">
        <v>210</v>
      </c>
      <c r="C28" s="260">
        <f>SUM(C29:C37)</f>
        <v>4290</v>
      </c>
      <c r="D28" s="260">
        <f>SUM(D29:D37)</f>
        <v>4255</v>
      </c>
      <c r="E28" s="260">
        <f>SUM(E29:E37)</f>
        <v>7000</v>
      </c>
      <c r="F28" s="260">
        <f>SUM(F29:F37)</f>
        <v>4600</v>
      </c>
      <c r="G28" s="260">
        <f>SUM(G29:G37)</f>
        <v>4600</v>
      </c>
      <c r="H28" s="256"/>
      <c r="I28" s="251">
        <f>SUM(I29:I37)</f>
        <v>4290</v>
      </c>
      <c r="J28" s="1038">
        <f>SUM(J29:J37)</f>
        <v>6108</v>
      </c>
      <c r="K28" s="261"/>
    </row>
    <row r="29" spans="1:12" x14ac:dyDescent="0.2">
      <c r="A29" s="2201" t="s">
        <v>211</v>
      </c>
      <c r="B29" s="2210" t="s">
        <v>212</v>
      </c>
      <c r="C29" s="254">
        <v>2120</v>
      </c>
      <c r="D29" s="2203">
        <v>3968</v>
      </c>
      <c r="E29" s="2203">
        <v>4000</v>
      </c>
      <c r="F29" s="2203">
        <f>SUM(G29:G33)</f>
        <v>4000</v>
      </c>
      <c r="G29" s="255">
        <v>2120</v>
      </c>
      <c r="H29" s="256">
        <v>2279</v>
      </c>
      <c r="I29" s="257">
        <v>2120</v>
      </c>
      <c r="J29" s="1039">
        <f t="shared" si="0"/>
        <v>3017</v>
      </c>
      <c r="K29" s="258" t="s">
        <v>213</v>
      </c>
    </row>
    <row r="30" spans="1:12" x14ac:dyDescent="0.2">
      <c r="A30" s="2201"/>
      <c r="B30" s="2210"/>
      <c r="C30" s="254">
        <v>200</v>
      </c>
      <c r="D30" s="2203"/>
      <c r="E30" s="2203"/>
      <c r="F30" s="2203"/>
      <c r="G30" s="255">
        <v>200</v>
      </c>
      <c r="H30" s="256">
        <v>2390</v>
      </c>
      <c r="I30" s="257">
        <v>200</v>
      </c>
      <c r="J30" s="1039">
        <f t="shared" si="0"/>
        <v>285</v>
      </c>
      <c r="K30" s="258" t="s">
        <v>214</v>
      </c>
    </row>
    <row r="31" spans="1:12" x14ac:dyDescent="0.2">
      <c r="A31" s="2201"/>
      <c r="B31" s="2210"/>
      <c r="C31" s="254">
        <v>300</v>
      </c>
      <c r="D31" s="2203"/>
      <c r="E31" s="2203"/>
      <c r="F31" s="2203"/>
      <c r="G31" s="255">
        <v>300</v>
      </c>
      <c r="H31" s="256">
        <v>2264</v>
      </c>
      <c r="I31" s="257">
        <v>300</v>
      </c>
      <c r="J31" s="1039">
        <f t="shared" si="0"/>
        <v>427</v>
      </c>
      <c r="K31" s="258" t="s">
        <v>202</v>
      </c>
    </row>
    <row r="32" spans="1:12" x14ac:dyDescent="0.2">
      <c r="A32" s="2201"/>
      <c r="B32" s="2210"/>
      <c r="C32" s="254">
        <v>500</v>
      </c>
      <c r="D32" s="2203"/>
      <c r="E32" s="2203"/>
      <c r="F32" s="2203"/>
      <c r="G32" s="255">
        <v>500</v>
      </c>
      <c r="H32" s="256">
        <v>2312</v>
      </c>
      <c r="I32" s="257">
        <v>500</v>
      </c>
      <c r="J32" s="1039">
        <f t="shared" si="0"/>
        <v>712</v>
      </c>
      <c r="K32" s="258" t="s">
        <v>215</v>
      </c>
    </row>
    <row r="33" spans="1:11" x14ac:dyDescent="0.2">
      <c r="A33" s="2201"/>
      <c r="B33" s="2210"/>
      <c r="C33" s="254">
        <v>880</v>
      </c>
      <c r="D33" s="2203"/>
      <c r="E33" s="2203"/>
      <c r="F33" s="2203"/>
      <c r="G33" s="255">
        <v>880</v>
      </c>
      <c r="H33" s="256">
        <v>2262</v>
      </c>
      <c r="I33" s="257">
        <v>880</v>
      </c>
      <c r="J33" s="1039">
        <f t="shared" si="0"/>
        <v>1253</v>
      </c>
      <c r="K33" s="258" t="s">
        <v>209</v>
      </c>
    </row>
    <row r="34" spans="1:11" x14ac:dyDescent="0.2">
      <c r="A34" s="2201" t="s">
        <v>216</v>
      </c>
      <c r="B34" s="2210" t="s">
        <v>217</v>
      </c>
      <c r="C34" s="254">
        <v>100</v>
      </c>
      <c r="D34" s="2203">
        <v>287</v>
      </c>
      <c r="E34" s="2203">
        <v>300</v>
      </c>
      <c r="F34" s="2203">
        <f>SUM(G34:G35)</f>
        <v>300</v>
      </c>
      <c r="G34" s="255">
        <v>100</v>
      </c>
      <c r="H34" s="256">
        <v>2279</v>
      </c>
      <c r="I34" s="257">
        <v>100</v>
      </c>
      <c r="J34" s="1039">
        <f t="shared" si="0"/>
        <v>143</v>
      </c>
      <c r="K34" s="258" t="s">
        <v>218</v>
      </c>
    </row>
    <row r="35" spans="1:11" x14ac:dyDescent="0.2">
      <c r="A35" s="2201"/>
      <c r="B35" s="2210"/>
      <c r="C35" s="254">
        <v>190</v>
      </c>
      <c r="D35" s="2203"/>
      <c r="E35" s="2203"/>
      <c r="F35" s="2203"/>
      <c r="G35" s="255">
        <v>200</v>
      </c>
      <c r="H35" s="256">
        <v>2390</v>
      </c>
      <c r="I35" s="257">
        <v>190</v>
      </c>
      <c r="J35" s="1039">
        <f t="shared" si="0"/>
        <v>271</v>
      </c>
      <c r="K35" s="258" t="s">
        <v>201</v>
      </c>
    </row>
    <row r="36" spans="1:11" x14ac:dyDescent="0.2">
      <c r="A36" s="2201" t="s">
        <v>219</v>
      </c>
      <c r="B36" s="2210" t="s">
        <v>220</v>
      </c>
      <c r="C36" s="2216">
        <v>0</v>
      </c>
      <c r="D36" s="2203">
        <v>0</v>
      </c>
      <c r="E36" s="2203">
        <v>2700</v>
      </c>
      <c r="F36" s="2203">
        <f>SUM(G36:G37)</f>
        <v>300</v>
      </c>
      <c r="G36" s="255">
        <v>100</v>
      </c>
      <c r="H36" s="256">
        <v>2279</v>
      </c>
      <c r="I36" s="257"/>
      <c r="J36" s="1039">
        <f t="shared" si="0"/>
        <v>0</v>
      </c>
      <c r="K36" s="258" t="s">
        <v>218</v>
      </c>
    </row>
    <row r="37" spans="1:11" x14ac:dyDescent="0.2">
      <c r="A37" s="2201"/>
      <c r="B37" s="2210"/>
      <c r="C37" s="2216"/>
      <c r="D37" s="2203"/>
      <c r="E37" s="2203"/>
      <c r="F37" s="2203"/>
      <c r="G37" s="255">
        <v>200</v>
      </c>
      <c r="H37" s="256">
        <v>2390</v>
      </c>
      <c r="I37" s="257"/>
      <c r="J37" s="1039">
        <f t="shared" si="0"/>
        <v>0</v>
      </c>
      <c r="K37" s="258" t="s">
        <v>201</v>
      </c>
    </row>
    <row r="38" spans="1:11" x14ac:dyDescent="0.2">
      <c r="A38" s="249">
        <v>3</v>
      </c>
      <c r="B38" s="250" t="s">
        <v>221</v>
      </c>
      <c r="C38" s="251">
        <f>SUM(C39:C47)</f>
        <v>400</v>
      </c>
      <c r="D38" s="251">
        <f>SUM(D39:D47)</f>
        <v>347</v>
      </c>
      <c r="E38" s="251">
        <f>SUM(E39:E47)</f>
        <v>1336</v>
      </c>
      <c r="F38" s="251">
        <f>SUM(F39:F47)</f>
        <v>1336</v>
      </c>
      <c r="G38" s="251">
        <f>SUM(G39:G47)</f>
        <v>1336</v>
      </c>
      <c r="H38" s="251"/>
      <c r="I38" s="251">
        <f>SUM(I39:I47)</f>
        <v>392</v>
      </c>
      <c r="J38" s="1038">
        <f>SUM(J39:J47)</f>
        <v>561</v>
      </c>
      <c r="K38" s="261"/>
    </row>
    <row r="39" spans="1:11" x14ac:dyDescent="0.2">
      <c r="A39" s="2201" t="s">
        <v>222</v>
      </c>
      <c r="B39" s="2210" t="s">
        <v>223</v>
      </c>
      <c r="C39" s="2216">
        <v>0</v>
      </c>
      <c r="D39" s="2203">
        <v>0</v>
      </c>
      <c r="E39" s="2203">
        <v>828</v>
      </c>
      <c r="F39" s="2203">
        <f>SUM(G39:G43)</f>
        <v>828</v>
      </c>
      <c r="G39" s="255">
        <v>187</v>
      </c>
      <c r="H39" s="256">
        <v>2279</v>
      </c>
      <c r="I39" s="257"/>
      <c r="J39" s="1039">
        <f t="shared" si="0"/>
        <v>0</v>
      </c>
      <c r="K39" s="258" t="s">
        <v>224</v>
      </c>
    </row>
    <row r="40" spans="1:11" x14ac:dyDescent="0.2">
      <c r="A40" s="2201"/>
      <c r="B40" s="2210"/>
      <c r="C40" s="2216"/>
      <c r="D40" s="2203"/>
      <c r="E40" s="2203"/>
      <c r="F40" s="2203"/>
      <c r="G40" s="255">
        <v>242</v>
      </c>
      <c r="H40" s="256">
        <v>2390</v>
      </c>
      <c r="I40" s="257"/>
      <c r="J40" s="1039">
        <f t="shared" si="0"/>
        <v>0</v>
      </c>
      <c r="K40" s="258" t="s">
        <v>201</v>
      </c>
    </row>
    <row r="41" spans="1:11" x14ac:dyDescent="0.2">
      <c r="A41" s="2201"/>
      <c r="B41" s="2210"/>
      <c r="C41" s="2216"/>
      <c r="D41" s="2203"/>
      <c r="E41" s="2203"/>
      <c r="F41" s="2203"/>
      <c r="G41" s="255">
        <v>121</v>
      </c>
      <c r="H41" s="256">
        <v>2264</v>
      </c>
      <c r="I41" s="257"/>
      <c r="J41" s="1039">
        <f t="shared" si="0"/>
        <v>0</v>
      </c>
      <c r="K41" s="258" t="s">
        <v>225</v>
      </c>
    </row>
    <row r="42" spans="1:11" x14ac:dyDescent="0.2">
      <c r="A42" s="2201"/>
      <c r="B42" s="2210"/>
      <c r="C42" s="2216"/>
      <c r="D42" s="2203"/>
      <c r="E42" s="2203"/>
      <c r="F42" s="2203"/>
      <c r="G42" s="255">
        <v>133</v>
      </c>
      <c r="H42" s="256">
        <v>2390</v>
      </c>
      <c r="I42" s="257"/>
      <c r="J42" s="1039">
        <f t="shared" si="0"/>
        <v>0</v>
      </c>
      <c r="K42" s="258" t="s">
        <v>226</v>
      </c>
    </row>
    <row r="43" spans="1:11" x14ac:dyDescent="0.2">
      <c r="A43" s="2201"/>
      <c r="B43" s="2210"/>
      <c r="C43" s="2216"/>
      <c r="D43" s="2203"/>
      <c r="E43" s="2203"/>
      <c r="F43" s="2203"/>
      <c r="G43" s="255">
        <v>145</v>
      </c>
      <c r="H43" s="256">
        <v>2262</v>
      </c>
      <c r="I43" s="257"/>
      <c r="J43" s="1039">
        <f t="shared" si="0"/>
        <v>0</v>
      </c>
      <c r="K43" s="258" t="s">
        <v>209</v>
      </c>
    </row>
    <row r="44" spans="1:11" x14ac:dyDescent="0.2">
      <c r="A44" s="2201" t="s">
        <v>227</v>
      </c>
      <c r="B44" s="2210" t="s">
        <v>228</v>
      </c>
      <c r="C44" s="254">
        <v>100</v>
      </c>
      <c r="D44" s="2203">
        <v>347</v>
      </c>
      <c r="E44" s="2203">
        <v>508</v>
      </c>
      <c r="F44" s="2203">
        <f>SUM(G44:G47)</f>
        <v>508</v>
      </c>
      <c r="G44" s="255">
        <v>206</v>
      </c>
      <c r="H44" s="256">
        <v>2279</v>
      </c>
      <c r="I44" s="257">
        <v>100</v>
      </c>
      <c r="J44" s="1039">
        <f t="shared" si="0"/>
        <v>143</v>
      </c>
      <c r="K44" s="258" t="s">
        <v>229</v>
      </c>
    </row>
    <row r="45" spans="1:11" x14ac:dyDescent="0.2">
      <c r="A45" s="2201"/>
      <c r="B45" s="2210"/>
      <c r="C45" s="254">
        <v>150</v>
      </c>
      <c r="D45" s="2203"/>
      <c r="E45" s="2203"/>
      <c r="F45" s="2203"/>
      <c r="G45" s="255">
        <v>121</v>
      </c>
      <c r="H45" s="256">
        <v>2390</v>
      </c>
      <c r="I45" s="257">
        <v>121</v>
      </c>
      <c r="J45" s="1039">
        <f t="shared" si="0"/>
        <v>173</v>
      </c>
      <c r="K45" s="258" t="s">
        <v>201</v>
      </c>
    </row>
    <row r="46" spans="1:11" x14ac:dyDescent="0.2">
      <c r="A46" s="2201"/>
      <c r="B46" s="2210"/>
      <c r="C46" s="254">
        <v>100</v>
      </c>
      <c r="D46" s="2203"/>
      <c r="E46" s="2203"/>
      <c r="F46" s="2203"/>
      <c r="G46" s="255">
        <v>121</v>
      </c>
      <c r="H46" s="256">
        <v>2264</v>
      </c>
      <c r="I46" s="257">
        <v>121</v>
      </c>
      <c r="J46" s="1039">
        <f t="shared" si="0"/>
        <v>173</v>
      </c>
      <c r="K46" s="258" t="s">
        <v>225</v>
      </c>
    </row>
    <row r="47" spans="1:11" x14ac:dyDescent="0.2">
      <c r="A47" s="2201"/>
      <c r="B47" s="2210"/>
      <c r="C47" s="254">
        <v>50</v>
      </c>
      <c r="D47" s="2203"/>
      <c r="E47" s="2203"/>
      <c r="F47" s="2203"/>
      <c r="G47" s="255">
        <v>60</v>
      </c>
      <c r="H47" s="256">
        <v>2390</v>
      </c>
      <c r="I47" s="257">
        <v>50</v>
      </c>
      <c r="J47" s="1039">
        <f t="shared" si="0"/>
        <v>72</v>
      </c>
      <c r="K47" s="258" t="s">
        <v>226</v>
      </c>
    </row>
    <row r="48" spans="1:11" x14ac:dyDescent="0.2">
      <c r="A48" s="249">
        <v>4</v>
      </c>
      <c r="B48" s="250" t="s">
        <v>230</v>
      </c>
      <c r="C48" s="251">
        <f>SUM(C49:C50)</f>
        <v>7000</v>
      </c>
      <c r="D48" s="251">
        <f>SUM(D49:D50)</f>
        <v>7000</v>
      </c>
      <c r="E48" s="251">
        <f>SUM(E49:E50)</f>
        <v>24570</v>
      </c>
      <c r="F48" s="251">
        <f>SUM(F49:F50)</f>
        <v>7000</v>
      </c>
      <c r="G48" s="251">
        <f>SUM(G49:G50)</f>
        <v>7000</v>
      </c>
      <c r="H48" s="251"/>
      <c r="I48" s="251">
        <f>SUM(I49:I50)</f>
        <v>7000</v>
      </c>
      <c r="J48" s="1038">
        <f>SUM(J49:J50)</f>
        <v>9961</v>
      </c>
      <c r="K48" s="261"/>
    </row>
    <row r="49" spans="1:11" ht="22.5" x14ac:dyDescent="0.2">
      <c r="A49" s="262" t="s">
        <v>231</v>
      </c>
      <c r="B49" s="263" t="s">
        <v>232</v>
      </c>
      <c r="C49" s="264">
        <v>4500</v>
      </c>
      <c r="D49" s="255">
        <v>4500</v>
      </c>
      <c r="E49" s="255">
        <v>17570</v>
      </c>
      <c r="F49" s="255">
        <v>4500</v>
      </c>
      <c r="G49" s="255">
        <v>4500</v>
      </c>
      <c r="H49" s="256">
        <v>2279</v>
      </c>
      <c r="I49" s="255">
        <v>4500</v>
      </c>
      <c r="J49" s="1039">
        <f t="shared" si="0"/>
        <v>6403</v>
      </c>
      <c r="K49" s="258" t="s">
        <v>233</v>
      </c>
    </row>
    <row r="50" spans="1:11" x14ac:dyDescent="0.2">
      <c r="A50" s="262" t="s">
        <v>234</v>
      </c>
      <c r="B50" s="263" t="s">
        <v>235</v>
      </c>
      <c r="C50" s="264">
        <v>2500</v>
      </c>
      <c r="D50" s="255">
        <v>2500</v>
      </c>
      <c r="E50" s="255">
        <v>7000</v>
      </c>
      <c r="F50" s="255">
        <v>2500</v>
      </c>
      <c r="G50" s="255">
        <v>2500</v>
      </c>
      <c r="H50" s="256">
        <v>2279</v>
      </c>
      <c r="I50" s="255">
        <v>2500</v>
      </c>
      <c r="J50" s="1039">
        <f t="shared" si="0"/>
        <v>3558</v>
      </c>
      <c r="K50" s="258" t="s">
        <v>233</v>
      </c>
    </row>
    <row r="51" spans="1:11" x14ac:dyDescent="0.2">
      <c r="A51" s="249">
        <v>5</v>
      </c>
      <c r="B51" s="250" t="s">
        <v>236</v>
      </c>
      <c r="C51" s="251">
        <f>SUM(C52:C65)</f>
        <v>1250</v>
      </c>
      <c r="D51" s="251">
        <f>SUM(D52:D65)</f>
        <v>1244</v>
      </c>
      <c r="E51" s="251">
        <f>SUM(E52:E65)</f>
        <v>2650</v>
      </c>
      <c r="F51" s="251">
        <f>SUM(F52:F65)</f>
        <v>1250</v>
      </c>
      <c r="G51" s="251">
        <f>SUM(G52:G65)</f>
        <v>1250</v>
      </c>
      <c r="H51" s="251"/>
      <c r="I51" s="251">
        <f>SUM(I52:I65)</f>
        <v>1200</v>
      </c>
      <c r="J51" s="1038">
        <f>SUM(J52:J65)</f>
        <v>1710</v>
      </c>
      <c r="K51" s="261"/>
    </row>
    <row r="52" spans="1:11" x14ac:dyDescent="0.2">
      <c r="A52" s="2201" t="s">
        <v>237</v>
      </c>
      <c r="B52" s="2210" t="s">
        <v>238</v>
      </c>
      <c r="C52" s="2203">
        <v>0</v>
      </c>
      <c r="D52" s="2203">
        <v>0</v>
      </c>
      <c r="E52" s="2203">
        <v>400</v>
      </c>
      <c r="F52" s="2203">
        <v>0</v>
      </c>
      <c r="G52" s="257">
        <v>0</v>
      </c>
      <c r="H52" s="256">
        <v>2390</v>
      </c>
      <c r="I52" s="933"/>
      <c r="J52" s="1039">
        <f t="shared" si="0"/>
        <v>0</v>
      </c>
      <c r="K52" s="258" t="s">
        <v>201</v>
      </c>
    </row>
    <row r="53" spans="1:11" x14ac:dyDescent="0.2">
      <c r="A53" s="2201"/>
      <c r="B53" s="2210"/>
      <c r="C53" s="2203"/>
      <c r="D53" s="2203"/>
      <c r="E53" s="2203"/>
      <c r="F53" s="2203"/>
      <c r="G53" s="257">
        <v>0</v>
      </c>
      <c r="H53" s="256">
        <v>2261</v>
      </c>
      <c r="I53" s="933"/>
      <c r="J53" s="1039">
        <f t="shared" si="0"/>
        <v>0</v>
      </c>
      <c r="K53" s="258" t="s">
        <v>239</v>
      </c>
    </row>
    <row r="54" spans="1:11" x14ac:dyDescent="0.2">
      <c r="A54" s="2201"/>
      <c r="B54" s="2210"/>
      <c r="C54" s="2203"/>
      <c r="D54" s="2203"/>
      <c r="E54" s="2203"/>
      <c r="F54" s="2203"/>
      <c r="G54" s="257">
        <v>0</v>
      </c>
      <c r="H54" s="256">
        <v>2279</v>
      </c>
      <c r="I54" s="933"/>
      <c r="J54" s="1039">
        <f t="shared" si="0"/>
        <v>0</v>
      </c>
      <c r="K54" s="258" t="s">
        <v>218</v>
      </c>
    </row>
    <row r="55" spans="1:11" x14ac:dyDescent="0.2">
      <c r="A55" s="2201" t="s">
        <v>240</v>
      </c>
      <c r="B55" s="2210" t="s">
        <v>241</v>
      </c>
      <c r="C55" s="2203">
        <v>0</v>
      </c>
      <c r="D55" s="2203">
        <v>0</v>
      </c>
      <c r="E55" s="2203">
        <v>400</v>
      </c>
      <c r="F55" s="2203">
        <v>0</v>
      </c>
      <c r="G55" s="257">
        <v>0</v>
      </c>
      <c r="H55" s="256">
        <v>2279</v>
      </c>
      <c r="I55" s="933"/>
      <c r="J55" s="1039">
        <f t="shared" si="0"/>
        <v>0</v>
      </c>
      <c r="K55" s="258" t="s">
        <v>218</v>
      </c>
    </row>
    <row r="56" spans="1:11" x14ac:dyDescent="0.2">
      <c r="A56" s="2201"/>
      <c r="B56" s="2210"/>
      <c r="C56" s="2203"/>
      <c r="D56" s="2203"/>
      <c r="E56" s="2203"/>
      <c r="F56" s="2203"/>
      <c r="G56" s="255">
        <v>0</v>
      </c>
      <c r="H56" s="256">
        <v>2261</v>
      </c>
      <c r="I56" s="933"/>
      <c r="J56" s="1039">
        <f t="shared" si="0"/>
        <v>0</v>
      </c>
      <c r="K56" s="258" t="s">
        <v>239</v>
      </c>
    </row>
    <row r="57" spans="1:11" x14ac:dyDescent="0.2">
      <c r="A57" s="2201"/>
      <c r="B57" s="2210"/>
      <c r="C57" s="2203"/>
      <c r="D57" s="2203"/>
      <c r="E57" s="2203"/>
      <c r="F57" s="2203"/>
      <c r="G57" s="255">
        <v>0</v>
      </c>
      <c r="H57" s="256">
        <v>2390</v>
      </c>
      <c r="I57" s="933"/>
      <c r="J57" s="1039">
        <f t="shared" si="0"/>
        <v>0</v>
      </c>
      <c r="K57" s="258" t="s">
        <v>201</v>
      </c>
    </row>
    <row r="58" spans="1:11" x14ac:dyDescent="0.2">
      <c r="A58" s="2201" t="s">
        <v>242</v>
      </c>
      <c r="B58" s="2210" t="s">
        <v>243</v>
      </c>
      <c r="C58" s="2203">
        <v>0</v>
      </c>
      <c r="D58" s="2203">
        <v>0</v>
      </c>
      <c r="E58" s="2203">
        <v>600</v>
      </c>
      <c r="F58" s="2203">
        <v>0</v>
      </c>
      <c r="G58" s="255">
        <v>0</v>
      </c>
      <c r="H58" s="256">
        <v>2261</v>
      </c>
      <c r="I58" s="933"/>
      <c r="J58" s="1039">
        <f t="shared" si="0"/>
        <v>0</v>
      </c>
      <c r="K58" s="258" t="s">
        <v>239</v>
      </c>
    </row>
    <row r="59" spans="1:11" x14ac:dyDescent="0.2">
      <c r="A59" s="2201"/>
      <c r="B59" s="2210"/>
      <c r="C59" s="2203"/>
      <c r="D59" s="2203"/>
      <c r="E59" s="2203"/>
      <c r="F59" s="2203"/>
      <c r="G59" s="255">
        <v>0</v>
      </c>
      <c r="H59" s="256">
        <v>2264</v>
      </c>
      <c r="I59" s="933"/>
      <c r="J59" s="1039">
        <f t="shared" si="0"/>
        <v>0</v>
      </c>
      <c r="K59" s="258" t="s">
        <v>244</v>
      </c>
    </row>
    <row r="60" spans="1:11" x14ac:dyDescent="0.2">
      <c r="A60" s="2201"/>
      <c r="B60" s="2210"/>
      <c r="C60" s="2203"/>
      <c r="D60" s="2203"/>
      <c r="E60" s="2203"/>
      <c r="F60" s="2203"/>
      <c r="G60" s="255">
        <v>0</v>
      </c>
      <c r="H60" s="256">
        <v>2279</v>
      </c>
      <c r="I60" s="933"/>
      <c r="J60" s="1039">
        <f t="shared" si="0"/>
        <v>0</v>
      </c>
      <c r="K60" s="258" t="s">
        <v>218</v>
      </c>
    </row>
    <row r="61" spans="1:11" x14ac:dyDescent="0.2">
      <c r="A61" s="2201" t="s">
        <v>245</v>
      </c>
      <c r="B61" s="2210" t="s">
        <v>1812</v>
      </c>
      <c r="C61" s="254">
        <v>100</v>
      </c>
      <c r="D61" s="2203">
        <v>1244</v>
      </c>
      <c r="E61" s="2203">
        <v>1250</v>
      </c>
      <c r="F61" s="2203">
        <f>SUM(G61:G65)</f>
        <v>1250</v>
      </c>
      <c r="G61" s="255">
        <v>100</v>
      </c>
      <c r="H61" s="256">
        <v>2261</v>
      </c>
      <c r="I61" s="257">
        <v>100</v>
      </c>
      <c r="J61" s="1039">
        <f t="shared" si="0"/>
        <v>143</v>
      </c>
      <c r="K61" s="258" t="s">
        <v>239</v>
      </c>
    </row>
    <row r="62" spans="1:11" x14ac:dyDescent="0.2">
      <c r="A62" s="2201"/>
      <c r="B62" s="2210"/>
      <c r="C62" s="254">
        <v>450</v>
      </c>
      <c r="D62" s="2203"/>
      <c r="E62" s="2203"/>
      <c r="F62" s="2203"/>
      <c r="G62" s="255">
        <v>400</v>
      </c>
      <c r="H62" s="256">
        <v>2264</v>
      </c>
      <c r="I62" s="257">
        <v>400</v>
      </c>
      <c r="J62" s="1039">
        <f t="shared" si="0"/>
        <v>570</v>
      </c>
      <c r="K62" s="258" t="s">
        <v>244</v>
      </c>
    </row>
    <row r="63" spans="1:11" x14ac:dyDescent="0.2">
      <c r="A63" s="2201"/>
      <c r="B63" s="2210"/>
      <c r="C63" s="254">
        <v>300</v>
      </c>
      <c r="D63" s="2203"/>
      <c r="E63" s="2203"/>
      <c r="F63" s="2203"/>
      <c r="G63" s="255">
        <v>300</v>
      </c>
      <c r="H63" s="256">
        <v>2279</v>
      </c>
      <c r="I63" s="257">
        <v>300</v>
      </c>
      <c r="J63" s="1039">
        <f t="shared" si="0"/>
        <v>427</v>
      </c>
      <c r="K63" s="258" t="s">
        <v>218</v>
      </c>
    </row>
    <row r="64" spans="1:11" x14ac:dyDescent="0.2">
      <c r="A64" s="2201"/>
      <c r="B64" s="2210"/>
      <c r="C64" s="254">
        <v>200</v>
      </c>
      <c r="D64" s="2203"/>
      <c r="E64" s="2203"/>
      <c r="F64" s="2203"/>
      <c r="G64" s="255">
        <v>200</v>
      </c>
      <c r="H64" s="256">
        <v>2262</v>
      </c>
      <c r="I64" s="257">
        <v>200</v>
      </c>
      <c r="J64" s="1039">
        <f t="shared" si="0"/>
        <v>285</v>
      </c>
      <c r="K64" s="258" t="s">
        <v>209</v>
      </c>
    </row>
    <row r="65" spans="1:11" x14ac:dyDescent="0.2">
      <c r="A65" s="2201"/>
      <c r="B65" s="2210"/>
      <c r="C65" s="254">
        <v>200</v>
      </c>
      <c r="D65" s="2203"/>
      <c r="E65" s="2203"/>
      <c r="F65" s="2203"/>
      <c r="G65" s="255">
        <v>250</v>
      </c>
      <c r="H65" s="256">
        <v>2390</v>
      </c>
      <c r="I65" s="257">
        <v>200</v>
      </c>
      <c r="J65" s="1039">
        <f t="shared" si="0"/>
        <v>285</v>
      </c>
      <c r="K65" s="258" t="s">
        <v>201</v>
      </c>
    </row>
    <row r="66" spans="1:11" x14ac:dyDescent="0.2">
      <c r="A66" s="249">
        <v>6</v>
      </c>
      <c r="B66" s="250" t="s">
        <v>246</v>
      </c>
      <c r="C66" s="251">
        <f>SUM(C67:C76)</f>
        <v>620</v>
      </c>
      <c r="D66" s="251">
        <f>SUM(D67:D76)</f>
        <v>619</v>
      </c>
      <c r="E66" s="251">
        <f>SUM(E67:E76)</f>
        <v>1080</v>
      </c>
      <c r="F66" s="251">
        <f>SUM(F67:F76)</f>
        <v>1080</v>
      </c>
      <c r="G66" s="251">
        <f>SUM(G67:G76)</f>
        <v>1080</v>
      </c>
      <c r="H66" s="251"/>
      <c r="I66" s="251">
        <f>SUM(I67:I76)</f>
        <v>890</v>
      </c>
      <c r="J66" s="1038">
        <f>SUM(J67:J76)</f>
        <v>1272</v>
      </c>
      <c r="K66" s="261"/>
    </row>
    <row r="67" spans="1:11" x14ac:dyDescent="0.2">
      <c r="A67" s="2201" t="s">
        <v>247</v>
      </c>
      <c r="B67" s="2210" t="s">
        <v>248</v>
      </c>
      <c r="C67" s="254">
        <v>80</v>
      </c>
      <c r="D67" s="2212">
        <v>160</v>
      </c>
      <c r="E67" s="2212">
        <v>200</v>
      </c>
      <c r="F67" s="2212">
        <f>SUM(G67:G68)</f>
        <v>200</v>
      </c>
      <c r="G67" s="257">
        <v>80</v>
      </c>
      <c r="H67" s="256">
        <v>2279</v>
      </c>
      <c r="I67" s="257">
        <v>80</v>
      </c>
      <c r="J67" s="1039">
        <f t="shared" si="0"/>
        <v>114</v>
      </c>
      <c r="K67" s="258" t="s">
        <v>218</v>
      </c>
    </row>
    <row r="68" spans="1:11" x14ac:dyDescent="0.2">
      <c r="A68" s="2201"/>
      <c r="B68" s="2210"/>
      <c r="C68" s="254">
        <v>80</v>
      </c>
      <c r="D68" s="2212"/>
      <c r="E68" s="2212"/>
      <c r="F68" s="2212"/>
      <c r="G68" s="257">
        <v>120</v>
      </c>
      <c r="H68" s="256">
        <v>2390</v>
      </c>
      <c r="I68" s="257">
        <v>100</v>
      </c>
      <c r="J68" s="1039">
        <f t="shared" si="0"/>
        <v>143</v>
      </c>
      <c r="K68" s="258" t="s">
        <v>201</v>
      </c>
    </row>
    <row r="69" spans="1:11" x14ac:dyDescent="0.2">
      <c r="A69" s="2201" t="s">
        <v>249</v>
      </c>
      <c r="B69" s="2210" t="s">
        <v>250</v>
      </c>
      <c r="C69" s="254">
        <v>80</v>
      </c>
      <c r="D69" s="2212">
        <v>160</v>
      </c>
      <c r="E69" s="2212">
        <v>200</v>
      </c>
      <c r="F69" s="2212">
        <f>SUM(G69:G70)</f>
        <v>200</v>
      </c>
      <c r="G69" s="257">
        <v>80</v>
      </c>
      <c r="H69" s="256">
        <v>2279</v>
      </c>
      <c r="I69" s="257">
        <v>80</v>
      </c>
      <c r="J69" s="1039">
        <f t="shared" si="0"/>
        <v>114</v>
      </c>
      <c r="K69" s="258" t="s">
        <v>218</v>
      </c>
    </row>
    <row r="70" spans="1:11" x14ac:dyDescent="0.2">
      <c r="A70" s="2201"/>
      <c r="B70" s="2210"/>
      <c r="C70" s="254">
        <v>80</v>
      </c>
      <c r="D70" s="2212"/>
      <c r="E70" s="2212"/>
      <c r="F70" s="2212"/>
      <c r="G70" s="257">
        <v>120</v>
      </c>
      <c r="H70" s="256">
        <v>2390</v>
      </c>
      <c r="I70" s="257">
        <v>100</v>
      </c>
      <c r="J70" s="1039">
        <f t="shared" si="0"/>
        <v>143</v>
      </c>
      <c r="K70" s="258" t="s">
        <v>201</v>
      </c>
    </row>
    <row r="71" spans="1:11" x14ac:dyDescent="0.2">
      <c r="A71" s="2201" t="s">
        <v>251</v>
      </c>
      <c r="B71" s="2210" t="s">
        <v>252</v>
      </c>
      <c r="C71" s="2202">
        <v>0</v>
      </c>
      <c r="D71" s="2212">
        <v>0</v>
      </c>
      <c r="E71" s="2212">
        <v>230</v>
      </c>
      <c r="F71" s="2212">
        <f>SUM(G71:G74)</f>
        <v>230</v>
      </c>
      <c r="G71" s="257">
        <v>50</v>
      </c>
      <c r="H71" s="256">
        <v>2279</v>
      </c>
      <c r="I71" s="257">
        <v>50</v>
      </c>
      <c r="J71" s="1039">
        <f t="shared" si="0"/>
        <v>72</v>
      </c>
      <c r="K71" s="258" t="s">
        <v>218</v>
      </c>
    </row>
    <row r="72" spans="1:11" x14ac:dyDescent="0.2">
      <c r="A72" s="2201"/>
      <c r="B72" s="2210"/>
      <c r="C72" s="2202"/>
      <c r="D72" s="2212"/>
      <c r="E72" s="2212"/>
      <c r="F72" s="2212"/>
      <c r="G72" s="257">
        <v>80</v>
      </c>
      <c r="H72" s="256">
        <v>2390</v>
      </c>
      <c r="I72" s="257">
        <v>80</v>
      </c>
      <c r="J72" s="1039">
        <f t="shared" si="0"/>
        <v>114</v>
      </c>
      <c r="K72" s="258" t="s">
        <v>201</v>
      </c>
    </row>
    <row r="73" spans="1:11" x14ac:dyDescent="0.2">
      <c r="A73" s="2201"/>
      <c r="B73" s="2210"/>
      <c r="C73" s="2202"/>
      <c r="D73" s="2212"/>
      <c r="E73" s="2212"/>
      <c r="F73" s="2212"/>
      <c r="G73" s="257">
        <v>50</v>
      </c>
      <c r="H73" s="256">
        <v>2264</v>
      </c>
      <c r="I73" s="257">
        <v>50</v>
      </c>
      <c r="J73" s="1039">
        <f t="shared" si="0"/>
        <v>72</v>
      </c>
      <c r="K73" s="258" t="s">
        <v>225</v>
      </c>
    </row>
    <row r="74" spans="1:11" x14ac:dyDescent="0.2">
      <c r="A74" s="2201"/>
      <c r="B74" s="2210"/>
      <c r="C74" s="2202"/>
      <c r="D74" s="2212"/>
      <c r="E74" s="2212"/>
      <c r="F74" s="2212"/>
      <c r="G74" s="257">
        <v>50</v>
      </c>
      <c r="H74" s="256">
        <v>2262</v>
      </c>
      <c r="I74" s="257">
        <v>50</v>
      </c>
      <c r="J74" s="1039">
        <f t="shared" si="0"/>
        <v>72</v>
      </c>
      <c r="K74" s="258" t="s">
        <v>209</v>
      </c>
    </row>
    <row r="75" spans="1:11" x14ac:dyDescent="0.2">
      <c r="A75" s="2201" t="s">
        <v>253</v>
      </c>
      <c r="B75" s="2210" t="s">
        <v>254</v>
      </c>
      <c r="C75" s="254">
        <v>150</v>
      </c>
      <c r="D75" s="2212">
        <v>299</v>
      </c>
      <c r="E75" s="2213">
        <v>450</v>
      </c>
      <c r="F75" s="2212">
        <f>SUM(G75:G76)</f>
        <v>450</v>
      </c>
      <c r="G75" s="266">
        <v>150</v>
      </c>
      <c r="H75" s="267">
        <v>2390</v>
      </c>
      <c r="I75" s="257">
        <v>150</v>
      </c>
      <c r="J75" s="1039">
        <f t="shared" si="0"/>
        <v>214</v>
      </c>
      <c r="K75" s="258" t="s">
        <v>201</v>
      </c>
    </row>
    <row r="76" spans="1:11" x14ac:dyDescent="0.2">
      <c r="A76" s="2201"/>
      <c r="B76" s="2210"/>
      <c r="C76" s="254">
        <v>150</v>
      </c>
      <c r="D76" s="2212"/>
      <c r="E76" s="2213"/>
      <c r="F76" s="2212"/>
      <c r="G76" s="266">
        <v>300</v>
      </c>
      <c r="H76" s="267">
        <v>2390</v>
      </c>
      <c r="I76" s="257">
        <v>150</v>
      </c>
      <c r="J76" s="1039">
        <f t="shared" si="0"/>
        <v>214</v>
      </c>
      <c r="K76" s="258" t="s">
        <v>255</v>
      </c>
    </row>
    <row r="77" spans="1:11" x14ac:dyDescent="0.2">
      <c r="A77" s="249">
        <v>7</v>
      </c>
      <c r="B77" s="250" t="s">
        <v>256</v>
      </c>
      <c r="C77" s="251">
        <f>SUM(C78:C90)</f>
        <v>910</v>
      </c>
      <c r="D77" s="251">
        <f>SUM(D78:D90)</f>
        <v>905</v>
      </c>
      <c r="E77" s="251">
        <f>SUM(E78:E89)</f>
        <v>1400</v>
      </c>
      <c r="F77" s="251">
        <f>SUM(F78:F90)</f>
        <v>800</v>
      </c>
      <c r="G77" s="251">
        <f>SUM(G78:G89)</f>
        <v>800</v>
      </c>
      <c r="H77" s="251"/>
      <c r="I77" s="251">
        <f>SUM(I78:I90)</f>
        <v>800</v>
      </c>
      <c r="J77" s="1038">
        <f>SUM(J78:J90)</f>
        <v>1144</v>
      </c>
      <c r="K77" s="261"/>
    </row>
    <row r="78" spans="1:11" x14ac:dyDescent="0.2">
      <c r="A78" s="2201" t="s">
        <v>257</v>
      </c>
      <c r="B78" s="2210" t="s">
        <v>258</v>
      </c>
      <c r="C78" s="254">
        <v>50</v>
      </c>
      <c r="D78" s="2203">
        <v>297</v>
      </c>
      <c r="E78" s="2203">
        <v>450</v>
      </c>
      <c r="F78" s="2203">
        <v>300</v>
      </c>
      <c r="G78" s="255">
        <v>50</v>
      </c>
      <c r="H78" s="256">
        <v>2264</v>
      </c>
      <c r="I78" s="933">
        <v>50</v>
      </c>
      <c r="J78" s="1039">
        <f t="shared" si="0"/>
        <v>72</v>
      </c>
      <c r="K78" s="258" t="s">
        <v>259</v>
      </c>
    </row>
    <row r="79" spans="1:11" x14ac:dyDescent="0.2">
      <c r="A79" s="2201"/>
      <c r="B79" s="2210"/>
      <c r="C79" s="254">
        <v>200</v>
      </c>
      <c r="D79" s="2203"/>
      <c r="E79" s="2203"/>
      <c r="F79" s="2203"/>
      <c r="G79" s="255">
        <v>200</v>
      </c>
      <c r="H79" s="256">
        <v>2390</v>
      </c>
      <c r="I79" s="933">
        <v>200</v>
      </c>
      <c r="J79" s="1039">
        <f t="shared" si="0"/>
        <v>285</v>
      </c>
      <c r="K79" s="258" t="s">
        <v>201</v>
      </c>
    </row>
    <row r="80" spans="1:11" x14ac:dyDescent="0.2">
      <c r="A80" s="2201"/>
      <c r="B80" s="2210"/>
      <c r="C80" s="254">
        <v>50</v>
      </c>
      <c r="D80" s="2203"/>
      <c r="E80" s="2203"/>
      <c r="F80" s="2203"/>
      <c r="G80" s="255">
        <v>50</v>
      </c>
      <c r="H80" s="256">
        <v>2261</v>
      </c>
      <c r="I80" s="933">
        <v>50</v>
      </c>
      <c r="J80" s="1039">
        <f t="shared" si="0"/>
        <v>72</v>
      </c>
      <c r="K80" s="258" t="s">
        <v>260</v>
      </c>
    </row>
    <row r="81" spans="1:11" x14ac:dyDescent="0.2">
      <c r="A81" s="2201" t="s">
        <v>261</v>
      </c>
      <c r="B81" s="2210" t="s">
        <v>262</v>
      </c>
      <c r="C81" s="2216">
        <v>0</v>
      </c>
      <c r="D81" s="2203">
        <v>0</v>
      </c>
      <c r="E81" s="2203">
        <v>300</v>
      </c>
      <c r="F81" s="2203">
        <v>0</v>
      </c>
      <c r="G81" s="255">
        <v>0</v>
      </c>
      <c r="H81" s="256">
        <v>2264</v>
      </c>
      <c r="I81" s="933"/>
      <c r="J81" s="1039">
        <f t="shared" si="0"/>
        <v>0</v>
      </c>
      <c r="K81" s="258" t="s">
        <v>259</v>
      </c>
    </row>
    <row r="82" spans="1:11" x14ac:dyDescent="0.2">
      <c r="A82" s="2201"/>
      <c r="B82" s="2210"/>
      <c r="C82" s="2216"/>
      <c r="D82" s="2203"/>
      <c r="E82" s="2203"/>
      <c r="F82" s="2203"/>
      <c r="G82" s="255">
        <v>0</v>
      </c>
      <c r="H82" s="256">
        <v>2261</v>
      </c>
      <c r="I82" s="933"/>
      <c r="J82" s="1039">
        <f t="shared" si="0"/>
        <v>0</v>
      </c>
      <c r="K82" s="258" t="s">
        <v>260</v>
      </c>
    </row>
    <row r="83" spans="1:11" x14ac:dyDescent="0.2">
      <c r="A83" s="2201"/>
      <c r="B83" s="2210"/>
      <c r="C83" s="2216"/>
      <c r="D83" s="2203"/>
      <c r="E83" s="2203"/>
      <c r="F83" s="2203"/>
      <c r="G83" s="255">
        <v>0</v>
      </c>
      <c r="H83" s="256">
        <v>2390</v>
      </c>
      <c r="I83" s="933"/>
      <c r="J83" s="1039">
        <f t="shared" si="0"/>
        <v>0</v>
      </c>
      <c r="K83" s="258" t="s">
        <v>201</v>
      </c>
    </row>
    <row r="84" spans="1:11" x14ac:dyDescent="0.2">
      <c r="A84" s="2209" t="s">
        <v>263</v>
      </c>
      <c r="B84" s="2210" t="s">
        <v>264</v>
      </c>
      <c r="C84" s="254">
        <v>50</v>
      </c>
      <c r="D84" s="2203">
        <v>299</v>
      </c>
      <c r="E84" s="2203">
        <v>450</v>
      </c>
      <c r="F84" s="2203">
        <v>300</v>
      </c>
      <c r="G84" s="255">
        <v>50</v>
      </c>
      <c r="H84" s="256">
        <v>2264</v>
      </c>
      <c r="I84" s="257">
        <v>50</v>
      </c>
      <c r="J84" s="1039">
        <f t="shared" ref="J84:J152" si="1">ROUNDUP(I84/0.702804,0)</f>
        <v>72</v>
      </c>
      <c r="K84" s="258" t="s">
        <v>259</v>
      </c>
    </row>
    <row r="85" spans="1:11" x14ac:dyDescent="0.2">
      <c r="A85" s="2209"/>
      <c r="B85" s="2210"/>
      <c r="C85" s="254">
        <v>200</v>
      </c>
      <c r="D85" s="2203"/>
      <c r="E85" s="2203"/>
      <c r="F85" s="2203"/>
      <c r="G85" s="255">
        <v>200</v>
      </c>
      <c r="H85" s="256">
        <v>2390</v>
      </c>
      <c r="I85" s="257">
        <v>200</v>
      </c>
      <c r="J85" s="1039">
        <f t="shared" si="1"/>
        <v>285</v>
      </c>
      <c r="K85" s="258" t="s">
        <v>201</v>
      </c>
    </row>
    <row r="86" spans="1:11" x14ac:dyDescent="0.2">
      <c r="A86" s="2209"/>
      <c r="B86" s="2210"/>
      <c r="C86" s="254">
        <v>50</v>
      </c>
      <c r="D86" s="2203"/>
      <c r="E86" s="2203"/>
      <c r="F86" s="2203"/>
      <c r="G86" s="255">
        <v>50</v>
      </c>
      <c r="H86" s="256">
        <v>2261</v>
      </c>
      <c r="I86" s="257">
        <v>50</v>
      </c>
      <c r="J86" s="1039">
        <f t="shared" si="1"/>
        <v>72</v>
      </c>
      <c r="K86" s="258" t="s">
        <v>260</v>
      </c>
    </row>
    <row r="87" spans="1:11" x14ac:dyDescent="0.2">
      <c r="A87" s="2201" t="s">
        <v>265</v>
      </c>
      <c r="B87" s="2210" t="s">
        <v>266</v>
      </c>
      <c r="C87" s="254">
        <v>50</v>
      </c>
      <c r="D87" s="2203">
        <v>200</v>
      </c>
      <c r="E87" s="2203">
        <v>200</v>
      </c>
      <c r="F87" s="2203">
        <v>200</v>
      </c>
      <c r="G87" s="255">
        <v>0</v>
      </c>
      <c r="H87" s="256">
        <v>2264</v>
      </c>
      <c r="I87" s="257"/>
      <c r="J87" s="1039">
        <f t="shared" si="1"/>
        <v>0</v>
      </c>
      <c r="K87" s="258" t="s">
        <v>259</v>
      </c>
    </row>
    <row r="88" spans="1:11" x14ac:dyDescent="0.2">
      <c r="A88" s="2201"/>
      <c r="B88" s="2210"/>
      <c r="C88" s="254">
        <v>100</v>
      </c>
      <c r="D88" s="2203"/>
      <c r="E88" s="2203"/>
      <c r="F88" s="2203"/>
      <c r="G88" s="255">
        <v>150</v>
      </c>
      <c r="H88" s="256">
        <v>2390</v>
      </c>
      <c r="I88" s="257">
        <v>150</v>
      </c>
      <c r="J88" s="1039">
        <f t="shared" si="1"/>
        <v>214</v>
      </c>
      <c r="K88" s="258" t="s">
        <v>201</v>
      </c>
    </row>
    <row r="89" spans="1:11" x14ac:dyDescent="0.2">
      <c r="A89" s="2201"/>
      <c r="B89" s="2210"/>
      <c r="C89" s="254">
        <v>50</v>
      </c>
      <c r="D89" s="2203"/>
      <c r="E89" s="2203"/>
      <c r="F89" s="2203"/>
      <c r="G89" s="255">
        <v>50</v>
      </c>
      <c r="H89" s="256">
        <v>2261</v>
      </c>
      <c r="I89" s="257">
        <v>50</v>
      </c>
      <c r="J89" s="1039">
        <f>ROUNDUP(I89/0.702804,0)</f>
        <v>72</v>
      </c>
      <c r="K89" s="258" t="s">
        <v>260</v>
      </c>
    </row>
    <row r="90" spans="1:11" ht="22.5" x14ac:dyDescent="0.2">
      <c r="A90" s="268" t="s">
        <v>267</v>
      </c>
      <c r="B90" s="263" t="s">
        <v>268</v>
      </c>
      <c r="C90" s="264">
        <v>110</v>
      </c>
      <c r="D90" s="264">
        <v>109</v>
      </c>
      <c r="E90" s="255">
        <v>0</v>
      </c>
      <c r="F90" s="264">
        <v>0</v>
      </c>
      <c r="G90" s="255">
        <v>0</v>
      </c>
      <c r="H90" s="256">
        <v>2279</v>
      </c>
      <c r="I90" s="257"/>
      <c r="J90" s="1039">
        <f t="shared" si="1"/>
        <v>0</v>
      </c>
      <c r="K90" s="258"/>
    </row>
    <row r="91" spans="1:11" x14ac:dyDescent="0.2">
      <c r="A91" s="249">
        <v>8</v>
      </c>
      <c r="B91" s="250" t="s">
        <v>269</v>
      </c>
      <c r="C91" s="251">
        <f>SUM(C92:C109)</f>
        <v>600</v>
      </c>
      <c r="D91" s="251">
        <f>SUM(D92:D109)</f>
        <v>600</v>
      </c>
      <c r="E91" s="251">
        <f>SUM(E92:E109)</f>
        <v>3089</v>
      </c>
      <c r="F91" s="251">
        <f>SUM(F92:F109)</f>
        <v>3089</v>
      </c>
      <c r="G91" s="251">
        <f>SUM(G92:G109)</f>
        <v>3089</v>
      </c>
      <c r="H91" s="251"/>
      <c r="I91" s="251">
        <f>SUM(I92:I109)</f>
        <v>2940</v>
      </c>
      <c r="J91" s="1038">
        <f>SUM(J92:J109)</f>
        <v>4193</v>
      </c>
      <c r="K91" s="261"/>
    </row>
    <row r="92" spans="1:11" x14ac:dyDescent="0.2">
      <c r="A92" s="262" t="s">
        <v>270</v>
      </c>
      <c r="B92" s="263" t="s">
        <v>271</v>
      </c>
      <c r="C92" s="255">
        <v>0</v>
      </c>
      <c r="D92" s="255">
        <v>0</v>
      </c>
      <c r="E92" s="255">
        <v>58</v>
      </c>
      <c r="F92" s="255">
        <v>58</v>
      </c>
      <c r="G92" s="255">
        <v>58</v>
      </c>
      <c r="H92" s="256">
        <v>2279</v>
      </c>
      <c r="I92" s="255">
        <v>58</v>
      </c>
      <c r="J92" s="1039">
        <f t="shared" si="1"/>
        <v>83</v>
      </c>
      <c r="K92" s="258" t="s">
        <v>203</v>
      </c>
    </row>
    <row r="93" spans="1:11" x14ac:dyDescent="0.2">
      <c r="A93" s="262" t="s">
        <v>272</v>
      </c>
      <c r="B93" s="263" t="s">
        <v>273</v>
      </c>
      <c r="C93" s="255">
        <v>0</v>
      </c>
      <c r="D93" s="255">
        <v>0</v>
      </c>
      <c r="E93" s="255">
        <v>110</v>
      </c>
      <c r="F93" s="255">
        <v>110</v>
      </c>
      <c r="G93" s="255">
        <v>110</v>
      </c>
      <c r="H93" s="256">
        <v>2279</v>
      </c>
      <c r="I93" s="255">
        <v>110</v>
      </c>
      <c r="J93" s="1039">
        <f t="shared" si="1"/>
        <v>157</v>
      </c>
      <c r="K93" s="258" t="s">
        <v>203</v>
      </c>
    </row>
    <row r="94" spans="1:11" x14ac:dyDescent="0.2">
      <c r="A94" s="262" t="s">
        <v>274</v>
      </c>
      <c r="B94" s="263" t="s">
        <v>275</v>
      </c>
      <c r="C94" s="255">
        <v>0</v>
      </c>
      <c r="D94" s="255">
        <v>0</v>
      </c>
      <c r="E94" s="255">
        <v>96</v>
      </c>
      <c r="F94" s="255">
        <v>96</v>
      </c>
      <c r="G94" s="255">
        <v>96</v>
      </c>
      <c r="H94" s="256">
        <v>2279</v>
      </c>
      <c r="I94" s="255">
        <v>96</v>
      </c>
      <c r="J94" s="1039">
        <f t="shared" si="1"/>
        <v>137</v>
      </c>
      <c r="K94" s="258" t="s">
        <v>203</v>
      </c>
    </row>
    <row r="95" spans="1:11" x14ac:dyDescent="0.2">
      <c r="A95" s="262" t="s">
        <v>276</v>
      </c>
      <c r="B95" s="263" t="s">
        <v>277</v>
      </c>
      <c r="C95" s="255">
        <v>0</v>
      </c>
      <c r="D95" s="255">
        <v>0</v>
      </c>
      <c r="E95" s="255">
        <v>143</v>
      </c>
      <c r="F95" s="255">
        <v>143</v>
      </c>
      <c r="G95" s="255">
        <v>143</v>
      </c>
      <c r="H95" s="256">
        <v>2279</v>
      </c>
      <c r="I95" s="255">
        <v>143</v>
      </c>
      <c r="J95" s="1039">
        <f t="shared" si="1"/>
        <v>204</v>
      </c>
      <c r="K95" s="258" t="s">
        <v>203</v>
      </c>
    </row>
    <row r="96" spans="1:11" x14ac:dyDescent="0.2">
      <c r="A96" s="262" t="s">
        <v>278</v>
      </c>
      <c r="B96" s="263" t="s">
        <v>279</v>
      </c>
      <c r="C96" s="255">
        <v>0</v>
      </c>
      <c r="D96" s="255">
        <v>0</v>
      </c>
      <c r="E96" s="255">
        <v>199</v>
      </c>
      <c r="F96" s="255">
        <v>199</v>
      </c>
      <c r="G96" s="255">
        <v>199</v>
      </c>
      <c r="H96" s="256">
        <v>2279</v>
      </c>
      <c r="I96" s="255">
        <v>199</v>
      </c>
      <c r="J96" s="1039">
        <f t="shared" si="1"/>
        <v>284</v>
      </c>
      <c r="K96" s="258" t="s">
        <v>203</v>
      </c>
    </row>
    <row r="97" spans="1:11" x14ac:dyDescent="0.2">
      <c r="A97" s="262" t="s">
        <v>280</v>
      </c>
      <c r="B97" s="263" t="s">
        <v>281</v>
      </c>
      <c r="C97" s="255">
        <v>0</v>
      </c>
      <c r="D97" s="255">
        <v>0</v>
      </c>
      <c r="E97" s="255">
        <v>199</v>
      </c>
      <c r="F97" s="255">
        <v>199</v>
      </c>
      <c r="G97" s="255">
        <v>199</v>
      </c>
      <c r="H97" s="256">
        <v>2279</v>
      </c>
      <c r="I97" s="255">
        <v>199</v>
      </c>
      <c r="J97" s="1039">
        <f t="shared" si="1"/>
        <v>284</v>
      </c>
      <c r="K97" s="258" t="s">
        <v>203</v>
      </c>
    </row>
    <row r="98" spans="1:11" x14ac:dyDescent="0.2">
      <c r="A98" s="262" t="s">
        <v>282</v>
      </c>
      <c r="B98" s="263" t="s">
        <v>283</v>
      </c>
      <c r="C98" s="255">
        <v>0</v>
      </c>
      <c r="D98" s="255">
        <v>0</v>
      </c>
      <c r="E98" s="255">
        <v>253</v>
      </c>
      <c r="F98" s="255">
        <v>253</v>
      </c>
      <c r="G98" s="255">
        <v>253</v>
      </c>
      <c r="H98" s="256">
        <v>2279</v>
      </c>
      <c r="I98" s="255">
        <v>253</v>
      </c>
      <c r="J98" s="1039">
        <f t="shared" si="1"/>
        <v>360</v>
      </c>
      <c r="K98" s="258" t="s">
        <v>203</v>
      </c>
    </row>
    <row r="99" spans="1:11" x14ac:dyDescent="0.2">
      <c r="A99" s="262" t="s">
        <v>284</v>
      </c>
      <c r="B99" s="263" t="s">
        <v>285</v>
      </c>
      <c r="C99" s="255">
        <v>0</v>
      </c>
      <c r="D99" s="255">
        <v>0</v>
      </c>
      <c r="E99" s="255">
        <v>107</v>
      </c>
      <c r="F99" s="255">
        <v>107</v>
      </c>
      <c r="G99" s="255">
        <v>107</v>
      </c>
      <c r="H99" s="256">
        <v>2279</v>
      </c>
      <c r="I99" s="255">
        <v>107</v>
      </c>
      <c r="J99" s="1039">
        <f t="shared" si="1"/>
        <v>153</v>
      </c>
      <c r="K99" s="258" t="s">
        <v>203</v>
      </c>
    </row>
    <row r="100" spans="1:11" x14ac:dyDescent="0.2">
      <c r="A100" s="262" t="s">
        <v>286</v>
      </c>
      <c r="B100" s="263" t="s">
        <v>287</v>
      </c>
      <c r="C100" s="255">
        <v>0</v>
      </c>
      <c r="D100" s="255">
        <v>0</v>
      </c>
      <c r="E100" s="255">
        <v>62</v>
      </c>
      <c r="F100" s="255">
        <v>62</v>
      </c>
      <c r="G100" s="255">
        <v>62</v>
      </c>
      <c r="H100" s="256">
        <v>2279</v>
      </c>
      <c r="I100" s="255">
        <v>62</v>
      </c>
      <c r="J100" s="1039">
        <f t="shared" si="1"/>
        <v>89</v>
      </c>
      <c r="K100" s="258" t="s">
        <v>203</v>
      </c>
    </row>
    <row r="101" spans="1:11" x14ac:dyDescent="0.2">
      <c r="A101" s="262" t="s">
        <v>288</v>
      </c>
      <c r="B101" s="263" t="s">
        <v>289</v>
      </c>
      <c r="C101" s="255">
        <v>0</v>
      </c>
      <c r="D101" s="255">
        <v>0</v>
      </c>
      <c r="E101" s="255">
        <v>97</v>
      </c>
      <c r="F101" s="255">
        <v>97</v>
      </c>
      <c r="G101" s="255">
        <v>97</v>
      </c>
      <c r="H101" s="256">
        <v>2279</v>
      </c>
      <c r="I101" s="255">
        <v>97</v>
      </c>
      <c r="J101" s="1039">
        <f t="shared" si="1"/>
        <v>139</v>
      </c>
      <c r="K101" s="258" t="s">
        <v>203</v>
      </c>
    </row>
    <row r="102" spans="1:11" x14ac:dyDescent="0.2">
      <c r="A102" s="262" t="s">
        <v>290</v>
      </c>
      <c r="B102" s="263" t="s">
        <v>291</v>
      </c>
      <c r="C102" s="255">
        <v>0</v>
      </c>
      <c r="D102" s="255">
        <v>0</v>
      </c>
      <c r="E102" s="255">
        <v>112</v>
      </c>
      <c r="F102" s="255">
        <v>112</v>
      </c>
      <c r="G102" s="255">
        <v>112</v>
      </c>
      <c r="H102" s="256">
        <v>2279</v>
      </c>
      <c r="I102" s="255">
        <v>112</v>
      </c>
      <c r="J102" s="1039">
        <f t="shared" si="1"/>
        <v>160</v>
      </c>
      <c r="K102" s="258" t="s">
        <v>203</v>
      </c>
    </row>
    <row r="103" spans="1:11" x14ac:dyDescent="0.2">
      <c r="A103" s="262" t="s">
        <v>292</v>
      </c>
      <c r="B103" s="263" t="s">
        <v>293</v>
      </c>
      <c r="C103" s="255">
        <v>0</v>
      </c>
      <c r="D103" s="255">
        <v>0</v>
      </c>
      <c r="E103" s="255">
        <v>54</v>
      </c>
      <c r="F103" s="255">
        <v>54</v>
      </c>
      <c r="G103" s="255">
        <v>54</v>
      </c>
      <c r="H103" s="256">
        <v>2279</v>
      </c>
      <c r="I103" s="255">
        <v>54</v>
      </c>
      <c r="J103" s="1039">
        <f t="shared" si="1"/>
        <v>77</v>
      </c>
      <c r="K103" s="258" t="s">
        <v>203</v>
      </c>
    </row>
    <row r="104" spans="1:11" x14ac:dyDescent="0.2">
      <c r="A104" s="2201" t="s">
        <v>294</v>
      </c>
      <c r="B104" s="2210" t="s">
        <v>295</v>
      </c>
      <c r="C104" s="254">
        <v>100</v>
      </c>
      <c r="D104" s="2203">
        <v>250</v>
      </c>
      <c r="E104" s="2203">
        <v>350</v>
      </c>
      <c r="F104" s="2203">
        <f>SUM(G104:G105)</f>
        <v>350</v>
      </c>
      <c r="G104" s="255">
        <v>100</v>
      </c>
      <c r="H104" s="256">
        <v>2390</v>
      </c>
      <c r="I104" s="257">
        <v>100</v>
      </c>
      <c r="J104" s="1039">
        <f t="shared" si="1"/>
        <v>143</v>
      </c>
      <c r="K104" s="258" t="s">
        <v>296</v>
      </c>
    </row>
    <row r="105" spans="1:11" x14ac:dyDescent="0.2">
      <c r="A105" s="2201"/>
      <c r="B105" s="2210"/>
      <c r="C105" s="254">
        <v>150</v>
      </c>
      <c r="D105" s="2203"/>
      <c r="E105" s="2203"/>
      <c r="F105" s="2203"/>
      <c r="G105" s="255">
        <v>250</v>
      </c>
      <c r="H105" s="256">
        <v>2390</v>
      </c>
      <c r="I105" s="257">
        <v>200</v>
      </c>
      <c r="J105" s="1039">
        <f t="shared" si="1"/>
        <v>285</v>
      </c>
      <c r="K105" s="258" t="s">
        <v>201</v>
      </c>
    </row>
    <row r="106" spans="1:11" x14ac:dyDescent="0.2">
      <c r="A106" s="2201" t="s">
        <v>297</v>
      </c>
      <c r="B106" s="2210" t="s">
        <v>298</v>
      </c>
      <c r="C106" s="254">
        <v>100</v>
      </c>
      <c r="D106" s="2203">
        <v>350</v>
      </c>
      <c r="E106" s="2203">
        <v>499</v>
      </c>
      <c r="F106" s="2203">
        <f>SUM(G106:G107)</f>
        <v>499</v>
      </c>
      <c r="G106" s="255">
        <v>219</v>
      </c>
      <c r="H106" s="256">
        <v>2390</v>
      </c>
      <c r="I106" s="257">
        <v>150</v>
      </c>
      <c r="J106" s="1039">
        <f t="shared" si="1"/>
        <v>214</v>
      </c>
      <c r="K106" s="258" t="s">
        <v>201</v>
      </c>
    </row>
    <row r="107" spans="1:11" x14ac:dyDescent="0.2">
      <c r="A107" s="2201"/>
      <c r="B107" s="2210"/>
      <c r="C107" s="254">
        <v>250</v>
      </c>
      <c r="D107" s="2203"/>
      <c r="E107" s="2203"/>
      <c r="F107" s="2203"/>
      <c r="G107" s="255">
        <v>280</v>
      </c>
      <c r="H107" s="256">
        <v>2279</v>
      </c>
      <c r="I107" s="257">
        <v>250</v>
      </c>
      <c r="J107" s="1039">
        <f t="shared" si="1"/>
        <v>356</v>
      </c>
      <c r="K107" s="258" t="s">
        <v>218</v>
      </c>
    </row>
    <row r="108" spans="1:11" x14ac:dyDescent="0.2">
      <c r="A108" s="2201" t="s">
        <v>299</v>
      </c>
      <c r="B108" s="2210" t="s">
        <v>300</v>
      </c>
      <c r="C108" s="2216">
        <v>0</v>
      </c>
      <c r="D108" s="2203">
        <v>0</v>
      </c>
      <c r="E108" s="2203">
        <v>750</v>
      </c>
      <c r="F108" s="2203">
        <f>SUM(G108:G109)</f>
        <v>750</v>
      </c>
      <c r="G108" s="255">
        <v>500</v>
      </c>
      <c r="H108" s="256">
        <v>2390</v>
      </c>
      <c r="I108" s="257">
        <v>500</v>
      </c>
      <c r="J108" s="1039">
        <f t="shared" si="1"/>
        <v>712</v>
      </c>
      <c r="K108" s="258" t="s">
        <v>201</v>
      </c>
    </row>
    <row r="109" spans="1:11" x14ac:dyDescent="0.2">
      <c r="A109" s="2201"/>
      <c r="B109" s="2210"/>
      <c r="C109" s="2216"/>
      <c r="D109" s="2203"/>
      <c r="E109" s="2203"/>
      <c r="F109" s="2203"/>
      <c r="G109" s="255">
        <v>250</v>
      </c>
      <c r="H109" s="256">
        <v>2279</v>
      </c>
      <c r="I109" s="257">
        <v>250</v>
      </c>
      <c r="J109" s="1039">
        <f t="shared" si="1"/>
        <v>356</v>
      </c>
      <c r="K109" s="258" t="s">
        <v>218</v>
      </c>
    </row>
    <row r="110" spans="1:11" x14ac:dyDescent="0.2">
      <c r="A110" s="249">
        <v>9</v>
      </c>
      <c r="B110" s="250" t="s">
        <v>301</v>
      </c>
      <c r="C110" s="251">
        <f>SUM(C111:C118)</f>
        <v>1030</v>
      </c>
      <c r="D110" s="251">
        <f>SUM(D111:D118)</f>
        <v>1030</v>
      </c>
      <c r="E110" s="251">
        <f>SUM(E111:E118)</f>
        <v>3400</v>
      </c>
      <c r="F110" s="251">
        <f>SUM(F111:F118)</f>
        <v>2000</v>
      </c>
      <c r="G110" s="251">
        <f>SUM(G111:G118)</f>
        <v>2000</v>
      </c>
      <c r="H110" s="251"/>
      <c r="I110" s="251">
        <f>SUM(I111:I118)</f>
        <v>1030</v>
      </c>
      <c r="J110" s="1038">
        <f>SUM(J111:J118)</f>
        <v>1470</v>
      </c>
      <c r="K110" s="261"/>
    </row>
    <row r="111" spans="1:11" ht="22.5" x14ac:dyDescent="0.2">
      <c r="A111" s="262" t="s">
        <v>302</v>
      </c>
      <c r="B111" s="263" t="s">
        <v>303</v>
      </c>
      <c r="C111" s="264">
        <v>240</v>
      </c>
      <c r="D111" s="255">
        <v>240</v>
      </c>
      <c r="E111" s="255">
        <v>400</v>
      </c>
      <c r="F111" s="255">
        <v>240</v>
      </c>
      <c r="G111" s="255">
        <v>240</v>
      </c>
      <c r="H111" s="256">
        <v>2279</v>
      </c>
      <c r="I111" s="255">
        <v>240</v>
      </c>
      <c r="J111" s="1039">
        <f t="shared" si="1"/>
        <v>342</v>
      </c>
      <c r="K111" s="258" t="s">
        <v>218</v>
      </c>
    </row>
    <row r="112" spans="1:11" ht="22.5" x14ac:dyDescent="0.2">
      <c r="A112" s="262" t="s">
        <v>304</v>
      </c>
      <c r="B112" s="263" t="s">
        <v>305</v>
      </c>
      <c r="C112" s="264">
        <v>100</v>
      </c>
      <c r="D112" s="255">
        <v>100</v>
      </c>
      <c r="E112" s="255">
        <v>292</v>
      </c>
      <c r="F112" s="255">
        <v>200</v>
      </c>
      <c r="G112" s="255">
        <v>200</v>
      </c>
      <c r="H112" s="256">
        <v>2279</v>
      </c>
      <c r="I112" s="255">
        <v>100</v>
      </c>
      <c r="J112" s="1039">
        <f t="shared" si="1"/>
        <v>143</v>
      </c>
      <c r="K112" s="258" t="s">
        <v>218</v>
      </c>
    </row>
    <row r="113" spans="1:11" x14ac:dyDescent="0.2">
      <c r="A113" s="262" t="s">
        <v>306</v>
      </c>
      <c r="B113" s="263" t="s">
        <v>307</v>
      </c>
      <c r="C113" s="264">
        <v>120</v>
      </c>
      <c r="D113" s="255">
        <v>120</v>
      </c>
      <c r="E113" s="255">
        <v>310</v>
      </c>
      <c r="F113" s="255">
        <v>200</v>
      </c>
      <c r="G113" s="255">
        <v>200</v>
      </c>
      <c r="H113" s="256">
        <v>2279</v>
      </c>
      <c r="I113" s="255">
        <v>120</v>
      </c>
      <c r="J113" s="1039">
        <f t="shared" si="1"/>
        <v>171</v>
      </c>
      <c r="K113" s="258" t="s">
        <v>218</v>
      </c>
    </row>
    <row r="114" spans="1:11" ht="22.5" x14ac:dyDescent="0.2">
      <c r="A114" s="262" t="s">
        <v>308</v>
      </c>
      <c r="B114" s="263" t="s">
        <v>309</v>
      </c>
      <c r="C114" s="264">
        <v>120</v>
      </c>
      <c r="D114" s="255">
        <v>120</v>
      </c>
      <c r="E114" s="255">
        <v>718</v>
      </c>
      <c r="F114" s="255">
        <v>350</v>
      </c>
      <c r="G114" s="255">
        <v>350</v>
      </c>
      <c r="H114" s="256">
        <v>2279</v>
      </c>
      <c r="I114" s="255">
        <v>120</v>
      </c>
      <c r="J114" s="1039">
        <f t="shared" si="1"/>
        <v>171</v>
      </c>
      <c r="K114" s="258" t="s">
        <v>218</v>
      </c>
    </row>
    <row r="115" spans="1:11" x14ac:dyDescent="0.2">
      <c r="A115" s="262" t="s">
        <v>310</v>
      </c>
      <c r="B115" s="263" t="s">
        <v>311</v>
      </c>
      <c r="C115" s="264">
        <v>150</v>
      </c>
      <c r="D115" s="255">
        <v>150</v>
      </c>
      <c r="E115" s="255">
        <v>525</v>
      </c>
      <c r="F115" s="255">
        <v>260</v>
      </c>
      <c r="G115" s="255">
        <v>260</v>
      </c>
      <c r="H115" s="256">
        <v>2279</v>
      </c>
      <c r="I115" s="255">
        <v>150</v>
      </c>
      <c r="J115" s="1039">
        <f t="shared" si="1"/>
        <v>214</v>
      </c>
      <c r="K115" s="258" t="s">
        <v>218</v>
      </c>
    </row>
    <row r="116" spans="1:11" x14ac:dyDescent="0.2">
      <c r="A116" s="262" t="s">
        <v>312</v>
      </c>
      <c r="B116" s="263" t="s">
        <v>313</v>
      </c>
      <c r="C116" s="264">
        <v>100</v>
      </c>
      <c r="D116" s="255">
        <v>100</v>
      </c>
      <c r="E116" s="255">
        <v>400</v>
      </c>
      <c r="F116" s="255">
        <v>200</v>
      </c>
      <c r="G116" s="255">
        <v>200</v>
      </c>
      <c r="H116" s="256">
        <v>2279</v>
      </c>
      <c r="I116" s="255">
        <v>100</v>
      </c>
      <c r="J116" s="1039">
        <f t="shared" si="1"/>
        <v>143</v>
      </c>
      <c r="K116" s="258" t="s">
        <v>218</v>
      </c>
    </row>
    <row r="117" spans="1:11" x14ac:dyDescent="0.2">
      <c r="A117" s="262" t="s">
        <v>314</v>
      </c>
      <c r="B117" s="263" t="s">
        <v>315</v>
      </c>
      <c r="C117" s="264">
        <v>100</v>
      </c>
      <c r="D117" s="255">
        <v>100</v>
      </c>
      <c r="E117" s="255">
        <v>463</v>
      </c>
      <c r="F117" s="255">
        <v>350</v>
      </c>
      <c r="G117" s="255">
        <v>350</v>
      </c>
      <c r="H117" s="256">
        <v>2279</v>
      </c>
      <c r="I117" s="255">
        <v>100</v>
      </c>
      <c r="J117" s="1039">
        <f t="shared" si="1"/>
        <v>143</v>
      </c>
      <c r="K117" s="258" t="s">
        <v>218</v>
      </c>
    </row>
    <row r="118" spans="1:11" ht="22.5" x14ac:dyDescent="0.2">
      <c r="A118" s="262" t="s">
        <v>316</v>
      </c>
      <c r="B118" s="263" t="s">
        <v>317</v>
      </c>
      <c r="C118" s="264">
        <v>100</v>
      </c>
      <c r="D118" s="255">
        <v>100</v>
      </c>
      <c r="E118" s="255">
        <v>292</v>
      </c>
      <c r="F118" s="255">
        <v>200</v>
      </c>
      <c r="G118" s="255">
        <v>200</v>
      </c>
      <c r="H118" s="256">
        <v>2279</v>
      </c>
      <c r="I118" s="255">
        <v>100</v>
      </c>
      <c r="J118" s="1039">
        <f t="shared" si="1"/>
        <v>143</v>
      </c>
      <c r="K118" s="258" t="s">
        <v>218</v>
      </c>
    </row>
    <row r="119" spans="1:11" x14ac:dyDescent="0.2">
      <c r="A119" s="249">
        <v>10</v>
      </c>
      <c r="B119" s="250" t="s">
        <v>318</v>
      </c>
      <c r="C119" s="251">
        <f>SUM(C120:C135)</f>
        <v>3630</v>
      </c>
      <c r="D119" s="251">
        <f>SUM(D120:D135)</f>
        <v>3129</v>
      </c>
      <c r="E119" s="251">
        <f>SUM(E120:E135)</f>
        <v>4800</v>
      </c>
      <c r="F119" s="251">
        <f>SUM(F120:F135)</f>
        <v>4800</v>
      </c>
      <c r="G119" s="251">
        <f>SUM(G120:G135)</f>
        <v>4800</v>
      </c>
      <c r="H119" s="251"/>
      <c r="I119" s="251">
        <f>SUM(I120:I135)</f>
        <v>4700</v>
      </c>
      <c r="J119" s="1038">
        <f>SUM(J120:J135)</f>
        <v>6697</v>
      </c>
      <c r="K119" s="261"/>
    </row>
    <row r="120" spans="1:11" x14ac:dyDescent="0.2">
      <c r="A120" s="2201" t="s">
        <v>180</v>
      </c>
      <c r="B120" s="2210" t="s">
        <v>319</v>
      </c>
      <c r="C120" s="254">
        <v>0</v>
      </c>
      <c r="D120" s="2203">
        <v>1649</v>
      </c>
      <c r="E120" s="2203">
        <v>2500</v>
      </c>
      <c r="F120" s="2203">
        <f>SUM(G120:G125)</f>
        <v>2500</v>
      </c>
      <c r="G120" s="255">
        <v>350</v>
      </c>
      <c r="H120" s="256">
        <v>2279</v>
      </c>
      <c r="I120" s="933">
        <v>350</v>
      </c>
      <c r="J120" s="1039">
        <f t="shared" si="1"/>
        <v>499</v>
      </c>
      <c r="K120" s="258" t="s">
        <v>320</v>
      </c>
    </row>
    <row r="121" spans="1:11" ht="22.5" x14ac:dyDescent="0.2">
      <c r="A121" s="2201"/>
      <c r="B121" s="2210"/>
      <c r="C121" s="254">
        <v>0</v>
      </c>
      <c r="D121" s="2203"/>
      <c r="E121" s="2203"/>
      <c r="F121" s="2203"/>
      <c r="G121" s="255">
        <v>350</v>
      </c>
      <c r="H121" s="256">
        <v>2390</v>
      </c>
      <c r="I121" s="933">
        <v>350</v>
      </c>
      <c r="J121" s="1039">
        <f t="shared" si="1"/>
        <v>499</v>
      </c>
      <c r="K121" s="258" t="s">
        <v>321</v>
      </c>
    </row>
    <row r="122" spans="1:11" x14ac:dyDescent="0.2">
      <c r="A122" s="2201"/>
      <c r="B122" s="2210"/>
      <c r="C122" s="254">
        <v>500</v>
      </c>
      <c r="D122" s="2203"/>
      <c r="E122" s="2203"/>
      <c r="F122" s="2203"/>
      <c r="G122" s="255">
        <v>500</v>
      </c>
      <c r="H122" s="256">
        <v>2279</v>
      </c>
      <c r="I122" s="933">
        <v>500</v>
      </c>
      <c r="J122" s="1039">
        <f t="shared" si="1"/>
        <v>712</v>
      </c>
      <c r="K122" s="258" t="s">
        <v>322</v>
      </c>
    </row>
    <row r="123" spans="1:11" x14ac:dyDescent="0.2">
      <c r="A123" s="2201"/>
      <c r="B123" s="2210"/>
      <c r="C123" s="254">
        <v>700</v>
      </c>
      <c r="D123" s="2203"/>
      <c r="E123" s="2203"/>
      <c r="F123" s="2203"/>
      <c r="G123" s="255">
        <v>700</v>
      </c>
      <c r="H123" s="256">
        <v>2390</v>
      </c>
      <c r="I123" s="933">
        <v>700</v>
      </c>
      <c r="J123" s="1039">
        <f t="shared" si="1"/>
        <v>997</v>
      </c>
      <c r="K123" s="258" t="s">
        <v>201</v>
      </c>
    </row>
    <row r="124" spans="1:11" x14ac:dyDescent="0.2">
      <c r="A124" s="2201"/>
      <c r="B124" s="2210"/>
      <c r="C124" s="254">
        <v>400</v>
      </c>
      <c r="D124" s="2203"/>
      <c r="E124" s="2203"/>
      <c r="F124" s="2203"/>
      <c r="G124" s="255">
        <v>400</v>
      </c>
      <c r="H124" s="256">
        <v>2264</v>
      </c>
      <c r="I124" s="933">
        <v>400</v>
      </c>
      <c r="J124" s="1039">
        <f t="shared" si="1"/>
        <v>570</v>
      </c>
      <c r="K124" s="258" t="s">
        <v>225</v>
      </c>
    </row>
    <row r="125" spans="1:11" x14ac:dyDescent="0.2">
      <c r="A125" s="2201"/>
      <c r="B125" s="2210"/>
      <c r="C125" s="254">
        <v>200</v>
      </c>
      <c r="D125" s="2203"/>
      <c r="E125" s="2203"/>
      <c r="F125" s="2203"/>
      <c r="G125" s="255">
        <v>200</v>
      </c>
      <c r="H125" s="256">
        <v>2390</v>
      </c>
      <c r="I125" s="933">
        <v>200</v>
      </c>
      <c r="J125" s="1039">
        <f t="shared" si="1"/>
        <v>285</v>
      </c>
      <c r="K125" s="258" t="s">
        <v>323</v>
      </c>
    </row>
    <row r="126" spans="1:11" x14ac:dyDescent="0.2">
      <c r="A126" s="2201" t="s">
        <v>182</v>
      </c>
      <c r="B126" s="2210" t="s">
        <v>324</v>
      </c>
      <c r="C126" s="254">
        <v>500</v>
      </c>
      <c r="D126" s="2203">
        <v>1480</v>
      </c>
      <c r="E126" s="2203">
        <v>2300</v>
      </c>
      <c r="F126" s="2203">
        <f>SUM(G126:G131)</f>
        <v>2300</v>
      </c>
      <c r="G126" s="255">
        <v>500</v>
      </c>
      <c r="H126" s="256">
        <v>2279</v>
      </c>
      <c r="I126" s="257">
        <v>500</v>
      </c>
      <c r="J126" s="1039">
        <f t="shared" si="1"/>
        <v>712</v>
      </c>
      <c r="K126" s="258" t="s">
        <v>322</v>
      </c>
    </row>
    <row r="127" spans="1:11" x14ac:dyDescent="0.2">
      <c r="A127" s="2201"/>
      <c r="B127" s="2210"/>
      <c r="C127" s="254">
        <v>180</v>
      </c>
      <c r="D127" s="2203"/>
      <c r="E127" s="2203"/>
      <c r="F127" s="2203"/>
      <c r="G127" s="255">
        <v>200</v>
      </c>
      <c r="H127" s="256">
        <v>2390</v>
      </c>
      <c r="I127" s="257">
        <v>200</v>
      </c>
      <c r="J127" s="1039">
        <f t="shared" si="1"/>
        <v>285</v>
      </c>
      <c r="K127" s="258" t="s">
        <v>323</v>
      </c>
    </row>
    <row r="128" spans="1:11" x14ac:dyDescent="0.2">
      <c r="A128" s="2201"/>
      <c r="B128" s="2210"/>
      <c r="C128" s="254">
        <v>0</v>
      </c>
      <c r="D128" s="2203"/>
      <c r="E128" s="2203"/>
      <c r="F128" s="2203"/>
      <c r="G128" s="255">
        <v>350</v>
      </c>
      <c r="H128" s="256">
        <v>2279</v>
      </c>
      <c r="I128" s="257">
        <v>350</v>
      </c>
      <c r="J128" s="1039">
        <f t="shared" si="1"/>
        <v>499</v>
      </c>
      <c r="K128" s="258" t="s">
        <v>320</v>
      </c>
    </row>
    <row r="129" spans="1:11" ht="22.5" x14ac:dyDescent="0.2">
      <c r="A129" s="2201"/>
      <c r="B129" s="2210"/>
      <c r="C129" s="254">
        <v>0</v>
      </c>
      <c r="D129" s="2203"/>
      <c r="E129" s="2203"/>
      <c r="F129" s="2203"/>
      <c r="G129" s="255">
        <v>350</v>
      </c>
      <c r="H129" s="256">
        <v>2390</v>
      </c>
      <c r="I129" s="257">
        <v>350</v>
      </c>
      <c r="J129" s="1039">
        <f t="shared" si="1"/>
        <v>499</v>
      </c>
      <c r="K129" s="258" t="s">
        <v>321</v>
      </c>
    </row>
    <row r="130" spans="1:11" x14ac:dyDescent="0.2">
      <c r="A130" s="2201"/>
      <c r="B130" s="2210"/>
      <c r="C130" s="254">
        <v>400</v>
      </c>
      <c r="D130" s="2203"/>
      <c r="E130" s="2203"/>
      <c r="F130" s="2203"/>
      <c r="G130" s="255">
        <v>500</v>
      </c>
      <c r="H130" s="256">
        <v>2390</v>
      </c>
      <c r="I130" s="257">
        <v>400</v>
      </c>
      <c r="J130" s="1039">
        <f t="shared" si="1"/>
        <v>570</v>
      </c>
      <c r="K130" s="258" t="s">
        <v>201</v>
      </c>
    </row>
    <row r="131" spans="1:11" x14ac:dyDescent="0.2">
      <c r="A131" s="2201"/>
      <c r="B131" s="2210"/>
      <c r="C131" s="254">
        <v>400</v>
      </c>
      <c r="D131" s="2203"/>
      <c r="E131" s="2203"/>
      <c r="F131" s="2203"/>
      <c r="G131" s="255">
        <v>400</v>
      </c>
      <c r="H131" s="256">
        <v>2264</v>
      </c>
      <c r="I131" s="257">
        <v>400</v>
      </c>
      <c r="J131" s="1039">
        <f t="shared" si="1"/>
        <v>570</v>
      </c>
      <c r="K131" s="258" t="s">
        <v>225</v>
      </c>
    </row>
    <row r="132" spans="1:11" x14ac:dyDescent="0.2">
      <c r="A132" s="2201" t="s">
        <v>183</v>
      </c>
      <c r="B132" s="2210" t="s">
        <v>325</v>
      </c>
      <c r="C132" s="254">
        <v>150</v>
      </c>
      <c r="D132" s="2203">
        <v>0</v>
      </c>
      <c r="E132" s="2203">
        <v>0</v>
      </c>
      <c r="F132" s="2203">
        <f>SUM(G132:G135)</f>
        <v>0</v>
      </c>
      <c r="G132" s="255">
        <v>0</v>
      </c>
      <c r="H132" s="256">
        <v>2390</v>
      </c>
      <c r="I132" s="257"/>
      <c r="J132" s="1039">
        <f t="shared" si="1"/>
        <v>0</v>
      </c>
      <c r="K132" s="258" t="s">
        <v>201</v>
      </c>
    </row>
    <row r="133" spans="1:11" x14ac:dyDescent="0.2">
      <c r="A133" s="2201"/>
      <c r="B133" s="2210"/>
      <c r="C133" s="254">
        <v>0</v>
      </c>
      <c r="D133" s="2203"/>
      <c r="E133" s="2203"/>
      <c r="F133" s="2203"/>
      <c r="G133" s="255">
        <v>0</v>
      </c>
      <c r="H133" s="256">
        <v>2390</v>
      </c>
      <c r="I133" s="257"/>
      <c r="J133" s="1039">
        <f t="shared" si="1"/>
        <v>0</v>
      </c>
      <c r="K133" s="258" t="s">
        <v>323</v>
      </c>
    </row>
    <row r="134" spans="1:11" x14ac:dyDescent="0.2">
      <c r="A134" s="2201"/>
      <c r="B134" s="2210"/>
      <c r="C134" s="254">
        <v>100</v>
      </c>
      <c r="D134" s="2203"/>
      <c r="E134" s="2203"/>
      <c r="F134" s="2203"/>
      <c r="G134" s="255">
        <v>0</v>
      </c>
      <c r="H134" s="256">
        <v>2264</v>
      </c>
      <c r="I134" s="257"/>
      <c r="J134" s="1039">
        <f t="shared" si="1"/>
        <v>0</v>
      </c>
      <c r="K134" s="258" t="s">
        <v>225</v>
      </c>
    </row>
    <row r="135" spans="1:11" x14ac:dyDescent="0.2">
      <c r="A135" s="2201"/>
      <c r="B135" s="2210"/>
      <c r="C135" s="254">
        <v>100</v>
      </c>
      <c r="D135" s="2203"/>
      <c r="E135" s="2203"/>
      <c r="F135" s="2203"/>
      <c r="G135" s="255">
        <v>0</v>
      </c>
      <c r="H135" s="256">
        <v>2279</v>
      </c>
      <c r="I135" s="257"/>
      <c r="J135" s="1039">
        <f t="shared" si="1"/>
        <v>0</v>
      </c>
      <c r="K135" s="258" t="s">
        <v>224</v>
      </c>
    </row>
    <row r="136" spans="1:11" x14ac:dyDescent="0.2">
      <c r="A136" s="249">
        <v>11</v>
      </c>
      <c r="B136" s="250" t="s">
        <v>326</v>
      </c>
      <c r="C136" s="251">
        <f>SUM(C137:C142)</f>
        <v>9750</v>
      </c>
      <c r="D136" s="251">
        <f>SUM(D137:D142)</f>
        <v>9750</v>
      </c>
      <c r="E136" s="251">
        <f>SUM(E137:E142)</f>
        <v>15752</v>
      </c>
      <c r="F136" s="251">
        <f>SUM(F137:F142)</f>
        <v>13697</v>
      </c>
      <c r="G136" s="251">
        <f>SUM(G137:G142)</f>
        <v>13697</v>
      </c>
      <c r="H136" s="251"/>
      <c r="I136" s="251">
        <f>SUM(I137:I142)</f>
        <v>10572</v>
      </c>
      <c r="J136" s="1038">
        <f>SUM(J137:J142)</f>
        <v>15045</v>
      </c>
      <c r="K136" s="261"/>
    </row>
    <row r="137" spans="1:11" ht="22.5" x14ac:dyDescent="0.2">
      <c r="A137" s="262" t="s">
        <v>327</v>
      </c>
      <c r="B137" s="263" t="s">
        <v>328</v>
      </c>
      <c r="C137" s="254">
        <v>6500</v>
      </c>
      <c r="D137" s="254">
        <v>6500</v>
      </c>
      <c r="E137" s="254">
        <v>6500</v>
      </c>
      <c r="F137" s="254">
        <v>6500</v>
      </c>
      <c r="G137" s="254">
        <v>6500</v>
      </c>
      <c r="H137" s="269">
        <v>2279</v>
      </c>
      <c r="I137" s="257">
        <v>6500</v>
      </c>
      <c r="J137" s="1040">
        <f t="shared" si="1"/>
        <v>9249</v>
      </c>
      <c r="K137" s="258" t="s">
        <v>329</v>
      </c>
    </row>
    <row r="138" spans="1:11" x14ac:dyDescent="0.2">
      <c r="A138" s="2201" t="s">
        <v>330</v>
      </c>
      <c r="B138" s="2210" t="s">
        <v>331</v>
      </c>
      <c r="C138" s="2216">
        <v>0</v>
      </c>
      <c r="D138" s="2203">
        <v>0</v>
      </c>
      <c r="E138" s="2204">
        <v>880</v>
      </c>
      <c r="F138" s="2203">
        <v>400</v>
      </c>
      <c r="G138" s="270">
        <v>74</v>
      </c>
      <c r="H138" s="267">
        <v>2390</v>
      </c>
      <c r="I138" s="255">
        <v>74</v>
      </c>
      <c r="J138" s="1040">
        <f t="shared" si="1"/>
        <v>106</v>
      </c>
      <c r="K138" s="258" t="s">
        <v>201</v>
      </c>
    </row>
    <row r="139" spans="1:11" x14ac:dyDescent="0.2">
      <c r="A139" s="2201"/>
      <c r="B139" s="2210"/>
      <c r="C139" s="2216"/>
      <c r="D139" s="2203"/>
      <c r="E139" s="2204"/>
      <c r="F139" s="2203"/>
      <c r="G139" s="270">
        <v>326</v>
      </c>
      <c r="H139" s="269">
        <v>2279</v>
      </c>
      <c r="I139" s="255">
        <v>326</v>
      </c>
      <c r="J139" s="1040">
        <f t="shared" si="1"/>
        <v>464</v>
      </c>
      <c r="K139" s="258" t="s">
        <v>224</v>
      </c>
    </row>
    <row r="140" spans="1:11" x14ac:dyDescent="0.2">
      <c r="A140" s="262" t="s">
        <v>332</v>
      </c>
      <c r="B140" s="263" t="s">
        <v>333</v>
      </c>
      <c r="C140" s="254">
        <v>0</v>
      </c>
      <c r="D140" s="257">
        <v>0</v>
      </c>
      <c r="E140" s="266">
        <v>1575</v>
      </c>
      <c r="F140" s="257">
        <v>0</v>
      </c>
      <c r="G140" s="266">
        <v>0</v>
      </c>
      <c r="H140" s="269">
        <v>2279</v>
      </c>
      <c r="I140" s="255"/>
      <c r="J140" s="1040">
        <f t="shared" si="1"/>
        <v>0</v>
      </c>
      <c r="K140" s="258" t="s">
        <v>329</v>
      </c>
    </row>
    <row r="141" spans="1:11" ht="22.5" x14ac:dyDescent="0.2">
      <c r="A141" s="262" t="s">
        <v>334</v>
      </c>
      <c r="B141" s="263" t="s">
        <v>335</v>
      </c>
      <c r="C141" s="254">
        <v>3250</v>
      </c>
      <c r="D141" s="257">
        <v>3250</v>
      </c>
      <c r="E141" s="266">
        <v>6375</v>
      </c>
      <c r="F141" s="257">
        <v>6375</v>
      </c>
      <c r="G141" s="266">
        <v>6375</v>
      </c>
      <c r="H141" s="269">
        <v>2279</v>
      </c>
      <c r="I141" s="255">
        <v>3250</v>
      </c>
      <c r="J141" s="1040">
        <f t="shared" si="1"/>
        <v>4625</v>
      </c>
      <c r="K141" s="258" t="s">
        <v>329</v>
      </c>
    </row>
    <row r="142" spans="1:11" ht="22.5" x14ac:dyDescent="0.2">
      <c r="A142" s="262" t="s">
        <v>336</v>
      </c>
      <c r="B142" s="263" t="s">
        <v>337</v>
      </c>
      <c r="C142" s="254">
        <v>0</v>
      </c>
      <c r="D142" s="257">
        <v>0</v>
      </c>
      <c r="E142" s="266">
        <v>422</v>
      </c>
      <c r="F142" s="257">
        <v>422</v>
      </c>
      <c r="G142" s="266">
        <v>422</v>
      </c>
      <c r="H142" s="269">
        <v>2279</v>
      </c>
      <c r="I142" s="255">
        <v>422</v>
      </c>
      <c r="J142" s="1040">
        <f t="shared" si="1"/>
        <v>601</v>
      </c>
      <c r="K142" s="258" t="s">
        <v>329</v>
      </c>
    </row>
    <row r="143" spans="1:11" x14ac:dyDescent="0.2">
      <c r="A143" s="249">
        <v>12</v>
      </c>
      <c r="B143" s="250" t="s">
        <v>338</v>
      </c>
      <c r="C143" s="251">
        <f>SUM(C144)</f>
        <v>200</v>
      </c>
      <c r="D143" s="251">
        <f>SUM(D144)</f>
        <v>200</v>
      </c>
      <c r="E143" s="251">
        <f>SUM(E144)</f>
        <v>2370</v>
      </c>
      <c r="F143" s="251">
        <f>SUM(F144)</f>
        <v>1000</v>
      </c>
      <c r="G143" s="251">
        <f>SUM(G144)</f>
        <v>1000</v>
      </c>
      <c r="H143" s="265"/>
      <c r="I143" s="251">
        <f>SUM(I144)</f>
        <v>1000</v>
      </c>
      <c r="J143" s="1038">
        <f>SUM(J144)</f>
        <v>1423</v>
      </c>
      <c r="K143" s="261"/>
    </row>
    <row r="144" spans="1:11" x14ac:dyDescent="0.2">
      <c r="A144" s="262" t="s">
        <v>339</v>
      </c>
      <c r="B144" s="263" t="s">
        <v>340</v>
      </c>
      <c r="C144" s="254">
        <v>200</v>
      </c>
      <c r="D144" s="257">
        <v>200</v>
      </c>
      <c r="E144" s="266">
        <v>2370</v>
      </c>
      <c r="F144" s="257">
        <v>1000</v>
      </c>
      <c r="G144" s="266">
        <v>1000</v>
      </c>
      <c r="H144" s="269">
        <v>2279</v>
      </c>
      <c r="I144" s="255">
        <v>1000</v>
      </c>
      <c r="J144" s="1039">
        <f t="shared" si="1"/>
        <v>1423</v>
      </c>
      <c r="K144" s="258" t="s">
        <v>329</v>
      </c>
    </row>
    <row r="145" spans="1:11" x14ac:dyDescent="0.2">
      <c r="A145" s="249">
        <v>13</v>
      </c>
      <c r="B145" s="250" t="s">
        <v>341</v>
      </c>
      <c r="C145" s="251">
        <f>SUM(C146)</f>
        <v>3000</v>
      </c>
      <c r="D145" s="251">
        <f>SUM(D146)</f>
        <v>3000</v>
      </c>
      <c r="E145" s="251">
        <f>SUM(E146)</f>
        <v>4000</v>
      </c>
      <c r="F145" s="251">
        <f>SUM(F146)</f>
        <v>4000</v>
      </c>
      <c r="G145" s="251">
        <f>SUM(G146)</f>
        <v>4000</v>
      </c>
      <c r="H145" s="265"/>
      <c r="I145" s="251">
        <f>SUM(I146)</f>
        <v>3000</v>
      </c>
      <c r="J145" s="1038">
        <f>SUM(J146)</f>
        <v>4269</v>
      </c>
      <c r="K145" s="261"/>
    </row>
    <row r="146" spans="1:11" ht="22.5" x14ac:dyDescent="0.2">
      <c r="A146" s="262" t="s">
        <v>342</v>
      </c>
      <c r="B146" s="263" t="s">
        <v>343</v>
      </c>
      <c r="C146" s="264">
        <v>3000</v>
      </c>
      <c r="D146" s="255">
        <v>3000</v>
      </c>
      <c r="E146" s="255">
        <v>4000</v>
      </c>
      <c r="F146" s="255">
        <v>4000</v>
      </c>
      <c r="G146" s="255">
        <v>4000</v>
      </c>
      <c r="H146" s="271">
        <v>2279</v>
      </c>
      <c r="I146" s="935">
        <v>3000</v>
      </c>
      <c r="J146" s="1039">
        <f t="shared" si="1"/>
        <v>4269</v>
      </c>
      <c r="K146" s="258" t="s">
        <v>329</v>
      </c>
    </row>
    <row r="147" spans="1:11" x14ac:dyDescent="0.2">
      <c r="A147" s="249">
        <v>14</v>
      </c>
      <c r="B147" s="250" t="s">
        <v>344</v>
      </c>
      <c r="C147" s="251">
        <f>SUM(C148:C149)</f>
        <v>300</v>
      </c>
      <c r="D147" s="251">
        <f>SUM(D148:D149)</f>
        <v>300</v>
      </c>
      <c r="E147" s="251">
        <f>SUM(E148:E149)</f>
        <v>530</v>
      </c>
      <c r="F147" s="251">
        <f>SUM(F148:F149)</f>
        <v>530</v>
      </c>
      <c r="G147" s="251">
        <f>SUM(G148:G149)</f>
        <v>530</v>
      </c>
      <c r="H147" s="265"/>
      <c r="I147" s="251">
        <f>SUM(I148:I149)</f>
        <v>380</v>
      </c>
      <c r="J147" s="1038">
        <f>SUM(J148:J149)</f>
        <v>541</v>
      </c>
      <c r="K147" s="261"/>
    </row>
    <row r="148" spans="1:11" x14ac:dyDescent="0.2">
      <c r="A148" s="2201" t="s">
        <v>345</v>
      </c>
      <c r="B148" s="2210" t="s">
        <v>346</v>
      </c>
      <c r="C148" s="2216">
        <v>300</v>
      </c>
      <c r="D148" s="2203">
        <v>300</v>
      </c>
      <c r="E148" s="2204">
        <v>530</v>
      </c>
      <c r="F148" s="2203">
        <f>SUM(G148:G149)</f>
        <v>530</v>
      </c>
      <c r="G148" s="270">
        <v>130</v>
      </c>
      <c r="H148" s="269">
        <v>2390</v>
      </c>
      <c r="I148" s="257">
        <v>130</v>
      </c>
      <c r="J148" s="1039">
        <f t="shared" si="1"/>
        <v>185</v>
      </c>
      <c r="K148" s="258" t="s">
        <v>201</v>
      </c>
    </row>
    <row r="149" spans="1:11" ht="29.25" customHeight="1" x14ac:dyDescent="0.2">
      <c r="A149" s="2201"/>
      <c r="B149" s="2210"/>
      <c r="C149" s="2216"/>
      <c r="D149" s="2203"/>
      <c r="E149" s="2204"/>
      <c r="F149" s="2203"/>
      <c r="G149" s="270">
        <v>400</v>
      </c>
      <c r="H149" s="269">
        <v>2390</v>
      </c>
      <c r="I149" s="257">
        <v>250</v>
      </c>
      <c r="J149" s="1039">
        <f t="shared" si="1"/>
        <v>356</v>
      </c>
      <c r="K149" s="258" t="s">
        <v>255</v>
      </c>
    </row>
    <row r="150" spans="1:11" x14ac:dyDescent="0.2">
      <c r="A150" s="249">
        <v>15</v>
      </c>
      <c r="B150" s="250" t="s">
        <v>347</v>
      </c>
      <c r="C150" s="251">
        <f>SUM(C151:C160)</f>
        <v>680</v>
      </c>
      <c r="D150" s="251">
        <f>SUM(D151:D160)</f>
        <v>677</v>
      </c>
      <c r="E150" s="251">
        <f>SUM(E151:E160)</f>
        <v>1760</v>
      </c>
      <c r="F150" s="251">
        <f>SUM(F151:F160)</f>
        <v>1620</v>
      </c>
      <c r="G150" s="251">
        <f>SUM(G151:G160)</f>
        <v>1620</v>
      </c>
      <c r="H150" s="251"/>
      <c r="I150" s="251">
        <f>SUM(I151:I160)</f>
        <v>1450</v>
      </c>
      <c r="J150" s="1038">
        <f>SUM(J151:J160)</f>
        <v>2068</v>
      </c>
      <c r="K150" s="261"/>
    </row>
    <row r="151" spans="1:11" x14ac:dyDescent="0.2">
      <c r="A151" s="2201" t="s">
        <v>348</v>
      </c>
      <c r="B151" s="2210" t="s">
        <v>349</v>
      </c>
      <c r="C151" s="254">
        <v>170</v>
      </c>
      <c r="D151" s="2203">
        <v>677</v>
      </c>
      <c r="E151" s="2204">
        <v>1000</v>
      </c>
      <c r="F151" s="2203">
        <f>SUM(G151:G155)</f>
        <v>1000</v>
      </c>
      <c r="G151" s="255">
        <v>300</v>
      </c>
      <c r="H151" s="267">
        <v>2390</v>
      </c>
      <c r="I151" s="257">
        <v>170</v>
      </c>
      <c r="J151" s="1040">
        <f t="shared" si="1"/>
        <v>242</v>
      </c>
      <c r="K151" s="258" t="s">
        <v>201</v>
      </c>
    </row>
    <row r="152" spans="1:11" x14ac:dyDescent="0.2">
      <c r="A152" s="2201"/>
      <c r="B152" s="2210"/>
      <c r="C152" s="254">
        <v>100</v>
      </c>
      <c r="D152" s="2203"/>
      <c r="E152" s="2204"/>
      <c r="F152" s="2203"/>
      <c r="G152" s="255">
        <v>90</v>
      </c>
      <c r="H152" s="267">
        <v>2264</v>
      </c>
      <c r="I152" s="257">
        <v>90</v>
      </c>
      <c r="J152" s="1040">
        <f t="shared" si="1"/>
        <v>129</v>
      </c>
      <c r="K152" s="258" t="s">
        <v>202</v>
      </c>
    </row>
    <row r="153" spans="1:11" x14ac:dyDescent="0.2">
      <c r="A153" s="2201"/>
      <c r="B153" s="2210"/>
      <c r="C153" s="254">
        <v>170</v>
      </c>
      <c r="D153" s="2203"/>
      <c r="E153" s="2204"/>
      <c r="F153" s="2203"/>
      <c r="G153" s="255">
        <v>270</v>
      </c>
      <c r="H153" s="267">
        <v>2264</v>
      </c>
      <c r="I153" s="257">
        <v>270</v>
      </c>
      <c r="J153" s="1040">
        <f t="shared" ref="J153:J216" si="2">ROUNDUP(I153/0.702804,0)</f>
        <v>385</v>
      </c>
      <c r="K153" s="258" t="s">
        <v>350</v>
      </c>
    </row>
    <row r="154" spans="1:11" x14ac:dyDescent="0.2">
      <c r="A154" s="2201"/>
      <c r="B154" s="2210"/>
      <c r="C154" s="254">
        <v>70</v>
      </c>
      <c r="D154" s="2203"/>
      <c r="E154" s="2204"/>
      <c r="F154" s="2203"/>
      <c r="G154" s="255">
        <v>170</v>
      </c>
      <c r="H154" s="267">
        <v>2390</v>
      </c>
      <c r="I154" s="257">
        <v>130</v>
      </c>
      <c r="J154" s="1040">
        <f t="shared" si="2"/>
        <v>185</v>
      </c>
      <c r="K154" s="258" t="s">
        <v>351</v>
      </c>
    </row>
    <row r="155" spans="1:11" x14ac:dyDescent="0.2">
      <c r="A155" s="2201"/>
      <c r="B155" s="2210"/>
      <c r="C155" s="254">
        <v>170</v>
      </c>
      <c r="D155" s="2203"/>
      <c r="E155" s="2204"/>
      <c r="F155" s="2203"/>
      <c r="G155" s="255">
        <v>170</v>
      </c>
      <c r="H155" s="267">
        <v>2261</v>
      </c>
      <c r="I155" s="257">
        <v>170</v>
      </c>
      <c r="J155" s="1040">
        <f t="shared" si="2"/>
        <v>242</v>
      </c>
      <c r="K155" s="258" t="s">
        <v>260</v>
      </c>
    </row>
    <row r="156" spans="1:11" x14ac:dyDescent="0.2">
      <c r="A156" s="2201" t="s">
        <v>352</v>
      </c>
      <c r="B156" s="2210" t="s">
        <v>353</v>
      </c>
      <c r="C156" s="2216">
        <v>0</v>
      </c>
      <c r="D156" s="2203">
        <v>0</v>
      </c>
      <c r="E156" s="2204">
        <v>760</v>
      </c>
      <c r="F156" s="2203">
        <f>SUM(G156:G160)</f>
        <v>620</v>
      </c>
      <c r="G156" s="255">
        <v>200</v>
      </c>
      <c r="H156" s="267">
        <v>2390</v>
      </c>
      <c r="I156" s="257">
        <v>200</v>
      </c>
      <c r="J156" s="1040">
        <f t="shared" si="2"/>
        <v>285</v>
      </c>
      <c r="K156" s="258" t="s">
        <v>201</v>
      </c>
    </row>
    <row r="157" spans="1:11" x14ac:dyDescent="0.2">
      <c r="A157" s="2201"/>
      <c r="B157" s="2210"/>
      <c r="C157" s="2216"/>
      <c r="D157" s="2203"/>
      <c r="E157" s="2204"/>
      <c r="F157" s="2203"/>
      <c r="G157" s="255">
        <v>100</v>
      </c>
      <c r="H157" s="267">
        <v>2264</v>
      </c>
      <c r="I157" s="257">
        <v>100</v>
      </c>
      <c r="J157" s="1040">
        <f t="shared" si="2"/>
        <v>143</v>
      </c>
      <c r="K157" s="258" t="s">
        <v>202</v>
      </c>
    </row>
    <row r="158" spans="1:11" x14ac:dyDescent="0.2">
      <c r="A158" s="2201"/>
      <c r="B158" s="2210"/>
      <c r="C158" s="2216"/>
      <c r="D158" s="2203"/>
      <c r="E158" s="2204"/>
      <c r="F158" s="2203"/>
      <c r="G158" s="255">
        <v>160</v>
      </c>
      <c r="H158" s="267">
        <v>2264</v>
      </c>
      <c r="I158" s="257">
        <v>160</v>
      </c>
      <c r="J158" s="1040">
        <f t="shared" si="2"/>
        <v>228</v>
      </c>
      <c r="K158" s="258" t="s">
        <v>350</v>
      </c>
    </row>
    <row r="159" spans="1:11" x14ac:dyDescent="0.2">
      <c r="A159" s="2201"/>
      <c r="B159" s="2210"/>
      <c r="C159" s="2216"/>
      <c r="D159" s="2203"/>
      <c r="E159" s="2204"/>
      <c r="F159" s="2203"/>
      <c r="G159" s="255">
        <v>100</v>
      </c>
      <c r="H159" s="267">
        <v>2390</v>
      </c>
      <c r="I159" s="257">
        <v>100</v>
      </c>
      <c r="J159" s="1040">
        <f t="shared" si="2"/>
        <v>143</v>
      </c>
      <c r="K159" s="258" t="s">
        <v>351</v>
      </c>
    </row>
    <row r="160" spans="1:11" x14ac:dyDescent="0.2">
      <c r="A160" s="2201"/>
      <c r="B160" s="2210"/>
      <c r="C160" s="2216"/>
      <c r="D160" s="2203"/>
      <c r="E160" s="2204"/>
      <c r="F160" s="2203"/>
      <c r="G160" s="255">
        <v>60</v>
      </c>
      <c r="H160" s="267">
        <v>2261</v>
      </c>
      <c r="I160" s="257">
        <v>60</v>
      </c>
      <c r="J160" s="1040">
        <f t="shared" si="2"/>
        <v>86</v>
      </c>
      <c r="K160" s="258" t="s">
        <v>260</v>
      </c>
    </row>
    <row r="161" spans="1:11" x14ac:dyDescent="0.2">
      <c r="A161" s="249">
        <v>16</v>
      </c>
      <c r="B161" s="250" t="s">
        <v>354</v>
      </c>
      <c r="C161" s="251">
        <f>SUM(C162:C164)</f>
        <v>7400</v>
      </c>
      <c r="D161" s="251">
        <f>SUM(D162:D164)</f>
        <v>6300</v>
      </c>
      <c r="E161" s="251">
        <f>SUM(E162:E164)</f>
        <v>5330</v>
      </c>
      <c r="F161" s="251">
        <f>SUM(F162:F164)</f>
        <v>3700</v>
      </c>
      <c r="G161" s="251">
        <f>SUM(G162:G164)</f>
        <v>3700</v>
      </c>
      <c r="H161" s="251"/>
      <c r="I161" s="251">
        <f>SUM(I162:I164)</f>
        <v>3600</v>
      </c>
      <c r="J161" s="1038">
        <f>SUM(J162:J164)</f>
        <v>5124</v>
      </c>
      <c r="K161" s="261"/>
    </row>
    <row r="162" spans="1:11" ht="22.5" x14ac:dyDescent="0.2">
      <c r="A162" s="262" t="s">
        <v>355</v>
      </c>
      <c r="B162" s="263" t="s">
        <v>356</v>
      </c>
      <c r="C162" s="264">
        <v>2500</v>
      </c>
      <c r="D162" s="255">
        <v>2500</v>
      </c>
      <c r="E162" s="270">
        <v>4130</v>
      </c>
      <c r="F162" s="255">
        <v>2500</v>
      </c>
      <c r="G162" s="270">
        <v>2500</v>
      </c>
      <c r="H162" s="267">
        <v>2279</v>
      </c>
      <c r="I162" s="257">
        <v>2500</v>
      </c>
      <c r="J162" s="1039">
        <f t="shared" si="2"/>
        <v>3558</v>
      </c>
      <c r="K162" s="258" t="s">
        <v>357</v>
      </c>
    </row>
    <row r="163" spans="1:11" x14ac:dyDescent="0.2">
      <c r="A163" s="262" t="s">
        <v>358</v>
      </c>
      <c r="B163" s="263" t="s">
        <v>359</v>
      </c>
      <c r="C163" s="264">
        <v>1100</v>
      </c>
      <c r="D163" s="255">
        <v>0</v>
      </c>
      <c r="E163" s="270">
        <v>1200</v>
      </c>
      <c r="F163" s="255">
        <v>1200</v>
      </c>
      <c r="G163" s="270">
        <v>1200</v>
      </c>
      <c r="H163" s="267">
        <v>2279</v>
      </c>
      <c r="I163" s="257">
        <v>1100</v>
      </c>
      <c r="J163" s="1039">
        <f t="shared" si="2"/>
        <v>1566</v>
      </c>
      <c r="K163" s="258" t="s">
        <v>357</v>
      </c>
    </row>
    <row r="164" spans="1:11" x14ac:dyDescent="0.2">
      <c r="A164" s="262" t="s">
        <v>360</v>
      </c>
      <c r="B164" s="263" t="s">
        <v>361</v>
      </c>
      <c r="C164" s="264">
        <v>3800</v>
      </c>
      <c r="D164" s="255">
        <v>3800</v>
      </c>
      <c r="E164" s="270">
        <v>0</v>
      </c>
      <c r="F164" s="255">
        <v>0</v>
      </c>
      <c r="G164" s="270">
        <v>0</v>
      </c>
      <c r="H164" s="267">
        <v>2279</v>
      </c>
      <c r="I164" s="257"/>
      <c r="J164" s="1039">
        <f t="shared" si="2"/>
        <v>0</v>
      </c>
      <c r="K164" s="258" t="s">
        <v>357</v>
      </c>
    </row>
    <row r="165" spans="1:11" x14ac:dyDescent="0.2">
      <c r="A165" s="249">
        <v>17</v>
      </c>
      <c r="B165" s="250" t="s">
        <v>362</v>
      </c>
      <c r="C165" s="251">
        <f>SUM(C166:C170)</f>
        <v>54190</v>
      </c>
      <c r="D165" s="251">
        <f>SUM(D166:D170)</f>
        <v>54094</v>
      </c>
      <c r="E165" s="251">
        <f>SUM(E166:E170)</f>
        <v>70620</v>
      </c>
      <c r="F165" s="251">
        <f>SUM(F166:F170)</f>
        <v>70620</v>
      </c>
      <c r="G165" s="251">
        <f>SUM(G166:G170)</f>
        <v>70620</v>
      </c>
      <c r="H165" s="251"/>
      <c r="I165" s="251">
        <f>SUM(I166:I170)</f>
        <v>53620</v>
      </c>
      <c r="J165" s="1038">
        <f>SUM(J166:J170)</f>
        <v>76298</v>
      </c>
      <c r="K165" s="261"/>
    </row>
    <row r="166" spans="1:11" x14ac:dyDescent="0.2">
      <c r="A166" s="262" t="s">
        <v>363</v>
      </c>
      <c r="B166" s="263" t="s">
        <v>364</v>
      </c>
      <c r="C166" s="264">
        <v>420</v>
      </c>
      <c r="D166" s="255">
        <v>337</v>
      </c>
      <c r="E166" s="270">
        <v>220</v>
      </c>
      <c r="F166" s="255">
        <v>220</v>
      </c>
      <c r="G166" s="270">
        <v>220</v>
      </c>
      <c r="H166" s="267">
        <v>2390</v>
      </c>
      <c r="I166" s="932">
        <v>220</v>
      </c>
      <c r="J166" s="1039">
        <f t="shared" si="2"/>
        <v>314</v>
      </c>
      <c r="K166" s="258" t="s">
        <v>201</v>
      </c>
    </row>
    <row r="167" spans="1:11" x14ac:dyDescent="0.2">
      <c r="A167" s="2201" t="s">
        <v>365</v>
      </c>
      <c r="B167" s="2210" t="s">
        <v>366</v>
      </c>
      <c r="C167" s="254">
        <v>50</v>
      </c>
      <c r="D167" s="2203">
        <v>757</v>
      </c>
      <c r="E167" s="2204">
        <v>400</v>
      </c>
      <c r="F167" s="2203">
        <f>SUM(G167:G169)</f>
        <v>400</v>
      </c>
      <c r="G167" s="270">
        <v>100</v>
      </c>
      <c r="H167" s="269">
        <v>2264</v>
      </c>
      <c r="I167" s="257">
        <v>100</v>
      </c>
      <c r="J167" s="1039">
        <f t="shared" si="2"/>
        <v>143</v>
      </c>
      <c r="K167" s="258" t="s">
        <v>225</v>
      </c>
    </row>
    <row r="168" spans="1:11" x14ac:dyDescent="0.2">
      <c r="A168" s="2201"/>
      <c r="B168" s="2210"/>
      <c r="C168" s="254">
        <v>50</v>
      </c>
      <c r="D168" s="2203"/>
      <c r="E168" s="2204"/>
      <c r="F168" s="2203"/>
      <c r="G168" s="270">
        <v>50</v>
      </c>
      <c r="H168" s="269">
        <v>2279</v>
      </c>
      <c r="I168" s="257">
        <v>50</v>
      </c>
      <c r="J168" s="1039">
        <f t="shared" si="2"/>
        <v>72</v>
      </c>
      <c r="K168" s="258" t="s">
        <v>224</v>
      </c>
    </row>
    <row r="169" spans="1:11" x14ac:dyDescent="0.2">
      <c r="A169" s="2201"/>
      <c r="B169" s="2210"/>
      <c r="C169" s="254">
        <v>670</v>
      </c>
      <c r="D169" s="2203"/>
      <c r="E169" s="2204"/>
      <c r="F169" s="2203"/>
      <c r="G169" s="270">
        <v>250</v>
      </c>
      <c r="H169" s="269">
        <v>2390</v>
      </c>
      <c r="I169" s="257">
        <v>250</v>
      </c>
      <c r="J169" s="1039">
        <f t="shared" si="2"/>
        <v>356</v>
      </c>
      <c r="K169" s="258" t="s">
        <v>201</v>
      </c>
    </row>
    <row r="170" spans="1:11" x14ac:dyDescent="0.2">
      <c r="A170" s="272" t="s">
        <v>367</v>
      </c>
      <c r="B170" s="263" t="s">
        <v>368</v>
      </c>
      <c r="C170" s="257">
        <v>53000</v>
      </c>
      <c r="D170" s="257">
        <v>53000</v>
      </c>
      <c r="E170" s="266">
        <v>70000</v>
      </c>
      <c r="F170" s="257">
        <v>70000</v>
      </c>
      <c r="G170" s="257">
        <v>70000</v>
      </c>
      <c r="H170" s="269">
        <v>2279</v>
      </c>
      <c r="I170" s="257">
        <v>53000</v>
      </c>
      <c r="J170" s="1039">
        <f t="shared" si="2"/>
        <v>75413</v>
      </c>
      <c r="K170" s="258" t="s">
        <v>329</v>
      </c>
    </row>
    <row r="171" spans="1:11" x14ac:dyDescent="0.2">
      <c r="A171" s="249">
        <v>18</v>
      </c>
      <c r="B171" s="250" t="s">
        <v>369</v>
      </c>
      <c r="C171" s="251">
        <f>SUM(C172:C176)</f>
        <v>2640</v>
      </c>
      <c r="D171" s="251">
        <f>SUM(D172:D176)</f>
        <v>2640</v>
      </c>
      <c r="E171" s="251">
        <f>SUM(E172:E176)</f>
        <v>2000</v>
      </c>
      <c r="F171" s="251">
        <f>SUM(F172:F176)</f>
        <v>2000</v>
      </c>
      <c r="G171" s="251">
        <f>SUM(G172:G176)</f>
        <v>2000</v>
      </c>
      <c r="H171" s="251"/>
      <c r="I171" s="251">
        <f>SUM(I172:I176)</f>
        <v>2000</v>
      </c>
      <c r="J171" s="1038">
        <f>SUM(J172:J176)</f>
        <v>2848</v>
      </c>
      <c r="K171" s="258" t="s">
        <v>357</v>
      </c>
    </row>
    <row r="172" spans="1:11" ht="22.5" x14ac:dyDescent="0.2">
      <c r="A172" s="273" t="s">
        <v>370</v>
      </c>
      <c r="B172" s="263" t="s">
        <v>371</v>
      </c>
      <c r="C172" s="274">
        <v>500</v>
      </c>
      <c r="D172" s="274">
        <v>500</v>
      </c>
      <c r="E172" s="274">
        <v>500</v>
      </c>
      <c r="F172" s="274">
        <v>500</v>
      </c>
      <c r="G172" s="274">
        <v>500</v>
      </c>
      <c r="H172" s="1761">
        <v>2279</v>
      </c>
      <c r="I172" s="274">
        <v>500</v>
      </c>
      <c r="J172" s="1041">
        <f t="shared" si="2"/>
        <v>712</v>
      </c>
      <c r="K172" s="258" t="s">
        <v>357</v>
      </c>
    </row>
    <row r="173" spans="1:11" ht="22.5" x14ac:dyDescent="0.2">
      <c r="A173" s="273" t="s">
        <v>372</v>
      </c>
      <c r="B173" s="263" t="s">
        <v>373</v>
      </c>
      <c r="C173" s="274">
        <v>0</v>
      </c>
      <c r="D173" s="274">
        <v>0</v>
      </c>
      <c r="E173" s="274">
        <v>500</v>
      </c>
      <c r="F173" s="274">
        <v>500</v>
      </c>
      <c r="G173" s="274">
        <v>500</v>
      </c>
      <c r="H173" s="1761">
        <v>2279</v>
      </c>
      <c r="I173" s="274">
        <v>500</v>
      </c>
      <c r="J173" s="1041">
        <f t="shared" si="2"/>
        <v>712</v>
      </c>
      <c r="K173" s="258" t="s">
        <v>357</v>
      </c>
    </row>
    <row r="174" spans="1:11" x14ac:dyDescent="0.2">
      <c r="A174" s="273" t="s">
        <v>374</v>
      </c>
      <c r="B174" s="263" t="s">
        <v>375</v>
      </c>
      <c r="C174" s="274">
        <v>500</v>
      </c>
      <c r="D174" s="274">
        <v>500</v>
      </c>
      <c r="E174" s="274">
        <v>500</v>
      </c>
      <c r="F174" s="274">
        <v>500</v>
      </c>
      <c r="G174" s="274">
        <v>500</v>
      </c>
      <c r="H174" s="1761">
        <v>2279</v>
      </c>
      <c r="I174" s="274">
        <v>500</v>
      </c>
      <c r="J174" s="1041">
        <f t="shared" si="2"/>
        <v>712</v>
      </c>
      <c r="K174" s="258" t="s">
        <v>357</v>
      </c>
    </row>
    <row r="175" spans="1:11" x14ac:dyDescent="0.2">
      <c r="A175" s="273" t="s">
        <v>376</v>
      </c>
      <c r="B175" s="263" t="s">
        <v>377</v>
      </c>
      <c r="C175" s="274">
        <v>0</v>
      </c>
      <c r="D175" s="274">
        <v>0</v>
      </c>
      <c r="E175" s="274">
        <v>500</v>
      </c>
      <c r="F175" s="274">
        <v>500</v>
      </c>
      <c r="G175" s="274">
        <v>500</v>
      </c>
      <c r="H175" s="267">
        <v>2279</v>
      </c>
      <c r="I175" s="274">
        <v>500</v>
      </c>
      <c r="J175" s="1041">
        <f t="shared" si="2"/>
        <v>712</v>
      </c>
      <c r="K175" s="258" t="s">
        <v>357</v>
      </c>
    </row>
    <row r="176" spans="1:11" x14ac:dyDescent="0.2">
      <c r="A176" s="273" t="s">
        <v>378</v>
      </c>
      <c r="B176" s="263" t="s">
        <v>379</v>
      </c>
      <c r="C176" s="274">
        <v>1640</v>
      </c>
      <c r="D176" s="274">
        <v>1640</v>
      </c>
      <c r="E176" s="274">
        <v>0</v>
      </c>
      <c r="F176" s="274">
        <v>0</v>
      </c>
      <c r="G176" s="274">
        <v>0</v>
      </c>
      <c r="H176" s="267">
        <v>2279</v>
      </c>
      <c r="I176" s="274"/>
      <c r="J176" s="1041">
        <f t="shared" si="2"/>
        <v>0</v>
      </c>
      <c r="K176" s="258"/>
    </row>
    <row r="177" spans="1:11" x14ac:dyDescent="0.2">
      <c r="A177" s="249">
        <v>19</v>
      </c>
      <c r="B177" s="250" t="s">
        <v>380</v>
      </c>
      <c r="C177" s="251">
        <f>SUM(C178:C201)</f>
        <v>73676</v>
      </c>
      <c r="D177" s="251">
        <f>SUM(D178:D201)</f>
        <v>73676</v>
      </c>
      <c r="E177" s="251">
        <f>SUM(E178:E201)</f>
        <v>85352</v>
      </c>
      <c r="F177" s="251">
        <f>SUM(F178:F201)</f>
        <v>49975</v>
      </c>
      <c r="G177" s="251">
        <f>SUM(G178:G201)</f>
        <v>49975</v>
      </c>
      <c r="H177" s="251"/>
      <c r="I177" s="251">
        <f>SUM(I178:I201)</f>
        <v>43585</v>
      </c>
      <c r="J177" s="1038">
        <f>SUM(J178:J201)</f>
        <v>62024</v>
      </c>
      <c r="K177" s="258"/>
    </row>
    <row r="178" spans="1:11" ht="22.5" x14ac:dyDescent="0.2">
      <c r="A178" s="262" t="s">
        <v>381</v>
      </c>
      <c r="B178" s="263" t="s">
        <v>382</v>
      </c>
      <c r="C178" s="264">
        <v>0</v>
      </c>
      <c r="D178" s="255">
        <v>0</v>
      </c>
      <c r="E178" s="255">
        <v>1500</v>
      </c>
      <c r="F178" s="255">
        <v>1500</v>
      </c>
      <c r="G178" s="255">
        <v>1500</v>
      </c>
      <c r="H178" s="267">
        <v>2279</v>
      </c>
      <c r="I178" s="255">
        <v>1500</v>
      </c>
      <c r="J178" s="1039">
        <f t="shared" si="2"/>
        <v>2135</v>
      </c>
      <c r="K178" s="258" t="s">
        <v>224</v>
      </c>
    </row>
    <row r="179" spans="1:11" x14ac:dyDescent="0.2">
      <c r="A179" s="2201" t="s">
        <v>383</v>
      </c>
      <c r="B179" s="2210" t="s">
        <v>384</v>
      </c>
      <c r="C179" s="254">
        <v>220</v>
      </c>
      <c r="D179" s="2203">
        <v>350</v>
      </c>
      <c r="E179" s="2204">
        <v>450</v>
      </c>
      <c r="F179" s="2203">
        <f>SUM(G179:G181)</f>
        <v>450</v>
      </c>
      <c r="G179" s="270">
        <v>50</v>
      </c>
      <c r="H179" s="269">
        <v>2390</v>
      </c>
      <c r="I179" s="257">
        <v>50</v>
      </c>
      <c r="J179" s="1039">
        <f t="shared" si="2"/>
        <v>72</v>
      </c>
      <c r="K179" s="258" t="s">
        <v>201</v>
      </c>
    </row>
    <row r="180" spans="1:11" x14ac:dyDescent="0.2">
      <c r="A180" s="2201"/>
      <c r="B180" s="2210"/>
      <c r="C180" s="254">
        <v>80</v>
      </c>
      <c r="D180" s="2203"/>
      <c r="E180" s="2204"/>
      <c r="F180" s="2203"/>
      <c r="G180" s="270">
        <v>300</v>
      </c>
      <c r="H180" s="269">
        <v>2264</v>
      </c>
      <c r="I180" s="257">
        <v>100</v>
      </c>
      <c r="J180" s="1039">
        <f t="shared" si="2"/>
        <v>143</v>
      </c>
      <c r="K180" s="258" t="s">
        <v>225</v>
      </c>
    </row>
    <row r="181" spans="1:11" x14ac:dyDescent="0.2">
      <c r="A181" s="2201"/>
      <c r="B181" s="2210"/>
      <c r="C181" s="254">
        <v>50</v>
      </c>
      <c r="D181" s="2203"/>
      <c r="E181" s="2204"/>
      <c r="F181" s="2203"/>
      <c r="G181" s="270">
        <v>100</v>
      </c>
      <c r="H181" s="269">
        <v>2279</v>
      </c>
      <c r="I181" s="257">
        <v>100</v>
      </c>
      <c r="J181" s="1039">
        <f t="shared" si="2"/>
        <v>143</v>
      </c>
      <c r="K181" s="258" t="s">
        <v>329</v>
      </c>
    </row>
    <row r="182" spans="1:11" ht="22.5" x14ac:dyDescent="0.2">
      <c r="A182" s="262" t="s">
        <v>385</v>
      </c>
      <c r="B182" s="263" t="s">
        <v>386</v>
      </c>
      <c r="C182" s="254">
        <v>2564</v>
      </c>
      <c r="D182" s="257">
        <v>2564</v>
      </c>
      <c r="E182" s="266">
        <v>2585</v>
      </c>
      <c r="F182" s="275">
        <v>2585</v>
      </c>
      <c r="G182" s="266">
        <v>2585</v>
      </c>
      <c r="H182" s="269">
        <v>2279</v>
      </c>
      <c r="I182" s="275">
        <v>2585</v>
      </c>
      <c r="J182" s="1039">
        <f t="shared" si="2"/>
        <v>3679</v>
      </c>
      <c r="K182" s="258" t="s">
        <v>329</v>
      </c>
    </row>
    <row r="183" spans="1:11" ht="22.5" x14ac:dyDescent="0.2">
      <c r="A183" s="262" t="s">
        <v>387</v>
      </c>
      <c r="B183" s="263" t="s">
        <v>388</v>
      </c>
      <c r="C183" s="254">
        <v>0</v>
      </c>
      <c r="D183" s="257">
        <v>0</v>
      </c>
      <c r="E183" s="266">
        <v>3290</v>
      </c>
      <c r="F183" s="275">
        <v>3290</v>
      </c>
      <c r="G183" s="266">
        <v>3290</v>
      </c>
      <c r="H183" s="269">
        <v>2279</v>
      </c>
      <c r="I183" s="276">
        <v>3000</v>
      </c>
      <c r="J183" s="1039">
        <f t="shared" si="2"/>
        <v>4269</v>
      </c>
      <c r="K183" s="258" t="s">
        <v>329</v>
      </c>
    </row>
    <row r="184" spans="1:11" ht="22.5" x14ac:dyDescent="0.2">
      <c r="A184" s="262" t="s">
        <v>389</v>
      </c>
      <c r="B184" s="277" t="s">
        <v>390</v>
      </c>
      <c r="C184" s="264">
        <v>24000</v>
      </c>
      <c r="D184" s="255">
        <v>24000</v>
      </c>
      <c r="E184" s="270">
        <v>25000</v>
      </c>
      <c r="F184" s="276">
        <v>0</v>
      </c>
      <c r="G184" s="270">
        <v>0</v>
      </c>
      <c r="H184" s="269">
        <v>2279</v>
      </c>
      <c r="I184" s="276"/>
      <c r="J184" s="1039">
        <f t="shared" si="2"/>
        <v>0</v>
      </c>
      <c r="K184" s="258" t="s">
        <v>357</v>
      </c>
    </row>
    <row r="185" spans="1:11" x14ac:dyDescent="0.2">
      <c r="A185" s="262" t="s">
        <v>391</v>
      </c>
      <c r="B185" s="277" t="s">
        <v>392</v>
      </c>
      <c r="C185" s="264">
        <v>28000</v>
      </c>
      <c r="D185" s="255">
        <v>28000</v>
      </c>
      <c r="E185" s="270">
        <v>28000</v>
      </c>
      <c r="F185" s="276">
        <v>22500</v>
      </c>
      <c r="G185" s="270">
        <v>22500</v>
      </c>
      <c r="H185" s="269">
        <v>2279</v>
      </c>
      <c r="I185" s="276">
        <v>22500</v>
      </c>
      <c r="J185" s="1039">
        <f t="shared" si="2"/>
        <v>32015</v>
      </c>
      <c r="K185" s="258" t="s">
        <v>393</v>
      </c>
    </row>
    <row r="186" spans="1:11" x14ac:dyDescent="0.2">
      <c r="A186" s="262" t="s">
        <v>394</v>
      </c>
      <c r="B186" s="277" t="s">
        <v>395</v>
      </c>
      <c r="C186" s="264">
        <v>0</v>
      </c>
      <c r="D186" s="255">
        <v>0</v>
      </c>
      <c r="E186" s="270">
        <v>2250</v>
      </c>
      <c r="F186" s="276">
        <v>2250</v>
      </c>
      <c r="G186" s="270">
        <v>2250</v>
      </c>
      <c r="H186" s="269">
        <v>2279</v>
      </c>
      <c r="I186" s="276">
        <v>2250</v>
      </c>
      <c r="J186" s="1039">
        <f t="shared" si="2"/>
        <v>3202</v>
      </c>
      <c r="K186" s="258" t="s">
        <v>396</v>
      </c>
    </row>
    <row r="187" spans="1:11" x14ac:dyDescent="0.2">
      <c r="A187" s="262" t="s">
        <v>397</v>
      </c>
      <c r="B187" s="263" t="s">
        <v>398</v>
      </c>
      <c r="C187" s="254">
        <v>200</v>
      </c>
      <c r="D187" s="257">
        <v>200</v>
      </c>
      <c r="E187" s="266">
        <v>1550</v>
      </c>
      <c r="F187" s="275">
        <v>500</v>
      </c>
      <c r="G187" s="266">
        <v>500</v>
      </c>
      <c r="H187" s="269">
        <v>2279</v>
      </c>
      <c r="I187" s="276">
        <v>300</v>
      </c>
      <c r="J187" s="1039">
        <f t="shared" si="2"/>
        <v>427</v>
      </c>
      <c r="K187" s="258" t="s">
        <v>396</v>
      </c>
    </row>
    <row r="188" spans="1:11" ht="22.5" x14ac:dyDescent="0.2">
      <c r="A188" s="262" t="s">
        <v>399</v>
      </c>
      <c r="B188" s="263" t="s">
        <v>400</v>
      </c>
      <c r="C188" s="254">
        <v>1127</v>
      </c>
      <c r="D188" s="257">
        <v>1127</v>
      </c>
      <c r="E188" s="266">
        <v>4927</v>
      </c>
      <c r="F188" s="257">
        <v>2000</v>
      </c>
      <c r="G188" s="257">
        <v>2000</v>
      </c>
      <c r="H188" s="269">
        <v>2279</v>
      </c>
      <c r="I188" s="257">
        <v>2000</v>
      </c>
      <c r="J188" s="1039">
        <f t="shared" si="2"/>
        <v>2846</v>
      </c>
      <c r="K188" s="258" t="s">
        <v>396</v>
      </c>
    </row>
    <row r="189" spans="1:11" ht="22.5" x14ac:dyDescent="0.2">
      <c r="A189" s="262" t="s">
        <v>401</v>
      </c>
      <c r="B189" s="263" t="s">
        <v>402</v>
      </c>
      <c r="C189" s="254">
        <v>270</v>
      </c>
      <c r="D189" s="257">
        <v>270</v>
      </c>
      <c r="E189" s="266">
        <v>1400</v>
      </c>
      <c r="F189" s="257">
        <v>500</v>
      </c>
      <c r="G189" s="257">
        <v>500</v>
      </c>
      <c r="H189" s="269">
        <v>2279</v>
      </c>
      <c r="I189" s="257">
        <v>300</v>
      </c>
      <c r="J189" s="1039">
        <f t="shared" si="2"/>
        <v>427</v>
      </c>
      <c r="K189" s="258" t="s">
        <v>329</v>
      </c>
    </row>
    <row r="190" spans="1:11" x14ac:dyDescent="0.2">
      <c r="A190" s="262" t="s">
        <v>403</v>
      </c>
      <c r="B190" s="263" t="s">
        <v>404</v>
      </c>
      <c r="C190" s="254">
        <v>500</v>
      </c>
      <c r="D190" s="257">
        <v>500</v>
      </c>
      <c r="E190" s="266">
        <v>1000</v>
      </c>
      <c r="F190" s="257">
        <v>1000</v>
      </c>
      <c r="G190" s="257">
        <v>1000</v>
      </c>
      <c r="H190" s="269">
        <v>2279</v>
      </c>
      <c r="I190" s="257">
        <v>500</v>
      </c>
      <c r="J190" s="1039">
        <f t="shared" si="2"/>
        <v>712</v>
      </c>
      <c r="K190" s="258" t="s">
        <v>329</v>
      </c>
    </row>
    <row r="191" spans="1:11" x14ac:dyDescent="0.2">
      <c r="A191" s="262" t="s">
        <v>405</v>
      </c>
      <c r="B191" s="263" t="s">
        <v>406</v>
      </c>
      <c r="C191" s="254">
        <v>500</v>
      </c>
      <c r="D191" s="257">
        <v>500</v>
      </c>
      <c r="E191" s="266">
        <v>500</v>
      </c>
      <c r="F191" s="266">
        <v>500</v>
      </c>
      <c r="G191" s="257">
        <v>500</v>
      </c>
      <c r="H191" s="269">
        <v>2279</v>
      </c>
      <c r="I191" s="257">
        <v>500</v>
      </c>
      <c r="J191" s="1039">
        <f t="shared" si="2"/>
        <v>712</v>
      </c>
      <c r="K191" s="258" t="s">
        <v>329</v>
      </c>
    </row>
    <row r="192" spans="1:11" x14ac:dyDescent="0.2">
      <c r="A192" s="2201" t="s">
        <v>407</v>
      </c>
      <c r="B192" s="2210" t="s">
        <v>408</v>
      </c>
      <c r="C192" s="254">
        <v>550</v>
      </c>
      <c r="D192" s="257">
        <v>550</v>
      </c>
      <c r="E192" s="2204">
        <v>2400</v>
      </c>
      <c r="F192" s="2203">
        <v>2400</v>
      </c>
      <c r="G192" s="257">
        <v>2400</v>
      </c>
      <c r="H192" s="269">
        <v>2279</v>
      </c>
      <c r="I192" s="255">
        <v>2400</v>
      </c>
      <c r="J192" s="1039">
        <f t="shared" si="2"/>
        <v>3415</v>
      </c>
      <c r="K192" s="258" t="s">
        <v>329</v>
      </c>
    </row>
    <row r="193" spans="1:11" x14ac:dyDescent="0.2">
      <c r="A193" s="2201"/>
      <c r="B193" s="2210"/>
      <c r="C193" s="254">
        <v>600</v>
      </c>
      <c r="D193" s="257">
        <v>600</v>
      </c>
      <c r="E193" s="2204"/>
      <c r="F193" s="2203"/>
      <c r="G193" s="257">
        <v>0</v>
      </c>
      <c r="H193" s="256">
        <v>2261</v>
      </c>
      <c r="I193" s="255"/>
      <c r="J193" s="1039">
        <f t="shared" si="2"/>
        <v>0</v>
      </c>
      <c r="K193" s="258"/>
    </row>
    <row r="194" spans="1:11" x14ac:dyDescent="0.2">
      <c r="A194" s="2201"/>
      <c r="B194" s="2210"/>
      <c r="C194" s="254">
        <v>200</v>
      </c>
      <c r="D194" s="257">
        <v>200</v>
      </c>
      <c r="E194" s="2204"/>
      <c r="F194" s="2203"/>
      <c r="G194" s="257">
        <v>0</v>
      </c>
      <c r="H194" s="256">
        <v>2262</v>
      </c>
      <c r="I194" s="255"/>
      <c r="J194" s="1039">
        <f t="shared" si="2"/>
        <v>0</v>
      </c>
      <c r="K194" s="258"/>
    </row>
    <row r="195" spans="1:11" x14ac:dyDescent="0.2">
      <c r="A195" s="2201"/>
      <c r="B195" s="2210"/>
      <c r="C195" s="254">
        <v>250</v>
      </c>
      <c r="D195" s="257">
        <v>250</v>
      </c>
      <c r="E195" s="2204"/>
      <c r="F195" s="2203"/>
      <c r="G195" s="257">
        <v>0</v>
      </c>
      <c r="H195" s="269">
        <v>2269</v>
      </c>
      <c r="I195" s="255"/>
      <c r="J195" s="1039">
        <f t="shared" si="2"/>
        <v>0</v>
      </c>
      <c r="K195" s="258"/>
    </row>
    <row r="196" spans="1:11" x14ac:dyDescent="0.2">
      <c r="A196" s="2201"/>
      <c r="B196" s="2210"/>
      <c r="C196" s="254">
        <v>820</v>
      </c>
      <c r="D196" s="257">
        <v>820</v>
      </c>
      <c r="E196" s="2204"/>
      <c r="F196" s="2203"/>
      <c r="G196" s="257">
        <v>0</v>
      </c>
      <c r="H196" s="269">
        <v>2390</v>
      </c>
      <c r="I196" s="255"/>
      <c r="J196" s="1039">
        <f t="shared" si="2"/>
        <v>0</v>
      </c>
      <c r="K196" s="258"/>
    </row>
    <row r="197" spans="1:11" x14ac:dyDescent="0.2">
      <c r="A197" s="2201" t="s">
        <v>409</v>
      </c>
      <c r="B197" s="2210" t="s">
        <v>410</v>
      </c>
      <c r="C197" s="254">
        <v>6000</v>
      </c>
      <c r="D197" s="257">
        <v>6000</v>
      </c>
      <c r="E197" s="2204">
        <v>0</v>
      </c>
      <c r="F197" s="2203">
        <v>0</v>
      </c>
      <c r="G197" s="2203">
        <v>0</v>
      </c>
      <c r="H197" s="2218">
        <v>2279</v>
      </c>
      <c r="I197" s="255"/>
      <c r="J197" s="1039">
        <f t="shared" si="2"/>
        <v>0</v>
      </c>
      <c r="K197" s="258"/>
    </row>
    <row r="198" spans="1:11" x14ac:dyDescent="0.2">
      <c r="A198" s="2201"/>
      <c r="B198" s="2210"/>
      <c r="C198" s="254">
        <v>150</v>
      </c>
      <c r="D198" s="257">
        <v>150</v>
      </c>
      <c r="E198" s="2204"/>
      <c r="F198" s="2203"/>
      <c r="G198" s="2203"/>
      <c r="H198" s="2218"/>
      <c r="I198" s="255"/>
      <c r="J198" s="1039">
        <f t="shared" si="2"/>
        <v>0</v>
      </c>
      <c r="K198" s="258"/>
    </row>
    <row r="199" spans="1:11" ht="22.5" x14ac:dyDescent="0.2">
      <c r="A199" s="262" t="s">
        <v>411</v>
      </c>
      <c r="B199" s="263" t="s">
        <v>412</v>
      </c>
      <c r="C199" s="254">
        <v>7595</v>
      </c>
      <c r="D199" s="257">
        <v>7595</v>
      </c>
      <c r="E199" s="270">
        <v>0</v>
      </c>
      <c r="F199" s="255">
        <v>0</v>
      </c>
      <c r="G199" s="255">
        <v>0</v>
      </c>
      <c r="H199" s="267">
        <v>2279</v>
      </c>
      <c r="I199" s="255"/>
      <c r="J199" s="1039">
        <f t="shared" si="2"/>
        <v>0</v>
      </c>
      <c r="K199" s="258"/>
    </row>
    <row r="200" spans="1:11" x14ac:dyDescent="0.2">
      <c r="A200" s="262" t="s">
        <v>413</v>
      </c>
      <c r="B200" s="263" t="s">
        <v>414</v>
      </c>
      <c r="C200" s="254">
        <v>0</v>
      </c>
      <c r="D200" s="257">
        <v>0</v>
      </c>
      <c r="E200" s="266">
        <v>10000</v>
      </c>
      <c r="F200" s="257">
        <v>10000</v>
      </c>
      <c r="G200" s="257">
        <v>10000</v>
      </c>
      <c r="H200" s="269">
        <v>2279</v>
      </c>
      <c r="I200" s="257">
        <v>5000</v>
      </c>
      <c r="J200" s="1039">
        <f t="shared" si="2"/>
        <v>7115</v>
      </c>
      <c r="K200" s="258" t="s">
        <v>329</v>
      </c>
    </row>
    <row r="201" spans="1:11" x14ac:dyDescent="0.2">
      <c r="A201" s="262" t="s">
        <v>415</v>
      </c>
      <c r="B201" s="263" t="s">
        <v>416</v>
      </c>
      <c r="C201" s="254">
        <v>0</v>
      </c>
      <c r="D201" s="257">
        <v>0</v>
      </c>
      <c r="E201" s="266">
        <v>500</v>
      </c>
      <c r="F201" s="257">
        <v>500</v>
      </c>
      <c r="G201" s="257">
        <v>500</v>
      </c>
      <c r="H201" s="269">
        <v>2279</v>
      </c>
      <c r="I201" s="257">
        <v>500</v>
      </c>
      <c r="J201" s="1039">
        <f t="shared" si="2"/>
        <v>712</v>
      </c>
      <c r="K201" s="258" t="s">
        <v>329</v>
      </c>
    </row>
    <row r="202" spans="1:11" x14ac:dyDescent="0.2">
      <c r="A202" s="249">
        <v>20</v>
      </c>
      <c r="B202" s="250" t="s">
        <v>417</v>
      </c>
      <c r="C202" s="256">
        <f>SUM(C203:C211)</f>
        <v>660</v>
      </c>
      <c r="D202" s="256">
        <f>SUM(D203:D211)</f>
        <v>655</v>
      </c>
      <c r="E202" s="256">
        <f>SUM(E203:E211)</f>
        <v>4301</v>
      </c>
      <c r="F202" s="256">
        <f>SUM(F203:F211)</f>
        <v>2000</v>
      </c>
      <c r="G202" s="256">
        <f>SUM(G203:G211)</f>
        <v>2000</v>
      </c>
      <c r="H202" s="256"/>
      <c r="I202" s="251">
        <f>SUM(I203:I211)</f>
        <v>2000</v>
      </c>
      <c r="J202" s="1038">
        <f>SUM(J203:J211)</f>
        <v>2851</v>
      </c>
      <c r="K202" s="258"/>
    </row>
    <row r="203" spans="1:11" x14ac:dyDescent="0.2">
      <c r="A203" s="2201" t="s">
        <v>418</v>
      </c>
      <c r="B203" s="2210" t="s">
        <v>419</v>
      </c>
      <c r="C203" s="254">
        <v>300</v>
      </c>
      <c r="D203" s="2203">
        <v>655</v>
      </c>
      <c r="E203" s="2204">
        <v>1080</v>
      </c>
      <c r="F203" s="2217">
        <v>550</v>
      </c>
      <c r="G203" s="270">
        <v>100</v>
      </c>
      <c r="H203" s="267">
        <v>2261</v>
      </c>
      <c r="I203" s="275">
        <v>100</v>
      </c>
      <c r="J203" s="1042">
        <f t="shared" si="2"/>
        <v>143</v>
      </c>
      <c r="K203" s="258" t="s">
        <v>260</v>
      </c>
    </row>
    <row r="204" spans="1:11" x14ac:dyDescent="0.2">
      <c r="A204" s="2201"/>
      <c r="B204" s="2210"/>
      <c r="C204" s="254">
        <v>100</v>
      </c>
      <c r="D204" s="2203"/>
      <c r="E204" s="2204"/>
      <c r="F204" s="2217"/>
      <c r="G204" s="270">
        <v>200</v>
      </c>
      <c r="H204" s="267">
        <v>2264</v>
      </c>
      <c r="I204" s="275">
        <v>200</v>
      </c>
      <c r="J204" s="1042">
        <f t="shared" si="2"/>
        <v>285</v>
      </c>
      <c r="K204" s="258" t="s">
        <v>259</v>
      </c>
    </row>
    <row r="205" spans="1:11" x14ac:dyDescent="0.2">
      <c r="A205" s="2201"/>
      <c r="B205" s="2210"/>
      <c r="C205" s="254">
        <v>260</v>
      </c>
      <c r="D205" s="2203"/>
      <c r="E205" s="2204"/>
      <c r="F205" s="2217"/>
      <c r="G205" s="270">
        <v>250</v>
      </c>
      <c r="H205" s="267">
        <v>2279</v>
      </c>
      <c r="I205" s="275">
        <v>250</v>
      </c>
      <c r="J205" s="1042">
        <f t="shared" si="2"/>
        <v>356</v>
      </c>
      <c r="K205" s="258" t="s">
        <v>224</v>
      </c>
    </row>
    <row r="206" spans="1:11" x14ac:dyDescent="0.2">
      <c r="A206" s="2201" t="s">
        <v>420</v>
      </c>
      <c r="B206" s="2210" t="s">
        <v>421</v>
      </c>
      <c r="C206" s="2216">
        <v>0</v>
      </c>
      <c r="D206" s="2203">
        <v>0</v>
      </c>
      <c r="E206" s="2204">
        <v>900</v>
      </c>
      <c r="F206" s="2217">
        <v>450</v>
      </c>
      <c r="G206" s="270">
        <v>100</v>
      </c>
      <c r="H206" s="267">
        <v>2261</v>
      </c>
      <c r="I206" s="275">
        <v>100</v>
      </c>
      <c r="J206" s="1042">
        <f t="shared" si="2"/>
        <v>143</v>
      </c>
      <c r="K206" s="258" t="s">
        <v>260</v>
      </c>
    </row>
    <row r="207" spans="1:11" x14ac:dyDescent="0.2">
      <c r="A207" s="2201"/>
      <c r="B207" s="2210"/>
      <c r="C207" s="2216"/>
      <c r="D207" s="2203"/>
      <c r="E207" s="2204"/>
      <c r="F207" s="2217"/>
      <c r="G207" s="270">
        <v>100</v>
      </c>
      <c r="H207" s="267">
        <v>2264</v>
      </c>
      <c r="I207" s="275">
        <v>100</v>
      </c>
      <c r="J207" s="1042">
        <f t="shared" si="2"/>
        <v>143</v>
      </c>
      <c r="K207" s="258" t="s">
        <v>259</v>
      </c>
    </row>
    <row r="208" spans="1:11" x14ac:dyDescent="0.2">
      <c r="A208" s="2201"/>
      <c r="B208" s="2210"/>
      <c r="C208" s="2216"/>
      <c r="D208" s="2203"/>
      <c r="E208" s="2204"/>
      <c r="F208" s="2217"/>
      <c r="G208" s="270">
        <v>250</v>
      </c>
      <c r="H208" s="267">
        <v>2279</v>
      </c>
      <c r="I208" s="275">
        <v>250</v>
      </c>
      <c r="J208" s="1042">
        <f t="shared" si="2"/>
        <v>356</v>
      </c>
      <c r="K208" s="258" t="s">
        <v>224</v>
      </c>
    </row>
    <row r="209" spans="1:11" x14ac:dyDescent="0.2">
      <c r="A209" s="2201" t="s">
        <v>422</v>
      </c>
      <c r="B209" s="2210" t="s">
        <v>423</v>
      </c>
      <c r="C209" s="2216">
        <v>0</v>
      </c>
      <c r="D209" s="2203">
        <v>0</v>
      </c>
      <c r="E209" s="2204">
        <v>2321</v>
      </c>
      <c r="F209" s="2217">
        <v>1000</v>
      </c>
      <c r="G209" s="270">
        <v>450</v>
      </c>
      <c r="H209" s="267">
        <v>2279</v>
      </c>
      <c r="I209" s="275">
        <v>450</v>
      </c>
      <c r="J209" s="1042">
        <f t="shared" si="2"/>
        <v>641</v>
      </c>
      <c r="K209" s="258" t="s">
        <v>224</v>
      </c>
    </row>
    <row r="210" spans="1:11" x14ac:dyDescent="0.2">
      <c r="A210" s="2201"/>
      <c r="B210" s="2210"/>
      <c r="C210" s="2216"/>
      <c r="D210" s="2203"/>
      <c r="E210" s="2204"/>
      <c r="F210" s="2217"/>
      <c r="G210" s="270">
        <v>350</v>
      </c>
      <c r="H210" s="267">
        <v>2261</v>
      </c>
      <c r="I210" s="275">
        <v>350</v>
      </c>
      <c r="J210" s="1042">
        <f t="shared" si="2"/>
        <v>499</v>
      </c>
      <c r="K210" s="258" t="s">
        <v>260</v>
      </c>
    </row>
    <row r="211" spans="1:11" x14ac:dyDescent="0.2">
      <c r="A211" s="2201"/>
      <c r="B211" s="2210"/>
      <c r="C211" s="2216"/>
      <c r="D211" s="2203"/>
      <c r="E211" s="2204"/>
      <c r="F211" s="2217"/>
      <c r="G211" s="255">
        <v>200</v>
      </c>
      <c r="H211" s="256">
        <v>2264</v>
      </c>
      <c r="I211" s="275">
        <v>200</v>
      </c>
      <c r="J211" s="1042">
        <f t="shared" si="2"/>
        <v>285</v>
      </c>
      <c r="K211" s="258" t="s">
        <v>259</v>
      </c>
    </row>
    <row r="212" spans="1:11" x14ac:dyDescent="0.2">
      <c r="A212" s="249">
        <v>21</v>
      </c>
      <c r="B212" s="250" t="s">
        <v>424</v>
      </c>
      <c r="C212" s="251">
        <f>SUM(C213:C220)</f>
        <v>1630</v>
      </c>
      <c r="D212" s="251">
        <f>SUM(D213:D220)</f>
        <v>1542</v>
      </c>
      <c r="E212" s="251">
        <f>SUM(E213:E220)</f>
        <v>4652</v>
      </c>
      <c r="F212" s="251">
        <f>SUM(F213:F220)</f>
        <v>3700</v>
      </c>
      <c r="G212" s="251">
        <f>SUM(G213:G220)</f>
        <v>3700</v>
      </c>
      <c r="H212" s="251"/>
      <c r="I212" s="251">
        <f>SUM(I213:I220)</f>
        <v>3480</v>
      </c>
      <c r="J212" s="1038">
        <f>SUM(J213:J220)</f>
        <v>4956</v>
      </c>
      <c r="K212" s="261"/>
    </row>
    <row r="213" spans="1:11" x14ac:dyDescent="0.2">
      <c r="A213" s="2201" t="s">
        <v>425</v>
      </c>
      <c r="B213" s="2210" t="s">
        <v>426</v>
      </c>
      <c r="C213" s="254">
        <v>300</v>
      </c>
      <c r="D213" s="2203">
        <v>512</v>
      </c>
      <c r="E213" s="2204">
        <v>1400</v>
      </c>
      <c r="F213" s="2217">
        <v>1400</v>
      </c>
      <c r="G213" s="270">
        <v>300</v>
      </c>
      <c r="H213" s="267">
        <v>2390</v>
      </c>
      <c r="I213" s="275">
        <v>300</v>
      </c>
      <c r="J213" s="1042">
        <f t="shared" si="2"/>
        <v>427</v>
      </c>
      <c r="K213" s="258" t="s">
        <v>201</v>
      </c>
    </row>
    <row r="214" spans="1:11" x14ac:dyDescent="0.2">
      <c r="A214" s="2201"/>
      <c r="B214" s="2210"/>
      <c r="C214" s="254">
        <v>200</v>
      </c>
      <c r="D214" s="2203"/>
      <c r="E214" s="2204"/>
      <c r="F214" s="2217"/>
      <c r="G214" s="270">
        <v>200</v>
      </c>
      <c r="H214" s="267">
        <v>2390</v>
      </c>
      <c r="I214" s="275">
        <v>200</v>
      </c>
      <c r="J214" s="1042">
        <f t="shared" si="2"/>
        <v>285</v>
      </c>
      <c r="K214" s="258" t="s">
        <v>351</v>
      </c>
    </row>
    <row r="215" spans="1:11" x14ac:dyDescent="0.2">
      <c r="A215" s="2201"/>
      <c r="B215" s="2210"/>
      <c r="C215" s="254">
        <v>100</v>
      </c>
      <c r="D215" s="2203"/>
      <c r="E215" s="2204"/>
      <c r="F215" s="2217"/>
      <c r="G215" s="270">
        <v>200</v>
      </c>
      <c r="H215" s="267">
        <v>2279</v>
      </c>
      <c r="I215" s="275">
        <v>100</v>
      </c>
      <c r="J215" s="1042">
        <f t="shared" si="2"/>
        <v>143</v>
      </c>
      <c r="K215" s="258" t="s">
        <v>224</v>
      </c>
    </row>
    <row r="216" spans="1:11" x14ac:dyDescent="0.2">
      <c r="A216" s="2201"/>
      <c r="B216" s="2210"/>
      <c r="C216" s="254">
        <v>0</v>
      </c>
      <c r="D216" s="2203"/>
      <c r="E216" s="2204"/>
      <c r="F216" s="2217"/>
      <c r="G216" s="255">
        <v>350</v>
      </c>
      <c r="H216" s="267">
        <v>2279</v>
      </c>
      <c r="I216" s="275">
        <v>350</v>
      </c>
      <c r="J216" s="1042">
        <f t="shared" si="2"/>
        <v>499</v>
      </c>
      <c r="K216" s="258" t="s">
        <v>320</v>
      </c>
    </row>
    <row r="217" spans="1:11" ht="22.5" x14ac:dyDescent="0.2">
      <c r="A217" s="2201"/>
      <c r="B217" s="2210"/>
      <c r="C217" s="254">
        <v>0</v>
      </c>
      <c r="D217" s="2203"/>
      <c r="E217" s="2204"/>
      <c r="F217" s="2217"/>
      <c r="G217" s="255">
        <v>350</v>
      </c>
      <c r="H217" s="269">
        <v>2390</v>
      </c>
      <c r="I217" s="275">
        <v>350</v>
      </c>
      <c r="J217" s="1042">
        <f t="shared" ref="J217:J280" si="3">ROUNDUP(I217/0.702804,0)</f>
        <v>499</v>
      </c>
      <c r="K217" s="258" t="s">
        <v>321</v>
      </c>
    </row>
    <row r="218" spans="1:11" x14ac:dyDescent="0.2">
      <c r="A218" s="2201" t="s">
        <v>427</v>
      </c>
      <c r="B218" s="2210" t="s">
        <v>428</v>
      </c>
      <c r="C218" s="254">
        <v>100</v>
      </c>
      <c r="D218" s="2203">
        <v>180</v>
      </c>
      <c r="E218" s="2204">
        <v>300</v>
      </c>
      <c r="F218" s="2203">
        <v>300</v>
      </c>
      <c r="G218" s="270">
        <v>150</v>
      </c>
      <c r="H218" s="267">
        <v>2390</v>
      </c>
      <c r="I218" s="257">
        <v>100</v>
      </c>
      <c r="J218" s="1042">
        <f t="shared" si="3"/>
        <v>143</v>
      </c>
      <c r="K218" s="258" t="s">
        <v>201</v>
      </c>
    </row>
    <row r="219" spans="1:11" x14ac:dyDescent="0.2">
      <c r="A219" s="2201"/>
      <c r="B219" s="2210"/>
      <c r="C219" s="254">
        <v>80</v>
      </c>
      <c r="D219" s="2203"/>
      <c r="E219" s="2204"/>
      <c r="F219" s="2203"/>
      <c r="G219" s="270">
        <v>150</v>
      </c>
      <c r="H219" s="267">
        <v>2279</v>
      </c>
      <c r="I219" s="257">
        <v>80</v>
      </c>
      <c r="J219" s="1042">
        <f t="shared" si="3"/>
        <v>114</v>
      </c>
      <c r="K219" s="258" t="s">
        <v>429</v>
      </c>
    </row>
    <row r="220" spans="1:11" ht="22.5" x14ac:dyDescent="0.2">
      <c r="A220" s="262" t="s">
        <v>430</v>
      </c>
      <c r="B220" s="263" t="s">
        <v>431</v>
      </c>
      <c r="C220" s="264">
        <v>850</v>
      </c>
      <c r="D220" s="255">
        <v>850</v>
      </c>
      <c r="E220" s="270">
        <v>2952</v>
      </c>
      <c r="F220" s="255">
        <v>2000</v>
      </c>
      <c r="G220" s="266">
        <v>2000</v>
      </c>
      <c r="H220" s="267">
        <v>2279</v>
      </c>
      <c r="I220" s="257">
        <v>2000</v>
      </c>
      <c r="J220" s="1042">
        <f t="shared" si="3"/>
        <v>2846</v>
      </c>
      <c r="K220" s="258" t="s">
        <v>432</v>
      </c>
    </row>
    <row r="221" spans="1:11" x14ac:dyDescent="0.2">
      <c r="A221" s="249">
        <v>22</v>
      </c>
      <c r="B221" s="250" t="s">
        <v>433</v>
      </c>
      <c r="C221" s="256">
        <f>SUM(C222:C228)</f>
        <v>1940</v>
      </c>
      <c r="D221" s="256">
        <f>SUM(D222:D228)</f>
        <v>1939</v>
      </c>
      <c r="E221" s="256">
        <f>SUM(E222:E228)</f>
        <v>2650</v>
      </c>
      <c r="F221" s="256">
        <f>SUM(F222:F228)</f>
        <v>2100</v>
      </c>
      <c r="G221" s="256">
        <f>SUM(G222:G228)</f>
        <v>2100</v>
      </c>
      <c r="H221" s="256"/>
      <c r="I221" s="251">
        <f>SUM(I222:I228)</f>
        <v>1940</v>
      </c>
      <c r="J221" s="1038">
        <f>SUM(J222:J228)</f>
        <v>2763</v>
      </c>
      <c r="K221" s="278"/>
    </row>
    <row r="222" spans="1:11" ht="22.5" x14ac:dyDescent="0.2">
      <c r="A222" s="262" t="s">
        <v>434</v>
      </c>
      <c r="B222" s="263" t="s">
        <v>435</v>
      </c>
      <c r="C222" s="264">
        <v>1500</v>
      </c>
      <c r="D222" s="255">
        <v>1500</v>
      </c>
      <c r="E222" s="270">
        <v>1900</v>
      </c>
      <c r="F222" s="255">
        <v>1500</v>
      </c>
      <c r="G222" s="255">
        <v>1500</v>
      </c>
      <c r="H222" s="256">
        <v>2279</v>
      </c>
      <c r="I222" s="255">
        <v>1500</v>
      </c>
      <c r="J222" s="1039">
        <f t="shared" si="3"/>
        <v>2135</v>
      </c>
      <c r="K222" s="258" t="s">
        <v>432</v>
      </c>
    </row>
    <row r="223" spans="1:11" x14ac:dyDescent="0.2">
      <c r="A223" s="2201" t="s">
        <v>436</v>
      </c>
      <c r="B223" s="2210" t="s">
        <v>437</v>
      </c>
      <c r="C223" s="254">
        <v>150</v>
      </c>
      <c r="D223" s="2203">
        <v>200</v>
      </c>
      <c r="E223" s="2204">
        <v>250</v>
      </c>
      <c r="F223" s="2203">
        <v>200</v>
      </c>
      <c r="G223" s="270">
        <v>150</v>
      </c>
      <c r="H223" s="267">
        <v>2390</v>
      </c>
      <c r="I223" s="257">
        <v>150</v>
      </c>
      <c r="J223" s="1039">
        <f t="shared" si="3"/>
        <v>214</v>
      </c>
      <c r="K223" s="258" t="s">
        <v>201</v>
      </c>
    </row>
    <row r="224" spans="1:11" x14ac:dyDescent="0.2">
      <c r="A224" s="2201"/>
      <c r="B224" s="2210"/>
      <c r="C224" s="254">
        <v>50</v>
      </c>
      <c r="D224" s="2203"/>
      <c r="E224" s="2204"/>
      <c r="F224" s="2203"/>
      <c r="G224" s="270">
        <v>50</v>
      </c>
      <c r="H224" s="267">
        <v>2261</v>
      </c>
      <c r="I224" s="257"/>
      <c r="J224" s="1039">
        <f t="shared" si="3"/>
        <v>0</v>
      </c>
      <c r="K224" s="258" t="s">
        <v>260</v>
      </c>
    </row>
    <row r="225" spans="1:11" x14ac:dyDescent="0.2">
      <c r="A225" s="2201" t="s">
        <v>438</v>
      </c>
      <c r="B225" s="2210" t="s">
        <v>439</v>
      </c>
      <c r="C225" s="2216">
        <v>120</v>
      </c>
      <c r="D225" s="2203">
        <v>119</v>
      </c>
      <c r="E225" s="2204">
        <v>250</v>
      </c>
      <c r="F225" s="2203">
        <v>200</v>
      </c>
      <c r="G225" s="270">
        <v>150</v>
      </c>
      <c r="H225" s="267">
        <v>2390</v>
      </c>
      <c r="I225" s="257">
        <v>145</v>
      </c>
      <c r="J225" s="1039">
        <f t="shared" si="3"/>
        <v>207</v>
      </c>
      <c r="K225" s="258" t="s">
        <v>201</v>
      </c>
    </row>
    <row r="226" spans="1:11" x14ac:dyDescent="0.2">
      <c r="A226" s="2201"/>
      <c r="B226" s="2210"/>
      <c r="C226" s="2216"/>
      <c r="D226" s="2203"/>
      <c r="E226" s="2204"/>
      <c r="F226" s="2203"/>
      <c r="G226" s="270">
        <v>50</v>
      </c>
      <c r="H226" s="267">
        <v>2261</v>
      </c>
      <c r="I226" s="257"/>
      <c r="J226" s="1039">
        <f t="shared" si="3"/>
        <v>0</v>
      </c>
      <c r="K226" s="258" t="s">
        <v>260</v>
      </c>
    </row>
    <row r="227" spans="1:11" x14ac:dyDescent="0.2">
      <c r="A227" s="2201" t="s">
        <v>440</v>
      </c>
      <c r="B227" s="2210" t="s">
        <v>441</v>
      </c>
      <c r="C227" s="2216">
        <v>120</v>
      </c>
      <c r="D227" s="2203">
        <v>120</v>
      </c>
      <c r="E227" s="2204">
        <v>250</v>
      </c>
      <c r="F227" s="2203">
        <v>200</v>
      </c>
      <c r="G227" s="270">
        <v>150</v>
      </c>
      <c r="H227" s="267">
        <v>2390</v>
      </c>
      <c r="I227" s="257">
        <v>145</v>
      </c>
      <c r="J227" s="1039">
        <f t="shared" si="3"/>
        <v>207</v>
      </c>
      <c r="K227" s="258" t="s">
        <v>201</v>
      </c>
    </row>
    <row r="228" spans="1:11" x14ac:dyDescent="0.2">
      <c r="A228" s="2201"/>
      <c r="B228" s="2210"/>
      <c r="C228" s="2216"/>
      <c r="D228" s="2203"/>
      <c r="E228" s="2204"/>
      <c r="F228" s="2203"/>
      <c r="G228" s="270">
        <v>50</v>
      </c>
      <c r="H228" s="267">
        <v>2261</v>
      </c>
      <c r="I228" s="257"/>
      <c r="J228" s="1039">
        <f t="shared" si="3"/>
        <v>0</v>
      </c>
      <c r="K228" s="258" t="s">
        <v>260</v>
      </c>
    </row>
    <row r="229" spans="1:11" x14ac:dyDescent="0.2">
      <c r="A229" s="249">
        <v>23</v>
      </c>
      <c r="B229" s="250" t="s">
        <v>442</v>
      </c>
      <c r="C229" s="271">
        <f>SUM(C230:C232)</f>
        <v>3000</v>
      </c>
      <c r="D229" s="271">
        <f>SUM(D230:D232)</f>
        <v>2999</v>
      </c>
      <c r="E229" s="271">
        <f>SUM(E230:E232)</f>
        <v>5302</v>
      </c>
      <c r="F229" s="271">
        <f>SUM(F230:F232)</f>
        <v>2800</v>
      </c>
      <c r="G229" s="271">
        <f>SUM(G230:G232)</f>
        <v>2800</v>
      </c>
      <c r="H229" s="271"/>
      <c r="I229" s="265">
        <f>SUM(I230:I232)</f>
        <v>3000</v>
      </c>
      <c r="J229" s="1043">
        <f>SUM(J230:J232)</f>
        <v>4269</v>
      </c>
      <c r="K229" s="261"/>
    </row>
    <row r="230" spans="1:11" x14ac:dyDescent="0.2">
      <c r="A230" s="262" t="s">
        <v>443</v>
      </c>
      <c r="B230" s="263" t="s">
        <v>444</v>
      </c>
      <c r="C230" s="254">
        <v>2000</v>
      </c>
      <c r="D230" s="257">
        <v>1999</v>
      </c>
      <c r="E230" s="266">
        <v>2547</v>
      </c>
      <c r="F230" s="257">
        <v>1300</v>
      </c>
      <c r="G230" s="270">
        <v>1300</v>
      </c>
      <c r="H230" s="267">
        <v>2279</v>
      </c>
      <c r="I230" s="257">
        <v>2000</v>
      </c>
      <c r="J230" s="1040">
        <f t="shared" si="3"/>
        <v>2846</v>
      </c>
      <c r="K230" s="258" t="s">
        <v>329</v>
      </c>
    </row>
    <row r="231" spans="1:11" x14ac:dyDescent="0.2">
      <c r="A231" s="262" t="s">
        <v>445</v>
      </c>
      <c r="B231" s="263" t="s">
        <v>446</v>
      </c>
      <c r="C231" s="254">
        <v>0</v>
      </c>
      <c r="D231" s="257">
        <v>0</v>
      </c>
      <c r="E231" s="266">
        <v>1255</v>
      </c>
      <c r="F231" s="257">
        <v>0</v>
      </c>
      <c r="G231" s="270">
        <v>0</v>
      </c>
      <c r="H231" s="267">
        <v>2279</v>
      </c>
      <c r="I231" s="257"/>
      <c r="J231" s="1040">
        <f t="shared" si="3"/>
        <v>0</v>
      </c>
      <c r="K231" s="258" t="s">
        <v>329</v>
      </c>
    </row>
    <row r="232" spans="1:11" x14ac:dyDescent="0.2">
      <c r="A232" s="262" t="s">
        <v>447</v>
      </c>
      <c r="B232" s="263" t="s">
        <v>448</v>
      </c>
      <c r="C232" s="254">
        <v>1000</v>
      </c>
      <c r="D232" s="257">
        <v>1000</v>
      </c>
      <c r="E232" s="266">
        <v>1500</v>
      </c>
      <c r="F232" s="257">
        <v>1500</v>
      </c>
      <c r="G232" s="270">
        <v>1500</v>
      </c>
      <c r="H232" s="267">
        <v>2279</v>
      </c>
      <c r="I232" s="257">
        <v>1000</v>
      </c>
      <c r="J232" s="1040">
        <f t="shared" si="3"/>
        <v>1423</v>
      </c>
      <c r="K232" s="258" t="s">
        <v>329</v>
      </c>
    </row>
    <row r="233" spans="1:11" ht="48.75" customHeight="1" x14ac:dyDescent="0.2">
      <c r="A233" s="2214" t="s">
        <v>449</v>
      </c>
      <c r="B233" s="2215"/>
      <c r="C233" s="251">
        <f>SUM(C234:C317)</f>
        <v>292099</v>
      </c>
      <c r="D233" s="251">
        <f>SUM(D234:D317)</f>
        <v>290469</v>
      </c>
      <c r="E233" s="251">
        <f>SUM(E234:E317)</f>
        <v>429637.95999999996</v>
      </c>
      <c r="F233" s="251">
        <f>SUM(F234:F317)</f>
        <v>258632</v>
      </c>
      <c r="G233" s="251">
        <f>SUM(G234:G317)</f>
        <v>258632</v>
      </c>
      <c r="H233" s="251"/>
      <c r="I233" s="251">
        <f>SUM(I234:I317)</f>
        <v>244702</v>
      </c>
      <c r="J233" s="1038">
        <f>SUM(J234:J317)</f>
        <v>348208</v>
      </c>
      <c r="K233" s="278"/>
    </row>
    <row r="234" spans="1:11" x14ac:dyDescent="0.2">
      <c r="A234" s="262">
        <v>1</v>
      </c>
      <c r="B234" s="254" t="s">
        <v>450</v>
      </c>
      <c r="C234" s="257">
        <v>43000</v>
      </c>
      <c r="D234" s="255">
        <v>43000</v>
      </c>
      <c r="E234" s="270">
        <v>43000</v>
      </c>
      <c r="F234" s="255">
        <v>43000</v>
      </c>
      <c r="G234" s="270">
        <v>43000</v>
      </c>
      <c r="H234" s="267">
        <v>2279</v>
      </c>
      <c r="I234" s="255">
        <v>43000</v>
      </c>
      <c r="J234" s="1039">
        <f t="shared" si="3"/>
        <v>61184</v>
      </c>
      <c r="K234" s="258" t="s">
        <v>432</v>
      </c>
    </row>
    <row r="235" spans="1:11" x14ac:dyDescent="0.2">
      <c r="A235" s="262">
        <v>2</v>
      </c>
      <c r="B235" s="254" t="s">
        <v>451</v>
      </c>
      <c r="C235" s="257">
        <v>30000</v>
      </c>
      <c r="D235" s="255">
        <v>30000</v>
      </c>
      <c r="E235" s="270">
        <v>35000</v>
      </c>
      <c r="F235" s="255">
        <v>30000</v>
      </c>
      <c r="G235" s="279">
        <v>30000</v>
      </c>
      <c r="H235" s="267">
        <v>2279</v>
      </c>
      <c r="I235" s="255">
        <v>30000</v>
      </c>
      <c r="J235" s="1039">
        <f t="shared" si="3"/>
        <v>42687</v>
      </c>
      <c r="K235" s="258" t="s">
        <v>432</v>
      </c>
    </row>
    <row r="236" spans="1:11" ht="22.5" x14ac:dyDescent="0.2">
      <c r="A236" s="262">
        <v>3</v>
      </c>
      <c r="B236" s="254" t="s">
        <v>452</v>
      </c>
      <c r="C236" s="257">
        <v>20000</v>
      </c>
      <c r="D236" s="255">
        <v>20000</v>
      </c>
      <c r="E236" s="270">
        <v>30000</v>
      </c>
      <c r="F236" s="255">
        <v>30000</v>
      </c>
      <c r="G236" s="270">
        <v>30000</v>
      </c>
      <c r="H236" s="267">
        <v>2279</v>
      </c>
      <c r="I236" s="255">
        <f>30000-10000</f>
        <v>20000</v>
      </c>
      <c r="J236" s="1039">
        <f t="shared" si="3"/>
        <v>28458</v>
      </c>
      <c r="K236" s="258" t="s">
        <v>432</v>
      </c>
    </row>
    <row r="237" spans="1:11" ht="22.5" x14ac:dyDescent="0.2">
      <c r="A237" s="262">
        <v>4</v>
      </c>
      <c r="B237" s="254" t="s">
        <v>453</v>
      </c>
      <c r="C237" s="257">
        <v>3000</v>
      </c>
      <c r="D237" s="255">
        <v>3000</v>
      </c>
      <c r="E237" s="270">
        <v>30000</v>
      </c>
      <c r="F237" s="255">
        <v>3000</v>
      </c>
      <c r="G237" s="270">
        <v>3000</v>
      </c>
      <c r="H237" s="267">
        <v>2279</v>
      </c>
      <c r="I237" s="255">
        <f>3000+10000</f>
        <v>13000</v>
      </c>
      <c r="J237" s="1039">
        <f t="shared" si="3"/>
        <v>18498</v>
      </c>
      <c r="K237" s="258" t="s">
        <v>432</v>
      </c>
    </row>
    <row r="238" spans="1:11" x14ac:dyDescent="0.2">
      <c r="A238" s="2201">
        <v>5</v>
      </c>
      <c r="B238" s="2202" t="s">
        <v>454</v>
      </c>
      <c r="C238" s="254">
        <v>4000</v>
      </c>
      <c r="D238" s="2212">
        <v>7240</v>
      </c>
      <c r="E238" s="2213">
        <v>7240</v>
      </c>
      <c r="F238" s="2212">
        <v>7240</v>
      </c>
      <c r="G238" s="270">
        <v>3740</v>
      </c>
      <c r="H238" s="267">
        <v>2361</v>
      </c>
      <c r="I238" s="257">
        <v>3740</v>
      </c>
      <c r="J238" s="1039">
        <f t="shared" si="3"/>
        <v>5322</v>
      </c>
      <c r="K238" s="258" t="s">
        <v>208</v>
      </c>
    </row>
    <row r="239" spans="1:11" x14ac:dyDescent="0.2">
      <c r="A239" s="2201"/>
      <c r="B239" s="2202"/>
      <c r="C239" s="254">
        <v>1171</v>
      </c>
      <c r="D239" s="2212"/>
      <c r="E239" s="2213"/>
      <c r="F239" s="2212"/>
      <c r="G239" s="255">
        <v>1500</v>
      </c>
      <c r="H239" s="267">
        <v>2262</v>
      </c>
      <c r="I239" s="257">
        <v>1500</v>
      </c>
      <c r="J239" s="1039">
        <f t="shared" si="3"/>
        <v>2135</v>
      </c>
      <c r="K239" s="258" t="s">
        <v>209</v>
      </c>
    </row>
    <row r="240" spans="1:11" x14ac:dyDescent="0.2">
      <c r="A240" s="2201"/>
      <c r="B240" s="2202"/>
      <c r="C240" s="254">
        <v>143</v>
      </c>
      <c r="D240" s="2212"/>
      <c r="E240" s="2213"/>
      <c r="F240" s="2212"/>
      <c r="G240" s="255">
        <v>0</v>
      </c>
      <c r="H240" s="267">
        <v>2322</v>
      </c>
      <c r="I240" s="257"/>
      <c r="J240" s="1039">
        <f t="shared" si="3"/>
        <v>0</v>
      </c>
      <c r="K240" s="258"/>
    </row>
    <row r="241" spans="1:11" x14ac:dyDescent="0.2">
      <c r="A241" s="2201"/>
      <c r="B241" s="2202"/>
      <c r="C241" s="254">
        <v>1926</v>
      </c>
      <c r="D241" s="2212"/>
      <c r="E241" s="2213"/>
      <c r="F241" s="2212"/>
      <c r="G241" s="255">
        <v>2000</v>
      </c>
      <c r="H241" s="267">
        <v>2279</v>
      </c>
      <c r="I241" s="257">
        <v>2000</v>
      </c>
      <c r="J241" s="1039">
        <f t="shared" si="3"/>
        <v>2846</v>
      </c>
      <c r="K241" s="258" t="s">
        <v>455</v>
      </c>
    </row>
    <row r="242" spans="1:11" x14ac:dyDescent="0.2">
      <c r="A242" s="2201">
        <v>6</v>
      </c>
      <c r="B242" s="2202" t="s">
        <v>456</v>
      </c>
      <c r="C242" s="254">
        <v>2230</v>
      </c>
      <c r="D242" s="2212">
        <v>18100</v>
      </c>
      <c r="E242" s="2213">
        <v>3000</v>
      </c>
      <c r="F242" s="2212">
        <v>3000</v>
      </c>
      <c r="G242" s="255">
        <v>1000</v>
      </c>
      <c r="H242" s="267">
        <v>2262</v>
      </c>
      <c r="I242" s="257">
        <v>1000</v>
      </c>
      <c r="J242" s="1039">
        <f t="shared" si="3"/>
        <v>1423</v>
      </c>
      <c r="K242" s="258" t="s">
        <v>209</v>
      </c>
    </row>
    <row r="243" spans="1:11" x14ac:dyDescent="0.2">
      <c r="A243" s="2201"/>
      <c r="B243" s="2202"/>
      <c r="C243" s="254">
        <v>4080</v>
      </c>
      <c r="D243" s="2212"/>
      <c r="E243" s="2213"/>
      <c r="F243" s="2212"/>
      <c r="G243" s="255">
        <v>500</v>
      </c>
      <c r="H243" s="267">
        <v>2261</v>
      </c>
      <c r="I243" s="257">
        <v>500</v>
      </c>
      <c r="J243" s="1039">
        <f t="shared" si="3"/>
        <v>712</v>
      </c>
      <c r="K243" s="258" t="s">
        <v>260</v>
      </c>
    </row>
    <row r="244" spans="1:11" x14ac:dyDescent="0.2">
      <c r="A244" s="2201"/>
      <c r="B244" s="2202"/>
      <c r="C244" s="254">
        <v>3862</v>
      </c>
      <c r="D244" s="2212"/>
      <c r="E244" s="2213"/>
      <c r="F244" s="2212"/>
      <c r="G244" s="255">
        <v>500</v>
      </c>
      <c r="H244" s="267">
        <v>2363</v>
      </c>
      <c r="I244" s="257">
        <v>500</v>
      </c>
      <c r="J244" s="1039">
        <f t="shared" si="3"/>
        <v>712</v>
      </c>
      <c r="K244" s="258" t="s">
        <v>204</v>
      </c>
    </row>
    <row r="245" spans="1:11" x14ac:dyDescent="0.2">
      <c r="A245" s="2201"/>
      <c r="B245" s="2202"/>
      <c r="C245" s="254">
        <v>7928</v>
      </c>
      <c r="D245" s="2212"/>
      <c r="E245" s="2213"/>
      <c r="F245" s="2212"/>
      <c r="G245" s="255">
        <v>1000</v>
      </c>
      <c r="H245" s="267">
        <v>2361</v>
      </c>
      <c r="I245" s="257">
        <v>1000</v>
      </c>
      <c r="J245" s="1039">
        <f t="shared" si="3"/>
        <v>1423</v>
      </c>
      <c r="K245" s="258" t="s">
        <v>457</v>
      </c>
    </row>
    <row r="246" spans="1:11" x14ac:dyDescent="0.2">
      <c r="A246" s="262">
        <v>7</v>
      </c>
      <c r="B246" s="254" t="s">
        <v>458</v>
      </c>
      <c r="C246" s="254">
        <v>7000</v>
      </c>
      <c r="D246" s="255">
        <v>7000</v>
      </c>
      <c r="E246" s="270">
        <v>19790</v>
      </c>
      <c r="F246" s="255">
        <v>5000</v>
      </c>
      <c r="G246" s="270">
        <v>5000</v>
      </c>
      <c r="H246" s="267">
        <v>2279</v>
      </c>
      <c r="I246" s="255">
        <v>5000</v>
      </c>
      <c r="J246" s="1039">
        <f t="shared" si="3"/>
        <v>7115</v>
      </c>
      <c r="K246" s="258" t="s">
        <v>357</v>
      </c>
    </row>
    <row r="247" spans="1:11" ht="22.5" x14ac:dyDescent="0.2">
      <c r="A247" s="262">
        <v>8</v>
      </c>
      <c r="B247" s="254" t="s">
        <v>459</v>
      </c>
      <c r="C247" s="254">
        <v>3600</v>
      </c>
      <c r="D247" s="255">
        <v>3600</v>
      </c>
      <c r="E247" s="270">
        <v>5000</v>
      </c>
      <c r="F247" s="255">
        <v>5000</v>
      </c>
      <c r="G247" s="270">
        <v>5000</v>
      </c>
      <c r="H247" s="267">
        <v>2279</v>
      </c>
      <c r="I247" s="255">
        <v>5000</v>
      </c>
      <c r="J247" s="1039">
        <f t="shared" si="3"/>
        <v>7115</v>
      </c>
      <c r="K247" s="258" t="s">
        <v>432</v>
      </c>
    </row>
    <row r="248" spans="1:11" ht="78.75" x14ac:dyDescent="0.2">
      <c r="A248" s="262">
        <v>9</v>
      </c>
      <c r="B248" s="254" t="s">
        <v>460</v>
      </c>
      <c r="C248" s="254">
        <v>3000</v>
      </c>
      <c r="D248" s="255">
        <v>3000</v>
      </c>
      <c r="E248" s="270">
        <v>3650</v>
      </c>
      <c r="F248" s="255">
        <v>0</v>
      </c>
      <c r="G248" s="270">
        <v>0</v>
      </c>
      <c r="H248" s="267">
        <v>2279</v>
      </c>
      <c r="I248" s="255"/>
      <c r="J248" s="1039">
        <f t="shared" si="3"/>
        <v>0</v>
      </c>
      <c r="K248" s="258" t="s">
        <v>461</v>
      </c>
    </row>
    <row r="249" spans="1:11" x14ac:dyDescent="0.2">
      <c r="A249" s="262">
        <v>10</v>
      </c>
      <c r="B249" s="254" t="s">
        <v>462</v>
      </c>
      <c r="C249" s="254">
        <v>7000</v>
      </c>
      <c r="D249" s="255">
        <v>7000</v>
      </c>
      <c r="E249" s="270">
        <v>11613.96</v>
      </c>
      <c r="F249" s="255">
        <v>5000</v>
      </c>
      <c r="G249" s="270">
        <v>5000</v>
      </c>
      <c r="H249" s="267">
        <v>2279</v>
      </c>
      <c r="I249" s="255">
        <v>5000</v>
      </c>
      <c r="J249" s="1039">
        <f t="shared" si="3"/>
        <v>7115</v>
      </c>
      <c r="K249" s="258" t="s">
        <v>432</v>
      </c>
    </row>
    <row r="250" spans="1:11" x14ac:dyDescent="0.2">
      <c r="A250" s="262">
        <v>11</v>
      </c>
      <c r="B250" s="254" t="s">
        <v>463</v>
      </c>
      <c r="C250" s="254">
        <v>3500</v>
      </c>
      <c r="D250" s="255">
        <v>3500</v>
      </c>
      <c r="E250" s="270">
        <v>9607</v>
      </c>
      <c r="F250" s="255">
        <v>0</v>
      </c>
      <c r="G250" s="270">
        <v>0</v>
      </c>
      <c r="H250" s="267">
        <v>2279</v>
      </c>
      <c r="I250" s="257"/>
      <c r="J250" s="1039">
        <f t="shared" si="3"/>
        <v>0</v>
      </c>
      <c r="K250" s="258" t="s">
        <v>357</v>
      </c>
    </row>
    <row r="251" spans="1:11" x14ac:dyDescent="0.2">
      <c r="A251" s="262">
        <v>12</v>
      </c>
      <c r="B251" s="254" t="s">
        <v>464</v>
      </c>
      <c r="C251" s="254">
        <v>500</v>
      </c>
      <c r="D251" s="255">
        <v>220</v>
      </c>
      <c r="E251" s="270">
        <v>1700</v>
      </c>
      <c r="F251" s="255">
        <v>500</v>
      </c>
      <c r="G251" s="270">
        <v>500</v>
      </c>
      <c r="H251" s="267">
        <v>2279</v>
      </c>
      <c r="I251" s="255">
        <v>500</v>
      </c>
      <c r="J251" s="1039">
        <f t="shared" si="3"/>
        <v>712</v>
      </c>
      <c r="K251" s="258" t="s">
        <v>455</v>
      </c>
    </row>
    <row r="252" spans="1:11" ht="78.75" x14ac:dyDescent="0.2">
      <c r="A252" s="262">
        <v>13</v>
      </c>
      <c r="B252" s="254" t="s">
        <v>465</v>
      </c>
      <c r="C252" s="254">
        <v>4102</v>
      </c>
      <c r="D252" s="255">
        <v>4102</v>
      </c>
      <c r="E252" s="270">
        <v>44948</v>
      </c>
      <c r="F252" s="255">
        <v>0</v>
      </c>
      <c r="G252" s="280">
        <v>0</v>
      </c>
      <c r="H252" s="267">
        <v>2279</v>
      </c>
      <c r="I252" s="257"/>
      <c r="J252" s="1039">
        <f t="shared" si="3"/>
        <v>0</v>
      </c>
      <c r="K252" s="258" t="s">
        <v>461</v>
      </c>
    </row>
    <row r="253" spans="1:11" ht="22.5" x14ac:dyDescent="0.2">
      <c r="A253" s="1013">
        <v>14</v>
      </c>
      <c r="B253" s="1006" t="s">
        <v>1813</v>
      </c>
      <c r="C253" s="1006">
        <v>10586</v>
      </c>
      <c r="D253" s="1007">
        <v>10586</v>
      </c>
      <c r="E253" s="1008">
        <v>5000</v>
      </c>
      <c r="F253" s="1007">
        <v>5000</v>
      </c>
      <c r="G253" s="1008">
        <v>5000</v>
      </c>
      <c r="H253" s="267">
        <v>2279</v>
      </c>
      <c r="I253" s="1009">
        <v>5000</v>
      </c>
      <c r="J253" s="1039">
        <f t="shared" si="3"/>
        <v>7115</v>
      </c>
      <c r="K253" s="1004" t="s">
        <v>233</v>
      </c>
    </row>
    <row r="254" spans="1:11" ht="22.5" x14ac:dyDescent="0.2">
      <c r="A254" s="262">
        <v>15</v>
      </c>
      <c r="B254" s="254" t="s">
        <v>466</v>
      </c>
      <c r="C254" s="254">
        <v>450</v>
      </c>
      <c r="D254" s="255">
        <v>450</v>
      </c>
      <c r="E254" s="270">
        <v>0</v>
      </c>
      <c r="F254" s="255">
        <v>0</v>
      </c>
      <c r="G254" s="270">
        <v>0</v>
      </c>
      <c r="H254" s="1762">
        <v>2279</v>
      </c>
      <c r="I254" s="255"/>
      <c r="J254" s="1039">
        <f t="shared" si="3"/>
        <v>0</v>
      </c>
      <c r="K254" s="258" t="s">
        <v>233</v>
      </c>
    </row>
    <row r="255" spans="1:11" x14ac:dyDescent="0.2">
      <c r="A255" s="262">
        <v>16</v>
      </c>
      <c r="B255" s="254" t="s">
        <v>467</v>
      </c>
      <c r="C255" s="254">
        <v>1400</v>
      </c>
      <c r="D255" s="255">
        <v>1400</v>
      </c>
      <c r="E255" s="270">
        <v>2603</v>
      </c>
      <c r="F255" s="255">
        <v>1400</v>
      </c>
      <c r="G255" s="270">
        <v>1400</v>
      </c>
      <c r="H255" s="1763">
        <v>2279</v>
      </c>
      <c r="I255" s="257">
        <v>1400</v>
      </c>
      <c r="J255" s="1039">
        <f t="shared" si="3"/>
        <v>1993</v>
      </c>
      <c r="K255" s="258" t="s">
        <v>468</v>
      </c>
    </row>
    <row r="256" spans="1:11" x14ac:dyDescent="0.2">
      <c r="A256" s="262">
        <v>17</v>
      </c>
      <c r="B256" s="254" t="s">
        <v>469</v>
      </c>
      <c r="C256" s="254">
        <v>5000</v>
      </c>
      <c r="D256" s="255">
        <v>5000</v>
      </c>
      <c r="E256" s="270">
        <v>5000</v>
      </c>
      <c r="F256" s="255">
        <v>4000</v>
      </c>
      <c r="G256" s="270">
        <v>4000</v>
      </c>
      <c r="H256" s="267">
        <v>2279</v>
      </c>
      <c r="I256" s="255">
        <v>4000</v>
      </c>
      <c r="J256" s="1039">
        <f t="shared" si="3"/>
        <v>5692</v>
      </c>
      <c r="K256" s="258" t="s">
        <v>468</v>
      </c>
    </row>
    <row r="257" spans="1:11" x14ac:dyDescent="0.2">
      <c r="A257" s="1005">
        <v>18</v>
      </c>
      <c r="B257" s="1006" t="s">
        <v>470</v>
      </c>
      <c r="C257" s="1006">
        <v>2500</v>
      </c>
      <c r="D257" s="1009">
        <v>2500</v>
      </c>
      <c r="E257" s="1010">
        <v>4000</v>
      </c>
      <c r="F257" s="1009">
        <v>4000</v>
      </c>
      <c r="G257" s="1010">
        <v>4000</v>
      </c>
      <c r="H257" s="269">
        <v>2279</v>
      </c>
      <c r="I257" s="1009">
        <v>4000</v>
      </c>
      <c r="J257" s="1039">
        <f t="shared" si="3"/>
        <v>5692</v>
      </c>
      <c r="K257" s="1019" t="s">
        <v>468</v>
      </c>
    </row>
    <row r="258" spans="1:11" x14ac:dyDescent="0.2">
      <c r="A258" s="1017"/>
      <c r="B258" s="1014"/>
      <c r="C258" s="1014"/>
      <c r="D258" s="1015"/>
      <c r="E258" s="1016"/>
      <c r="F258" s="1015"/>
      <c r="G258" s="1016"/>
      <c r="H258" s="1764"/>
      <c r="I258" s="1015"/>
      <c r="J258" s="1039">
        <f t="shared" si="3"/>
        <v>0</v>
      </c>
      <c r="K258" s="1018"/>
    </row>
    <row r="259" spans="1:11" x14ac:dyDescent="0.2">
      <c r="A259" s="2201">
        <v>19</v>
      </c>
      <c r="B259" s="2202" t="s">
        <v>471</v>
      </c>
      <c r="C259" s="254">
        <v>450</v>
      </c>
      <c r="D259" s="2203">
        <v>950</v>
      </c>
      <c r="E259" s="2204">
        <v>1550</v>
      </c>
      <c r="F259" s="2203">
        <v>1550</v>
      </c>
      <c r="G259" s="270">
        <v>450</v>
      </c>
      <c r="H259" s="267">
        <v>2262</v>
      </c>
      <c r="I259" s="257">
        <v>450</v>
      </c>
      <c r="J259" s="1039">
        <f t="shared" si="3"/>
        <v>641</v>
      </c>
      <c r="K259" s="258" t="s">
        <v>209</v>
      </c>
    </row>
    <row r="260" spans="1:11" x14ac:dyDescent="0.2">
      <c r="A260" s="2201"/>
      <c r="B260" s="2202"/>
      <c r="C260" s="254">
        <v>500</v>
      </c>
      <c r="D260" s="2203"/>
      <c r="E260" s="2204"/>
      <c r="F260" s="2203"/>
      <c r="G260" s="270">
        <v>500</v>
      </c>
      <c r="H260" s="267">
        <v>2279</v>
      </c>
      <c r="I260" s="257">
        <v>500</v>
      </c>
      <c r="J260" s="1039">
        <f t="shared" si="3"/>
        <v>712</v>
      </c>
      <c r="K260" s="258" t="s">
        <v>455</v>
      </c>
    </row>
    <row r="261" spans="1:11" x14ac:dyDescent="0.2">
      <c r="A261" s="2201"/>
      <c r="B261" s="2202"/>
      <c r="C261" s="254">
        <v>0</v>
      </c>
      <c r="D261" s="2203"/>
      <c r="E261" s="2204"/>
      <c r="F261" s="2203"/>
      <c r="G261" s="270">
        <v>600</v>
      </c>
      <c r="H261" s="267">
        <v>2361</v>
      </c>
      <c r="I261" s="257">
        <v>600</v>
      </c>
      <c r="J261" s="1039">
        <f t="shared" si="3"/>
        <v>854</v>
      </c>
      <c r="K261" s="258" t="s">
        <v>457</v>
      </c>
    </row>
    <row r="262" spans="1:11" x14ac:dyDescent="0.2">
      <c r="A262" s="2209">
        <v>20</v>
      </c>
      <c r="B262" s="2210" t="s">
        <v>472</v>
      </c>
      <c r="C262" s="281">
        <v>150</v>
      </c>
      <c r="D262" s="2204">
        <v>250</v>
      </c>
      <c r="E262" s="2204">
        <v>4000</v>
      </c>
      <c r="F262" s="2204">
        <v>400</v>
      </c>
      <c r="G262" s="270">
        <v>400</v>
      </c>
      <c r="H262" s="267">
        <v>2361</v>
      </c>
      <c r="I262" s="257">
        <v>250</v>
      </c>
      <c r="J262" s="1039">
        <f t="shared" si="3"/>
        <v>356</v>
      </c>
      <c r="K262" s="258" t="s">
        <v>457</v>
      </c>
    </row>
    <row r="263" spans="1:11" x14ac:dyDescent="0.2">
      <c r="A263" s="2209"/>
      <c r="B263" s="2210"/>
      <c r="C263" s="281">
        <v>100</v>
      </c>
      <c r="D263" s="2204"/>
      <c r="E263" s="2204"/>
      <c r="F263" s="2204"/>
      <c r="G263" s="270">
        <v>0</v>
      </c>
      <c r="H263" s="267">
        <v>2279</v>
      </c>
      <c r="I263" s="257"/>
      <c r="J263" s="1039">
        <f t="shared" si="3"/>
        <v>0</v>
      </c>
      <c r="K263" s="258" t="s">
        <v>455</v>
      </c>
    </row>
    <row r="264" spans="1:11" x14ac:dyDescent="0.2">
      <c r="A264" s="273">
        <v>21</v>
      </c>
      <c r="B264" s="282" t="s">
        <v>473</v>
      </c>
      <c r="C264" s="283">
        <v>2000</v>
      </c>
      <c r="D264" s="270">
        <v>2000</v>
      </c>
      <c r="E264" s="270">
        <v>1900</v>
      </c>
      <c r="F264" s="270">
        <v>1900</v>
      </c>
      <c r="G264" s="270">
        <v>1900</v>
      </c>
      <c r="H264" s="267">
        <v>2279</v>
      </c>
      <c r="I264" s="255">
        <v>1900</v>
      </c>
      <c r="J264" s="1039">
        <f t="shared" si="3"/>
        <v>2704</v>
      </c>
      <c r="K264" s="258" t="s">
        <v>468</v>
      </c>
    </row>
    <row r="265" spans="1:11" ht="22.5" x14ac:dyDescent="0.2">
      <c r="A265" s="273">
        <v>22</v>
      </c>
      <c r="B265" s="282" t="s">
        <v>474</v>
      </c>
      <c r="C265" s="283">
        <v>3500</v>
      </c>
      <c r="D265" s="270">
        <v>3500</v>
      </c>
      <c r="E265" s="270">
        <v>5000</v>
      </c>
      <c r="F265" s="270">
        <v>5000</v>
      </c>
      <c r="G265" s="270">
        <v>5000</v>
      </c>
      <c r="H265" s="267">
        <v>2279</v>
      </c>
      <c r="I265" s="255">
        <v>5000</v>
      </c>
      <c r="J265" s="1039">
        <f t="shared" si="3"/>
        <v>7115</v>
      </c>
      <c r="K265" s="258" t="s">
        <v>468</v>
      </c>
    </row>
    <row r="266" spans="1:11" x14ac:dyDescent="0.2">
      <c r="A266" s="262">
        <v>23</v>
      </c>
      <c r="B266" s="254" t="s">
        <v>475</v>
      </c>
      <c r="C266" s="254">
        <v>4500</v>
      </c>
      <c r="D266" s="255">
        <v>4500</v>
      </c>
      <c r="E266" s="270">
        <v>5000</v>
      </c>
      <c r="F266" s="255">
        <v>4000</v>
      </c>
      <c r="G266" s="270">
        <v>4000</v>
      </c>
      <c r="H266" s="267">
        <v>2279</v>
      </c>
      <c r="I266" s="255">
        <v>4000</v>
      </c>
      <c r="J266" s="1039">
        <f t="shared" si="3"/>
        <v>5692</v>
      </c>
      <c r="K266" s="258" t="s">
        <v>468</v>
      </c>
    </row>
    <row r="267" spans="1:11" ht="22.5" x14ac:dyDescent="0.2">
      <c r="A267" s="262">
        <v>24</v>
      </c>
      <c r="B267" s="254" t="s">
        <v>476</v>
      </c>
      <c r="C267" s="254">
        <v>1700</v>
      </c>
      <c r="D267" s="255">
        <v>1700</v>
      </c>
      <c r="E267" s="270">
        <v>2000</v>
      </c>
      <c r="F267" s="255">
        <v>2000</v>
      </c>
      <c r="G267" s="270">
        <v>2000</v>
      </c>
      <c r="H267" s="267">
        <v>2279</v>
      </c>
      <c r="I267" s="255">
        <v>1700</v>
      </c>
      <c r="J267" s="1039">
        <f t="shared" si="3"/>
        <v>2419</v>
      </c>
      <c r="K267" s="258" t="s">
        <v>468</v>
      </c>
    </row>
    <row r="268" spans="1:11" x14ac:dyDescent="0.2">
      <c r="A268" s="262">
        <v>25</v>
      </c>
      <c r="B268" s="254" t="s">
        <v>477</v>
      </c>
      <c r="C268" s="254">
        <v>0</v>
      </c>
      <c r="D268" s="255">
        <v>0</v>
      </c>
      <c r="E268" s="270">
        <v>0</v>
      </c>
      <c r="F268" s="255">
        <v>300</v>
      </c>
      <c r="G268" s="270">
        <v>300</v>
      </c>
      <c r="H268" s="267">
        <v>2279</v>
      </c>
      <c r="I268" s="255">
        <v>300</v>
      </c>
      <c r="J268" s="1039">
        <f t="shared" si="3"/>
        <v>427</v>
      </c>
      <c r="K268" s="258" t="s">
        <v>455</v>
      </c>
    </row>
    <row r="269" spans="1:11" ht="22.5" x14ac:dyDescent="0.2">
      <c r="A269" s="262">
        <v>26</v>
      </c>
      <c r="B269" s="254" t="s">
        <v>478</v>
      </c>
      <c r="C269" s="254">
        <v>3000</v>
      </c>
      <c r="D269" s="255">
        <v>3000</v>
      </c>
      <c r="E269" s="270">
        <v>5000</v>
      </c>
      <c r="F269" s="255">
        <v>5000</v>
      </c>
      <c r="G269" s="270">
        <v>5000</v>
      </c>
      <c r="H269" s="267">
        <v>2279</v>
      </c>
      <c r="I269" s="255">
        <v>3000</v>
      </c>
      <c r="J269" s="1039">
        <f t="shared" si="3"/>
        <v>4269</v>
      </c>
      <c r="K269" s="258" t="s">
        <v>468</v>
      </c>
    </row>
    <row r="270" spans="1:11" ht="22.5" x14ac:dyDescent="0.2">
      <c r="A270" s="262">
        <v>27</v>
      </c>
      <c r="B270" s="254" t="s">
        <v>479</v>
      </c>
      <c r="C270" s="254">
        <v>500</v>
      </c>
      <c r="D270" s="255">
        <v>500</v>
      </c>
      <c r="E270" s="270">
        <v>2500</v>
      </c>
      <c r="F270" s="255">
        <v>2000</v>
      </c>
      <c r="G270" s="270">
        <v>2000</v>
      </c>
      <c r="H270" s="267">
        <v>2279</v>
      </c>
      <c r="I270" s="255">
        <v>2000</v>
      </c>
      <c r="J270" s="1039">
        <f t="shared" si="3"/>
        <v>2846</v>
      </c>
      <c r="K270" s="258" t="s">
        <v>468</v>
      </c>
    </row>
    <row r="271" spans="1:11" ht="22.5" x14ac:dyDescent="0.2">
      <c r="A271" s="262">
        <v>28</v>
      </c>
      <c r="B271" s="254" t="s">
        <v>480</v>
      </c>
      <c r="C271" s="254">
        <v>4000</v>
      </c>
      <c r="D271" s="255">
        <v>4000</v>
      </c>
      <c r="E271" s="270">
        <v>5000</v>
      </c>
      <c r="F271" s="276">
        <v>5000</v>
      </c>
      <c r="G271" s="270">
        <v>5000</v>
      </c>
      <c r="H271" s="267">
        <v>2279</v>
      </c>
      <c r="I271" s="276">
        <f>4000+1000</f>
        <v>5000</v>
      </c>
      <c r="J271" s="1039">
        <f t="shared" si="3"/>
        <v>7115</v>
      </c>
      <c r="K271" s="258" t="s">
        <v>233</v>
      </c>
    </row>
    <row r="272" spans="1:11" x14ac:dyDescent="0.2">
      <c r="A272" s="262">
        <v>29</v>
      </c>
      <c r="B272" s="254" t="s">
        <v>481</v>
      </c>
      <c r="C272" s="254">
        <v>3000</v>
      </c>
      <c r="D272" s="255">
        <v>3000</v>
      </c>
      <c r="E272" s="270">
        <v>6588</v>
      </c>
      <c r="F272" s="276">
        <v>5000</v>
      </c>
      <c r="G272" s="270">
        <v>5000</v>
      </c>
      <c r="H272" s="267">
        <v>2279</v>
      </c>
      <c r="I272" s="276">
        <v>3000</v>
      </c>
      <c r="J272" s="1039">
        <f t="shared" si="3"/>
        <v>4269</v>
      </c>
      <c r="K272" s="258" t="s">
        <v>233</v>
      </c>
    </row>
    <row r="273" spans="1:11" x14ac:dyDescent="0.2">
      <c r="A273" s="262">
        <v>30</v>
      </c>
      <c r="B273" s="254" t="s">
        <v>482</v>
      </c>
      <c r="C273" s="254">
        <v>2000</v>
      </c>
      <c r="D273" s="255">
        <v>2000</v>
      </c>
      <c r="E273" s="270">
        <v>2000</v>
      </c>
      <c r="F273" s="276">
        <v>2000</v>
      </c>
      <c r="G273" s="270">
        <v>2000</v>
      </c>
      <c r="H273" s="267">
        <v>2279</v>
      </c>
      <c r="I273" s="276">
        <v>1700</v>
      </c>
      <c r="J273" s="1039">
        <f t="shared" si="3"/>
        <v>2419</v>
      </c>
      <c r="K273" s="258" t="s">
        <v>233</v>
      </c>
    </row>
    <row r="274" spans="1:11" x14ac:dyDescent="0.2">
      <c r="A274" s="262">
        <v>31</v>
      </c>
      <c r="B274" s="254" t="s">
        <v>483</v>
      </c>
      <c r="C274" s="254">
        <v>1750</v>
      </c>
      <c r="D274" s="255">
        <v>1750</v>
      </c>
      <c r="E274" s="270">
        <v>0</v>
      </c>
      <c r="F274" s="276">
        <v>0</v>
      </c>
      <c r="G274" s="270">
        <v>0</v>
      </c>
      <c r="H274" s="267">
        <v>2279</v>
      </c>
      <c r="I274" s="276"/>
      <c r="J274" s="1039">
        <f t="shared" si="3"/>
        <v>0</v>
      </c>
      <c r="K274" s="258"/>
    </row>
    <row r="275" spans="1:11" x14ac:dyDescent="0.2">
      <c r="A275" s="262">
        <v>32</v>
      </c>
      <c r="B275" s="254" t="s">
        <v>484</v>
      </c>
      <c r="C275" s="254">
        <v>690</v>
      </c>
      <c r="D275" s="255">
        <v>690</v>
      </c>
      <c r="E275" s="270">
        <v>710</v>
      </c>
      <c r="F275" s="276">
        <v>710</v>
      </c>
      <c r="G275" s="270">
        <v>710</v>
      </c>
      <c r="H275" s="267">
        <v>2279</v>
      </c>
      <c r="I275" s="276">
        <v>710</v>
      </c>
      <c r="J275" s="1039">
        <f t="shared" si="3"/>
        <v>1011</v>
      </c>
      <c r="K275" s="258"/>
    </row>
    <row r="276" spans="1:11" x14ac:dyDescent="0.2">
      <c r="A276" s="262">
        <v>33</v>
      </c>
      <c r="B276" s="254" t="s">
        <v>485</v>
      </c>
      <c r="C276" s="254">
        <v>500</v>
      </c>
      <c r="D276" s="255">
        <v>500</v>
      </c>
      <c r="E276" s="270">
        <v>7200</v>
      </c>
      <c r="F276" s="276">
        <v>5000</v>
      </c>
      <c r="G276" s="270">
        <v>5000</v>
      </c>
      <c r="H276" s="267">
        <v>2279</v>
      </c>
      <c r="I276" s="276">
        <f>1000+2500</f>
        <v>3500</v>
      </c>
      <c r="J276" s="1039">
        <f t="shared" si="3"/>
        <v>4981</v>
      </c>
      <c r="K276" s="258" t="s">
        <v>233</v>
      </c>
    </row>
    <row r="277" spans="1:11" x14ac:dyDescent="0.2">
      <c r="A277" s="262">
        <v>34</v>
      </c>
      <c r="B277" s="254" t="s">
        <v>486</v>
      </c>
      <c r="C277" s="254">
        <v>2000</v>
      </c>
      <c r="D277" s="255">
        <v>2000</v>
      </c>
      <c r="E277" s="270">
        <v>6000</v>
      </c>
      <c r="F277" s="276">
        <v>2000</v>
      </c>
      <c r="G277" s="270">
        <v>2000</v>
      </c>
      <c r="H277" s="267">
        <v>2279</v>
      </c>
      <c r="I277" s="276">
        <v>2000</v>
      </c>
      <c r="J277" s="1039">
        <f t="shared" si="3"/>
        <v>2846</v>
      </c>
      <c r="K277" s="258" t="s">
        <v>233</v>
      </c>
    </row>
    <row r="278" spans="1:11" ht="78.75" x14ac:dyDescent="0.2">
      <c r="A278" s="262">
        <v>35</v>
      </c>
      <c r="B278" s="254" t="s">
        <v>487</v>
      </c>
      <c r="C278" s="254">
        <v>1510</v>
      </c>
      <c r="D278" s="255">
        <v>1510</v>
      </c>
      <c r="E278" s="270">
        <v>4932</v>
      </c>
      <c r="F278" s="276">
        <v>0</v>
      </c>
      <c r="G278" s="270">
        <v>0</v>
      </c>
      <c r="H278" s="267">
        <v>2279</v>
      </c>
      <c r="I278" s="276"/>
      <c r="J278" s="1039">
        <f t="shared" si="3"/>
        <v>0</v>
      </c>
      <c r="K278" s="258" t="s">
        <v>461</v>
      </c>
    </row>
    <row r="279" spans="1:11" ht="78.75" x14ac:dyDescent="0.2">
      <c r="A279" s="262">
        <v>36</v>
      </c>
      <c r="B279" s="254" t="s">
        <v>488</v>
      </c>
      <c r="C279" s="254">
        <v>5000</v>
      </c>
      <c r="D279" s="255">
        <v>5000</v>
      </c>
      <c r="E279" s="270">
        <v>5000</v>
      </c>
      <c r="F279" s="276">
        <v>0</v>
      </c>
      <c r="G279" s="270">
        <v>0</v>
      </c>
      <c r="H279" s="267">
        <v>2279</v>
      </c>
      <c r="I279" s="276"/>
      <c r="J279" s="1039">
        <f t="shared" si="3"/>
        <v>0</v>
      </c>
      <c r="K279" s="258" t="s">
        <v>461</v>
      </c>
    </row>
    <row r="280" spans="1:11" x14ac:dyDescent="0.2">
      <c r="A280" s="262">
        <v>37</v>
      </c>
      <c r="B280" s="254" t="s">
        <v>489</v>
      </c>
      <c r="C280" s="254">
        <v>0</v>
      </c>
      <c r="D280" s="255">
        <v>0</v>
      </c>
      <c r="E280" s="270">
        <v>1060</v>
      </c>
      <c r="F280" s="276">
        <v>1060</v>
      </c>
      <c r="G280" s="270">
        <v>1060</v>
      </c>
      <c r="H280" s="267">
        <v>2279</v>
      </c>
      <c r="I280" s="276"/>
      <c r="J280" s="1039">
        <f t="shared" si="3"/>
        <v>0</v>
      </c>
      <c r="K280" s="258" t="s">
        <v>233</v>
      </c>
    </row>
    <row r="281" spans="1:11" x14ac:dyDescent="0.2">
      <c r="A281" s="262">
        <v>38</v>
      </c>
      <c r="B281" s="254" t="s">
        <v>490</v>
      </c>
      <c r="C281" s="254">
        <v>500</v>
      </c>
      <c r="D281" s="255">
        <v>500</v>
      </c>
      <c r="E281" s="270">
        <v>1500</v>
      </c>
      <c r="F281" s="276">
        <v>1500</v>
      </c>
      <c r="G281" s="270">
        <v>1500</v>
      </c>
      <c r="H281" s="267">
        <v>2279</v>
      </c>
      <c r="I281" s="276">
        <v>500</v>
      </c>
      <c r="J281" s="1039">
        <f t="shared" ref="J281:J319" si="4">ROUNDUP(I281/0.702804,0)</f>
        <v>712</v>
      </c>
      <c r="K281" s="258" t="s">
        <v>233</v>
      </c>
    </row>
    <row r="282" spans="1:11" x14ac:dyDescent="0.2">
      <c r="A282" s="2209">
        <v>39</v>
      </c>
      <c r="B282" s="2202" t="s">
        <v>491</v>
      </c>
      <c r="C282" s="254">
        <v>100</v>
      </c>
      <c r="D282" s="2211">
        <v>600</v>
      </c>
      <c r="E282" s="2211">
        <v>600</v>
      </c>
      <c r="F282" s="2211">
        <v>600</v>
      </c>
      <c r="G282" s="270">
        <v>100</v>
      </c>
      <c r="H282" s="267">
        <v>2262</v>
      </c>
      <c r="I282" s="275">
        <v>100</v>
      </c>
      <c r="J282" s="1039">
        <f t="shared" si="4"/>
        <v>143</v>
      </c>
      <c r="K282" s="258" t="s">
        <v>209</v>
      </c>
    </row>
    <row r="283" spans="1:11" x14ac:dyDescent="0.2">
      <c r="A283" s="2209"/>
      <c r="B283" s="2202"/>
      <c r="C283" s="254">
        <v>500</v>
      </c>
      <c r="D283" s="2211"/>
      <c r="E283" s="2211"/>
      <c r="F283" s="2211"/>
      <c r="G283" s="274">
        <v>500</v>
      </c>
      <c r="H283" s="1761">
        <v>2279</v>
      </c>
      <c r="I283" s="275">
        <v>500</v>
      </c>
      <c r="J283" s="1039">
        <f t="shared" si="4"/>
        <v>712</v>
      </c>
      <c r="K283" s="258" t="s">
        <v>455</v>
      </c>
    </row>
    <row r="284" spans="1:11" x14ac:dyDescent="0.2">
      <c r="A284" s="284">
        <v>40</v>
      </c>
      <c r="B284" s="254" t="s">
        <v>492</v>
      </c>
      <c r="C284" s="254">
        <v>1000</v>
      </c>
      <c r="D284" s="279">
        <v>1000</v>
      </c>
      <c r="E284" s="279">
        <v>550</v>
      </c>
      <c r="F284" s="279">
        <v>0</v>
      </c>
      <c r="G284" s="270">
        <v>0</v>
      </c>
      <c r="H284" s="267">
        <v>2279</v>
      </c>
      <c r="I284" s="276"/>
      <c r="J284" s="1039">
        <f t="shared" si="4"/>
        <v>0</v>
      </c>
      <c r="K284" s="258" t="s">
        <v>233</v>
      </c>
    </row>
    <row r="285" spans="1:11" x14ac:dyDescent="0.2">
      <c r="A285" s="284">
        <v>41</v>
      </c>
      <c r="B285" s="254" t="s">
        <v>493</v>
      </c>
      <c r="C285" s="254">
        <v>5000</v>
      </c>
      <c r="D285" s="279">
        <v>5000</v>
      </c>
      <c r="E285" s="279">
        <v>5000</v>
      </c>
      <c r="F285" s="279">
        <v>5000</v>
      </c>
      <c r="G285" s="270">
        <v>5000</v>
      </c>
      <c r="H285" s="267">
        <v>2279</v>
      </c>
      <c r="I285" s="276">
        <v>5000</v>
      </c>
      <c r="J285" s="1039">
        <f t="shared" si="4"/>
        <v>7115</v>
      </c>
      <c r="K285" s="258" t="s">
        <v>233</v>
      </c>
    </row>
    <row r="286" spans="1:11" ht="22.5" x14ac:dyDescent="0.2">
      <c r="A286" s="284">
        <v>42</v>
      </c>
      <c r="B286" s="254" t="s">
        <v>494</v>
      </c>
      <c r="C286" s="254">
        <v>1000</v>
      </c>
      <c r="D286" s="279">
        <v>1000</v>
      </c>
      <c r="E286" s="279">
        <v>2470</v>
      </c>
      <c r="F286" s="279">
        <v>2000</v>
      </c>
      <c r="G286" s="270">
        <v>2000</v>
      </c>
      <c r="H286" s="267">
        <v>2279</v>
      </c>
      <c r="I286" s="276">
        <v>2000</v>
      </c>
      <c r="J286" s="1039">
        <f t="shared" si="4"/>
        <v>2846</v>
      </c>
      <c r="K286" s="258" t="s">
        <v>495</v>
      </c>
    </row>
    <row r="287" spans="1:11" ht="22.5" x14ac:dyDescent="0.2">
      <c r="A287" s="284">
        <v>43</v>
      </c>
      <c r="B287" s="254" t="s">
        <v>496</v>
      </c>
      <c r="C287" s="254">
        <v>1800</v>
      </c>
      <c r="D287" s="279">
        <v>1800</v>
      </c>
      <c r="E287" s="279">
        <v>2100</v>
      </c>
      <c r="F287" s="279">
        <v>2000</v>
      </c>
      <c r="G287" s="270">
        <v>2000</v>
      </c>
      <c r="H287" s="267">
        <v>2279</v>
      </c>
      <c r="I287" s="276">
        <v>2000</v>
      </c>
      <c r="J287" s="1039">
        <f t="shared" si="4"/>
        <v>2846</v>
      </c>
      <c r="K287" s="258" t="s">
        <v>495</v>
      </c>
    </row>
    <row r="288" spans="1:11" x14ac:dyDescent="0.2">
      <c r="A288" s="284">
        <v>44</v>
      </c>
      <c r="B288" s="254" t="s">
        <v>497</v>
      </c>
      <c r="C288" s="254">
        <v>1500</v>
      </c>
      <c r="D288" s="279">
        <v>1500</v>
      </c>
      <c r="E288" s="279">
        <v>1500</v>
      </c>
      <c r="F288" s="279">
        <v>1500</v>
      </c>
      <c r="G288" s="270">
        <v>1500</v>
      </c>
      <c r="H288" s="267">
        <v>2279</v>
      </c>
      <c r="I288" s="276">
        <v>1500</v>
      </c>
      <c r="J288" s="1039">
        <f t="shared" si="4"/>
        <v>2135</v>
      </c>
      <c r="K288" s="258" t="s">
        <v>495</v>
      </c>
    </row>
    <row r="289" spans="1:11" ht="22.5" x14ac:dyDescent="0.2">
      <c r="A289" s="284">
        <v>45</v>
      </c>
      <c r="B289" s="254" t="s">
        <v>498</v>
      </c>
      <c r="C289" s="254">
        <v>2059</v>
      </c>
      <c r="D289" s="279">
        <v>2059</v>
      </c>
      <c r="E289" s="279">
        <v>4978</v>
      </c>
      <c r="F289" s="279">
        <v>4978</v>
      </c>
      <c r="G289" s="270">
        <v>4978</v>
      </c>
      <c r="H289" s="267">
        <v>2279</v>
      </c>
      <c r="I289" s="934">
        <v>4978</v>
      </c>
      <c r="J289" s="1039">
        <f t="shared" si="4"/>
        <v>7084</v>
      </c>
      <c r="K289" s="258" t="s">
        <v>495</v>
      </c>
    </row>
    <row r="290" spans="1:11" ht="22.5" x14ac:dyDescent="0.2">
      <c r="A290" s="284">
        <v>46</v>
      </c>
      <c r="B290" s="254" t="s">
        <v>499</v>
      </c>
      <c r="C290" s="254">
        <v>1000</v>
      </c>
      <c r="D290" s="279">
        <v>1000</v>
      </c>
      <c r="E290" s="279">
        <v>6255</v>
      </c>
      <c r="F290" s="279">
        <v>2000</v>
      </c>
      <c r="G290" s="270">
        <v>2000</v>
      </c>
      <c r="H290" s="267">
        <v>2279</v>
      </c>
      <c r="I290" s="276">
        <v>1000</v>
      </c>
      <c r="J290" s="1039">
        <f t="shared" si="4"/>
        <v>1423</v>
      </c>
      <c r="K290" s="258" t="s">
        <v>495</v>
      </c>
    </row>
    <row r="291" spans="1:11" ht="78.75" x14ac:dyDescent="0.2">
      <c r="A291" s="284">
        <v>47</v>
      </c>
      <c r="B291" s="254" t="s">
        <v>500</v>
      </c>
      <c r="C291" s="254">
        <v>2300</v>
      </c>
      <c r="D291" s="279">
        <v>2300</v>
      </c>
      <c r="E291" s="279">
        <v>3382</v>
      </c>
      <c r="F291" s="279">
        <v>0</v>
      </c>
      <c r="G291" s="270">
        <v>0</v>
      </c>
      <c r="H291" s="267">
        <v>2279</v>
      </c>
      <c r="I291" s="276"/>
      <c r="J291" s="1039">
        <f t="shared" si="4"/>
        <v>0</v>
      </c>
      <c r="K291" s="258" t="s">
        <v>461</v>
      </c>
    </row>
    <row r="292" spans="1:11" x14ac:dyDescent="0.2">
      <c r="A292" s="284">
        <v>48</v>
      </c>
      <c r="B292" s="254" t="s">
        <v>501</v>
      </c>
      <c r="C292" s="254">
        <v>2600</v>
      </c>
      <c r="D292" s="279">
        <v>2600</v>
      </c>
      <c r="E292" s="279">
        <v>2600</v>
      </c>
      <c r="F292" s="279">
        <v>2600</v>
      </c>
      <c r="G292" s="270">
        <v>2600</v>
      </c>
      <c r="H292" s="267">
        <v>2279</v>
      </c>
      <c r="I292" s="276">
        <v>2600</v>
      </c>
      <c r="J292" s="1039">
        <f t="shared" si="4"/>
        <v>3700</v>
      </c>
      <c r="K292" s="258" t="s">
        <v>495</v>
      </c>
    </row>
    <row r="293" spans="1:11" x14ac:dyDescent="0.2">
      <c r="A293" s="284">
        <v>49</v>
      </c>
      <c r="B293" s="254" t="s">
        <v>502</v>
      </c>
      <c r="C293" s="254">
        <v>2000</v>
      </c>
      <c r="D293" s="279">
        <v>2000</v>
      </c>
      <c r="E293" s="279">
        <v>2000</v>
      </c>
      <c r="F293" s="279">
        <v>2000</v>
      </c>
      <c r="G293" s="270">
        <v>2000</v>
      </c>
      <c r="H293" s="267">
        <v>2279</v>
      </c>
      <c r="I293" s="276">
        <v>2000</v>
      </c>
      <c r="J293" s="1039">
        <f t="shared" si="4"/>
        <v>2846</v>
      </c>
      <c r="K293" s="258" t="s">
        <v>495</v>
      </c>
    </row>
    <row r="294" spans="1:11" x14ac:dyDescent="0.2">
      <c r="A294" s="284">
        <v>50</v>
      </c>
      <c r="B294" s="254" t="s">
        <v>503</v>
      </c>
      <c r="C294" s="254">
        <v>5392</v>
      </c>
      <c r="D294" s="279">
        <v>5392</v>
      </c>
      <c r="E294" s="279">
        <v>4914</v>
      </c>
      <c r="F294" s="279">
        <v>4914</v>
      </c>
      <c r="G294" s="270">
        <v>4914</v>
      </c>
      <c r="H294" s="267">
        <v>2279</v>
      </c>
      <c r="I294" s="276">
        <v>4914</v>
      </c>
      <c r="J294" s="1039">
        <f t="shared" si="4"/>
        <v>6992</v>
      </c>
      <c r="K294" s="258" t="s">
        <v>495</v>
      </c>
    </row>
    <row r="295" spans="1:11" ht="22.5" x14ac:dyDescent="0.2">
      <c r="A295" s="284">
        <v>51</v>
      </c>
      <c r="B295" s="254" t="s">
        <v>504</v>
      </c>
      <c r="C295" s="254">
        <v>0</v>
      </c>
      <c r="D295" s="279">
        <v>0</v>
      </c>
      <c r="E295" s="279">
        <v>4512</v>
      </c>
      <c r="F295" s="279">
        <v>3000</v>
      </c>
      <c r="G295" s="270">
        <v>3000</v>
      </c>
      <c r="H295" s="267">
        <v>2279</v>
      </c>
      <c r="I295" s="276">
        <v>3000</v>
      </c>
      <c r="J295" s="1039">
        <f t="shared" si="4"/>
        <v>4269</v>
      </c>
      <c r="K295" s="258" t="s">
        <v>495</v>
      </c>
    </row>
    <row r="296" spans="1:11" x14ac:dyDescent="0.2">
      <c r="A296" s="284">
        <v>52</v>
      </c>
      <c r="B296" s="254" t="s">
        <v>505</v>
      </c>
      <c r="C296" s="254">
        <v>5000</v>
      </c>
      <c r="D296" s="279">
        <v>5000</v>
      </c>
      <c r="E296" s="279">
        <v>6000</v>
      </c>
      <c r="F296" s="279">
        <v>6000</v>
      </c>
      <c r="G296" s="270">
        <v>6000</v>
      </c>
      <c r="H296" s="267">
        <v>2279</v>
      </c>
      <c r="I296" s="276">
        <v>5000</v>
      </c>
      <c r="J296" s="1039">
        <f t="shared" si="4"/>
        <v>7115</v>
      </c>
      <c r="K296" s="258" t="s">
        <v>495</v>
      </c>
    </row>
    <row r="297" spans="1:11" ht="22.5" x14ac:dyDescent="0.2">
      <c r="A297" s="284">
        <v>53</v>
      </c>
      <c r="B297" s="254" t="s">
        <v>506</v>
      </c>
      <c r="C297" s="254">
        <v>1700</v>
      </c>
      <c r="D297" s="279">
        <v>1700</v>
      </c>
      <c r="E297" s="279">
        <v>2000</v>
      </c>
      <c r="F297" s="279">
        <v>2000</v>
      </c>
      <c r="G297" s="270">
        <v>2000</v>
      </c>
      <c r="H297" s="267">
        <v>2279</v>
      </c>
      <c r="I297" s="276">
        <v>1700</v>
      </c>
      <c r="J297" s="1039">
        <f t="shared" si="4"/>
        <v>2419</v>
      </c>
      <c r="K297" s="258" t="s">
        <v>495</v>
      </c>
    </row>
    <row r="298" spans="1:11" ht="22.5" x14ac:dyDescent="0.2">
      <c r="A298" s="284">
        <v>54</v>
      </c>
      <c r="B298" s="254" t="s">
        <v>507</v>
      </c>
      <c r="C298" s="254">
        <v>1010</v>
      </c>
      <c r="D298" s="279">
        <v>1010</v>
      </c>
      <c r="E298" s="279">
        <v>1460</v>
      </c>
      <c r="F298" s="279">
        <v>1460</v>
      </c>
      <c r="G298" s="270">
        <v>1460</v>
      </c>
      <c r="H298" s="267">
        <v>2279</v>
      </c>
      <c r="I298" s="276">
        <v>1010</v>
      </c>
      <c r="J298" s="1039">
        <f t="shared" si="4"/>
        <v>1438</v>
      </c>
      <c r="K298" s="258" t="s">
        <v>495</v>
      </c>
    </row>
    <row r="299" spans="1:11" ht="78.75" x14ac:dyDescent="0.2">
      <c r="A299" s="284">
        <v>55</v>
      </c>
      <c r="B299" s="254" t="s">
        <v>509</v>
      </c>
      <c r="C299" s="254">
        <v>0</v>
      </c>
      <c r="D299" s="279">
        <v>0</v>
      </c>
      <c r="E299" s="279">
        <v>7270</v>
      </c>
      <c r="F299" s="279">
        <v>2000</v>
      </c>
      <c r="G299" s="270">
        <v>2000</v>
      </c>
      <c r="H299" s="267">
        <v>2279</v>
      </c>
      <c r="I299" s="276"/>
      <c r="J299" s="1039">
        <f t="shared" si="4"/>
        <v>0</v>
      </c>
      <c r="K299" s="285" t="s">
        <v>510</v>
      </c>
    </row>
    <row r="300" spans="1:11" x14ac:dyDescent="0.2">
      <c r="A300" s="2205">
        <v>56</v>
      </c>
      <c r="B300" s="2207" t="s">
        <v>511</v>
      </c>
      <c r="C300" s="254">
        <v>200</v>
      </c>
      <c r="D300" s="279">
        <v>200</v>
      </c>
      <c r="E300" s="279">
        <v>350</v>
      </c>
      <c r="F300" s="279">
        <v>350</v>
      </c>
      <c r="G300" s="270">
        <v>350</v>
      </c>
      <c r="H300" s="267">
        <v>2279</v>
      </c>
      <c r="I300" s="276">
        <v>350</v>
      </c>
      <c r="J300" s="1039">
        <f t="shared" si="4"/>
        <v>499</v>
      </c>
      <c r="K300" s="258" t="s">
        <v>495</v>
      </c>
    </row>
    <row r="301" spans="1:11" x14ac:dyDescent="0.2">
      <c r="A301" s="2206"/>
      <c r="B301" s="2208"/>
      <c r="C301" s="254">
        <v>150</v>
      </c>
      <c r="D301" s="279">
        <v>150</v>
      </c>
      <c r="E301" s="279">
        <v>0</v>
      </c>
      <c r="F301" s="279">
        <v>0</v>
      </c>
      <c r="G301" s="270">
        <v>0</v>
      </c>
      <c r="H301" s="267">
        <v>2361</v>
      </c>
      <c r="I301" s="276"/>
      <c r="J301" s="1039">
        <f t="shared" si="4"/>
        <v>0</v>
      </c>
      <c r="K301" s="258"/>
    </row>
    <row r="302" spans="1:11" ht="78.75" x14ac:dyDescent="0.2">
      <c r="A302" s="284">
        <v>57</v>
      </c>
      <c r="B302" s="254" t="s">
        <v>512</v>
      </c>
      <c r="C302" s="254">
        <v>0</v>
      </c>
      <c r="D302" s="279">
        <v>0</v>
      </c>
      <c r="E302" s="279">
        <v>1565</v>
      </c>
      <c r="F302" s="279">
        <v>0</v>
      </c>
      <c r="G302" s="270">
        <v>0</v>
      </c>
      <c r="H302" s="267">
        <v>2279</v>
      </c>
      <c r="I302" s="276"/>
      <c r="J302" s="1039">
        <f t="shared" si="4"/>
        <v>0</v>
      </c>
      <c r="K302" s="258" t="s">
        <v>461</v>
      </c>
    </row>
    <row r="303" spans="1:11" x14ac:dyDescent="0.2">
      <c r="A303" s="284">
        <v>58</v>
      </c>
      <c r="B303" s="254" t="s">
        <v>513</v>
      </c>
      <c r="C303" s="254">
        <v>0</v>
      </c>
      <c r="D303" s="279">
        <v>0</v>
      </c>
      <c r="E303" s="279">
        <v>870</v>
      </c>
      <c r="F303" s="279">
        <v>870</v>
      </c>
      <c r="G303" s="270">
        <v>870</v>
      </c>
      <c r="H303" s="267">
        <v>2279</v>
      </c>
      <c r="I303" s="276"/>
      <c r="J303" s="1039">
        <f t="shared" si="4"/>
        <v>0</v>
      </c>
      <c r="K303" s="258" t="s">
        <v>495</v>
      </c>
    </row>
    <row r="304" spans="1:11" ht="22.5" x14ac:dyDescent="0.2">
      <c r="A304" s="284">
        <v>59</v>
      </c>
      <c r="B304" s="254" t="s">
        <v>514</v>
      </c>
      <c r="C304" s="254">
        <v>300</v>
      </c>
      <c r="D304" s="279">
        <v>300</v>
      </c>
      <c r="E304" s="279">
        <v>3700</v>
      </c>
      <c r="F304" s="279">
        <v>300</v>
      </c>
      <c r="G304" s="270">
        <v>300</v>
      </c>
      <c r="H304" s="267">
        <v>2279</v>
      </c>
      <c r="I304" s="276">
        <v>300</v>
      </c>
      <c r="J304" s="1039">
        <f t="shared" si="4"/>
        <v>427</v>
      </c>
      <c r="K304" s="258" t="s">
        <v>495</v>
      </c>
    </row>
    <row r="305" spans="1:11" x14ac:dyDescent="0.2">
      <c r="A305" s="284">
        <v>60</v>
      </c>
      <c r="B305" s="254" t="s">
        <v>515</v>
      </c>
      <c r="C305" s="254">
        <f>4050+350</f>
        <v>4400</v>
      </c>
      <c r="D305" s="279">
        <v>4050</v>
      </c>
      <c r="E305" s="279">
        <v>0</v>
      </c>
      <c r="F305" s="279">
        <v>0</v>
      </c>
      <c r="G305" s="270">
        <v>0</v>
      </c>
      <c r="H305" s="267">
        <v>2279</v>
      </c>
      <c r="I305" s="276"/>
      <c r="J305" s="1039">
        <f t="shared" si="4"/>
        <v>0</v>
      </c>
      <c r="K305" s="258" t="s">
        <v>495</v>
      </c>
    </row>
    <row r="306" spans="1:11" x14ac:dyDescent="0.2">
      <c r="A306" s="284">
        <v>61</v>
      </c>
      <c r="B306" s="254" t="s">
        <v>516</v>
      </c>
      <c r="C306" s="254">
        <v>825</v>
      </c>
      <c r="D306" s="279">
        <v>825</v>
      </c>
      <c r="E306" s="279">
        <v>0</v>
      </c>
      <c r="F306" s="279">
        <v>0</v>
      </c>
      <c r="G306" s="270">
        <v>0</v>
      </c>
      <c r="H306" s="267">
        <v>2279</v>
      </c>
      <c r="I306" s="276"/>
      <c r="J306" s="1039">
        <f t="shared" si="4"/>
        <v>0</v>
      </c>
      <c r="K306" s="258" t="s">
        <v>495</v>
      </c>
    </row>
    <row r="307" spans="1:11" ht="22.5" x14ac:dyDescent="0.2">
      <c r="A307" s="284">
        <v>62</v>
      </c>
      <c r="B307" s="254" t="s">
        <v>517</v>
      </c>
      <c r="C307" s="254">
        <f>4800</f>
        <v>4800</v>
      </c>
      <c r="D307" s="279">
        <v>4800</v>
      </c>
      <c r="E307" s="279">
        <v>0</v>
      </c>
      <c r="F307" s="279">
        <v>0</v>
      </c>
      <c r="G307" s="270">
        <v>0</v>
      </c>
      <c r="H307" s="267">
        <v>2279</v>
      </c>
      <c r="I307" s="276"/>
      <c r="J307" s="1039">
        <f t="shared" si="4"/>
        <v>0</v>
      </c>
      <c r="K307" s="258" t="s">
        <v>495</v>
      </c>
    </row>
    <row r="308" spans="1:11" x14ac:dyDescent="0.2">
      <c r="A308" s="284">
        <v>63</v>
      </c>
      <c r="B308" s="254" t="s">
        <v>518</v>
      </c>
      <c r="C308" s="254">
        <v>675</v>
      </c>
      <c r="D308" s="279">
        <v>675</v>
      </c>
      <c r="E308" s="279">
        <v>0</v>
      </c>
      <c r="F308" s="279">
        <v>0</v>
      </c>
      <c r="G308" s="270">
        <v>0</v>
      </c>
      <c r="H308" s="267">
        <v>2279</v>
      </c>
      <c r="I308" s="276"/>
      <c r="J308" s="1039">
        <f t="shared" si="4"/>
        <v>0</v>
      </c>
      <c r="K308" s="258" t="s">
        <v>495</v>
      </c>
    </row>
    <row r="309" spans="1:11" x14ac:dyDescent="0.2">
      <c r="A309" s="284">
        <v>64</v>
      </c>
      <c r="B309" s="254" t="s">
        <v>519</v>
      </c>
      <c r="C309" s="254">
        <v>200</v>
      </c>
      <c r="D309" s="279">
        <v>200</v>
      </c>
      <c r="E309" s="279">
        <v>0</v>
      </c>
      <c r="F309" s="279">
        <v>0</v>
      </c>
      <c r="G309" s="270">
        <v>0</v>
      </c>
      <c r="H309" s="267">
        <v>2279</v>
      </c>
      <c r="I309" s="276"/>
      <c r="J309" s="1039">
        <f t="shared" si="4"/>
        <v>0</v>
      </c>
      <c r="K309" s="258" t="s">
        <v>495</v>
      </c>
    </row>
    <row r="310" spans="1:11" x14ac:dyDescent="0.2">
      <c r="A310" s="284">
        <v>65</v>
      </c>
      <c r="B310" s="254" t="s">
        <v>520</v>
      </c>
      <c r="C310" s="254">
        <v>1000</v>
      </c>
      <c r="D310" s="279">
        <v>0</v>
      </c>
      <c r="E310" s="279">
        <v>0</v>
      </c>
      <c r="F310" s="279">
        <v>0</v>
      </c>
      <c r="G310" s="270">
        <v>0</v>
      </c>
      <c r="H310" s="267">
        <v>2279</v>
      </c>
      <c r="I310" s="276"/>
      <c r="J310" s="1039">
        <f t="shared" si="4"/>
        <v>0</v>
      </c>
      <c r="K310" s="258" t="s">
        <v>495</v>
      </c>
    </row>
    <row r="311" spans="1:11" x14ac:dyDescent="0.2">
      <c r="A311" s="284">
        <v>66</v>
      </c>
      <c r="B311" s="254" t="s">
        <v>521</v>
      </c>
      <c r="C311" s="254">
        <v>600</v>
      </c>
      <c r="D311" s="279">
        <v>600</v>
      </c>
      <c r="E311" s="279">
        <v>0</v>
      </c>
      <c r="F311" s="279">
        <v>0</v>
      </c>
      <c r="G311" s="270">
        <v>0</v>
      </c>
      <c r="H311" s="267">
        <v>2279</v>
      </c>
      <c r="I311" s="276"/>
      <c r="J311" s="1039">
        <f t="shared" si="4"/>
        <v>0</v>
      </c>
      <c r="K311" s="258" t="s">
        <v>495</v>
      </c>
    </row>
    <row r="312" spans="1:11" ht="22.5" x14ac:dyDescent="0.2">
      <c r="A312" s="262">
        <v>67</v>
      </c>
      <c r="B312" s="263" t="s">
        <v>522</v>
      </c>
      <c r="C312" s="254">
        <v>500</v>
      </c>
      <c r="D312" s="257">
        <v>500</v>
      </c>
      <c r="E312" s="266">
        <v>1500</v>
      </c>
      <c r="F312" s="275">
        <v>1500</v>
      </c>
      <c r="G312" s="266">
        <v>1500</v>
      </c>
      <c r="H312" s="269">
        <v>2279</v>
      </c>
      <c r="I312" s="275">
        <v>1500</v>
      </c>
      <c r="J312" s="1039">
        <f t="shared" si="4"/>
        <v>2135</v>
      </c>
      <c r="K312" s="258" t="s">
        <v>329</v>
      </c>
    </row>
    <row r="313" spans="1:11" x14ac:dyDescent="0.2">
      <c r="A313" s="262">
        <v>68</v>
      </c>
      <c r="B313" s="263" t="s">
        <v>523</v>
      </c>
      <c r="C313" s="254">
        <v>110</v>
      </c>
      <c r="D313" s="257">
        <v>110</v>
      </c>
      <c r="E313" s="266">
        <v>0</v>
      </c>
      <c r="F313" s="275">
        <v>0</v>
      </c>
      <c r="G313" s="266">
        <v>0</v>
      </c>
      <c r="H313" s="269">
        <v>2279</v>
      </c>
      <c r="I313" s="275"/>
      <c r="J313" s="1039">
        <f t="shared" si="4"/>
        <v>0</v>
      </c>
      <c r="K313" s="258" t="s">
        <v>329</v>
      </c>
    </row>
    <row r="314" spans="1:11" ht="22.5" x14ac:dyDescent="0.2">
      <c r="A314" s="284">
        <v>69</v>
      </c>
      <c r="B314" s="254" t="s">
        <v>524</v>
      </c>
      <c r="C314" s="254">
        <v>0</v>
      </c>
      <c r="D314" s="279">
        <v>0</v>
      </c>
      <c r="E314" s="279">
        <v>4150</v>
      </c>
      <c r="F314" s="279">
        <v>2000</v>
      </c>
      <c r="G314" s="270">
        <v>2000</v>
      </c>
      <c r="H314" s="267">
        <v>2279</v>
      </c>
      <c r="I314" s="276">
        <v>2000</v>
      </c>
      <c r="J314" s="1039">
        <f t="shared" si="4"/>
        <v>2846</v>
      </c>
      <c r="K314" s="258" t="s">
        <v>495</v>
      </c>
    </row>
    <row r="315" spans="1:11" x14ac:dyDescent="0.2">
      <c r="A315" s="284">
        <v>70</v>
      </c>
      <c r="B315" s="254" t="s">
        <v>525</v>
      </c>
      <c r="C315" s="254">
        <v>0</v>
      </c>
      <c r="D315" s="279">
        <v>0</v>
      </c>
      <c r="E315" s="279">
        <v>1920</v>
      </c>
      <c r="F315" s="279">
        <v>1000</v>
      </c>
      <c r="G315" s="270">
        <v>1000</v>
      </c>
      <c r="H315" s="267">
        <v>2279</v>
      </c>
      <c r="I315" s="276">
        <v>1000</v>
      </c>
      <c r="J315" s="1039">
        <f t="shared" si="4"/>
        <v>1423</v>
      </c>
      <c r="K315" s="258" t="s">
        <v>495</v>
      </c>
    </row>
    <row r="316" spans="1:11" ht="78.75" x14ac:dyDescent="0.2">
      <c r="A316" s="284">
        <v>71</v>
      </c>
      <c r="B316" s="254" t="s">
        <v>526</v>
      </c>
      <c r="C316" s="254">
        <v>9300</v>
      </c>
      <c r="D316" s="279">
        <v>9300</v>
      </c>
      <c r="E316" s="279">
        <v>9900</v>
      </c>
      <c r="F316" s="279">
        <v>0</v>
      </c>
      <c r="G316" s="270">
        <v>0</v>
      </c>
      <c r="H316" s="267">
        <v>2279</v>
      </c>
      <c r="I316" s="276"/>
      <c r="J316" s="1039">
        <f t="shared" si="4"/>
        <v>0</v>
      </c>
      <c r="K316" s="258" t="s">
        <v>461</v>
      </c>
    </row>
    <row r="317" spans="1:11" ht="22.5" x14ac:dyDescent="0.2">
      <c r="A317" s="284">
        <v>72</v>
      </c>
      <c r="B317" s="254" t="s">
        <v>527</v>
      </c>
      <c r="C317" s="254">
        <v>27750</v>
      </c>
      <c r="D317" s="279">
        <v>27750</v>
      </c>
      <c r="E317" s="279">
        <v>20000</v>
      </c>
      <c r="F317" s="279">
        <v>20000</v>
      </c>
      <c r="G317" s="270">
        <v>20000</v>
      </c>
      <c r="H317" s="267">
        <v>6422</v>
      </c>
      <c r="I317" s="276">
        <v>20000</v>
      </c>
      <c r="J317" s="1039">
        <f t="shared" si="4"/>
        <v>28458</v>
      </c>
      <c r="K317" s="258"/>
    </row>
    <row r="318" spans="1:11" x14ac:dyDescent="0.2">
      <c r="A318" s="249" t="s">
        <v>528</v>
      </c>
      <c r="B318" s="250" t="s">
        <v>529</v>
      </c>
      <c r="C318" s="256">
        <f>SUM(C319)</f>
        <v>0</v>
      </c>
      <c r="D318" s="256">
        <f t="shared" ref="D318:G318" si="5">SUM(D319)</f>
        <v>0</v>
      </c>
      <c r="E318" s="256">
        <f>SUM(E319)</f>
        <v>20000</v>
      </c>
      <c r="F318" s="256">
        <f t="shared" si="5"/>
        <v>20000</v>
      </c>
      <c r="G318" s="256">
        <f t="shared" si="5"/>
        <v>20000</v>
      </c>
      <c r="H318" s="256">
        <v>2275</v>
      </c>
      <c r="I318" s="251">
        <f>SUM(I319)</f>
        <v>20000</v>
      </c>
      <c r="J318" s="1038">
        <f>SUM(J319)</f>
        <v>28458</v>
      </c>
      <c r="K318" s="261"/>
    </row>
    <row r="319" spans="1:11" x14ac:dyDescent="0.2">
      <c r="A319" s="286">
        <v>1</v>
      </c>
      <c r="B319" s="287" t="s">
        <v>530</v>
      </c>
      <c r="C319" s="288">
        <v>0</v>
      </c>
      <c r="D319" s="289">
        <v>0</v>
      </c>
      <c r="E319" s="290">
        <v>20000</v>
      </c>
      <c r="F319" s="289">
        <v>20000</v>
      </c>
      <c r="G319" s="290">
        <v>20000</v>
      </c>
      <c r="H319" s="291"/>
      <c r="I319" s="289">
        <v>20000</v>
      </c>
      <c r="J319" s="1044">
        <f t="shared" si="4"/>
        <v>28458</v>
      </c>
      <c r="K319" s="292"/>
    </row>
    <row r="320" spans="1:11" x14ac:dyDescent="0.2">
      <c r="A320" s="245"/>
      <c r="B320" s="293"/>
      <c r="C320" s="293"/>
      <c r="D320" s="259"/>
      <c r="E320" s="294"/>
      <c r="F320" s="295"/>
      <c r="G320" s="294"/>
      <c r="H320" s="296"/>
      <c r="I320" s="295"/>
      <c r="J320" s="295"/>
      <c r="K320" s="293"/>
    </row>
    <row r="321" spans="1:11" x14ac:dyDescent="0.2">
      <c r="A321" s="245"/>
      <c r="B321" s="293"/>
      <c r="C321" s="293"/>
      <c r="D321" s="259"/>
      <c r="E321" s="294"/>
      <c r="F321" s="295"/>
      <c r="G321" s="294"/>
      <c r="H321" s="296"/>
      <c r="I321" s="295"/>
      <c r="J321" s="295"/>
      <c r="K321" s="293"/>
    </row>
    <row r="322" spans="1:11" s="225" customFormat="1" ht="12" x14ac:dyDescent="0.2"/>
    <row r="323" spans="1:11" x14ac:dyDescent="0.2">
      <c r="A323" s="245"/>
      <c r="B323" s="293"/>
      <c r="C323" s="293"/>
      <c r="D323" s="259"/>
      <c r="E323" s="294"/>
      <c r="F323" s="295"/>
      <c r="G323" s="294"/>
      <c r="H323" s="296"/>
      <c r="I323" s="295"/>
      <c r="J323" s="295"/>
      <c r="K323" s="293"/>
    </row>
    <row r="324" spans="1:11" x14ac:dyDescent="0.2">
      <c r="A324" s="245"/>
      <c r="B324" s="293"/>
      <c r="C324" s="293"/>
      <c r="D324" s="259"/>
      <c r="E324" s="294"/>
      <c r="F324" s="295"/>
      <c r="G324" s="294"/>
      <c r="H324" s="296"/>
      <c r="I324" s="295"/>
      <c r="J324" s="295"/>
      <c r="K324" s="293"/>
    </row>
  </sheetData>
  <sheetProtection password="CA5B" sheet="1" objects="1" scenarios="1"/>
  <mergeCells count="259">
    <mergeCell ref="A8:K8"/>
    <mergeCell ref="A14:A15"/>
    <mergeCell ref="B14:B15"/>
    <mergeCell ref="C14:C15"/>
    <mergeCell ref="D14:D15"/>
    <mergeCell ref="E14:E15"/>
    <mergeCell ref="F14:G15"/>
    <mergeCell ref="H14:H15"/>
    <mergeCell ref="K14:K15"/>
    <mergeCell ref="A24:A27"/>
    <mergeCell ref="B24:B27"/>
    <mergeCell ref="D24:D27"/>
    <mergeCell ref="E24:E27"/>
    <mergeCell ref="F24:F27"/>
    <mergeCell ref="A16:B16"/>
    <mergeCell ref="A19:A23"/>
    <mergeCell ref="B19:B23"/>
    <mergeCell ref="D19:D23"/>
    <mergeCell ref="E19:E23"/>
    <mergeCell ref="F19:F23"/>
    <mergeCell ref="A29:A33"/>
    <mergeCell ref="B29:B33"/>
    <mergeCell ref="D29:D33"/>
    <mergeCell ref="E29:E33"/>
    <mergeCell ref="F29:F33"/>
    <mergeCell ref="A34:A35"/>
    <mergeCell ref="B34:B35"/>
    <mergeCell ref="D34:D35"/>
    <mergeCell ref="E34:E35"/>
    <mergeCell ref="A39:A43"/>
    <mergeCell ref="B39:B43"/>
    <mergeCell ref="C39:C43"/>
    <mergeCell ref="D39:D43"/>
    <mergeCell ref="E39:E43"/>
    <mergeCell ref="F39:F43"/>
    <mergeCell ref="F34:F35"/>
    <mergeCell ref="A36:A37"/>
    <mergeCell ref="B36:B37"/>
    <mergeCell ref="C36:C37"/>
    <mergeCell ref="D36:D37"/>
    <mergeCell ref="E36:E37"/>
    <mergeCell ref="F36:F37"/>
    <mergeCell ref="A52:A54"/>
    <mergeCell ref="B52:B54"/>
    <mergeCell ref="C52:C54"/>
    <mergeCell ref="D52:D54"/>
    <mergeCell ref="E52:E54"/>
    <mergeCell ref="F52:F54"/>
    <mergeCell ref="A44:A47"/>
    <mergeCell ref="B44:B47"/>
    <mergeCell ref="D44:D47"/>
    <mergeCell ref="E44:E47"/>
    <mergeCell ref="F44:F47"/>
    <mergeCell ref="A58:A60"/>
    <mergeCell ref="B58:B60"/>
    <mergeCell ref="C58:C60"/>
    <mergeCell ref="D58:D60"/>
    <mergeCell ref="E58:E60"/>
    <mergeCell ref="F58:F60"/>
    <mergeCell ref="A55:A57"/>
    <mergeCell ref="B55:B57"/>
    <mergeCell ref="C55:C57"/>
    <mergeCell ref="D55:D57"/>
    <mergeCell ref="E55:E57"/>
    <mergeCell ref="F55:F57"/>
    <mergeCell ref="A61:A65"/>
    <mergeCell ref="B61:B65"/>
    <mergeCell ref="D61:D65"/>
    <mergeCell ref="E61:E65"/>
    <mergeCell ref="F61:F65"/>
    <mergeCell ref="A67:A68"/>
    <mergeCell ref="B67:B68"/>
    <mergeCell ref="D67:D68"/>
    <mergeCell ref="E67:E68"/>
    <mergeCell ref="F67:F68"/>
    <mergeCell ref="F71:F74"/>
    <mergeCell ref="A75:A76"/>
    <mergeCell ref="B75:B76"/>
    <mergeCell ref="D75:D76"/>
    <mergeCell ref="E75:E76"/>
    <mergeCell ref="F75:F76"/>
    <mergeCell ref="A69:A70"/>
    <mergeCell ref="B69:B70"/>
    <mergeCell ref="D69:D70"/>
    <mergeCell ref="E69:E70"/>
    <mergeCell ref="F69:F70"/>
    <mergeCell ref="A71:A74"/>
    <mergeCell ref="B71:B74"/>
    <mergeCell ref="C71:C74"/>
    <mergeCell ref="D71:D74"/>
    <mergeCell ref="E71:E74"/>
    <mergeCell ref="A78:A80"/>
    <mergeCell ref="B78:B80"/>
    <mergeCell ref="D78:D80"/>
    <mergeCell ref="E78:E80"/>
    <mergeCell ref="F78:F80"/>
    <mergeCell ref="A81:A83"/>
    <mergeCell ref="B81:B83"/>
    <mergeCell ref="C81:C83"/>
    <mergeCell ref="D81:D83"/>
    <mergeCell ref="E81:E83"/>
    <mergeCell ref="F81:F83"/>
    <mergeCell ref="A84:A86"/>
    <mergeCell ref="B84:B86"/>
    <mergeCell ref="D84:D86"/>
    <mergeCell ref="E84:E86"/>
    <mergeCell ref="F84:F86"/>
    <mergeCell ref="A104:A105"/>
    <mergeCell ref="B104:B105"/>
    <mergeCell ref="D104:D105"/>
    <mergeCell ref="E104:E105"/>
    <mergeCell ref="F104:F105"/>
    <mergeCell ref="A87:A89"/>
    <mergeCell ref="B87:B89"/>
    <mergeCell ref="D87:D89"/>
    <mergeCell ref="E87:E89"/>
    <mergeCell ref="F87:F89"/>
    <mergeCell ref="A106:A107"/>
    <mergeCell ref="B106:B107"/>
    <mergeCell ref="D106:D107"/>
    <mergeCell ref="E106:E107"/>
    <mergeCell ref="F106:F107"/>
    <mergeCell ref="A108:A109"/>
    <mergeCell ref="B108:B109"/>
    <mergeCell ref="C108:C109"/>
    <mergeCell ref="D108:D109"/>
    <mergeCell ref="E108:E109"/>
    <mergeCell ref="F108:F109"/>
    <mergeCell ref="A120:A125"/>
    <mergeCell ref="B120:B125"/>
    <mergeCell ref="D120:D125"/>
    <mergeCell ref="E120:E125"/>
    <mergeCell ref="F120:F125"/>
    <mergeCell ref="A132:A135"/>
    <mergeCell ref="B132:B135"/>
    <mergeCell ref="D132:D135"/>
    <mergeCell ref="E132:E135"/>
    <mergeCell ref="F132:F135"/>
    <mergeCell ref="A126:A131"/>
    <mergeCell ref="B126:B131"/>
    <mergeCell ref="D126:D131"/>
    <mergeCell ref="E126:E131"/>
    <mergeCell ref="F126:F131"/>
    <mergeCell ref="A148:A149"/>
    <mergeCell ref="B148:B149"/>
    <mergeCell ref="C148:C149"/>
    <mergeCell ref="D148:D149"/>
    <mergeCell ref="E148:E149"/>
    <mergeCell ref="F148:F149"/>
    <mergeCell ref="A138:A139"/>
    <mergeCell ref="B138:B139"/>
    <mergeCell ref="C138:C139"/>
    <mergeCell ref="D138:D139"/>
    <mergeCell ref="E138:E139"/>
    <mergeCell ref="F138:F139"/>
    <mergeCell ref="F156:F160"/>
    <mergeCell ref="A167:A169"/>
    <mergeCell ref="B167:B169"/>
    <mergeCell ref="D167:D169"/>
    <mergeCell ref="E167:E169"/>
    <mergeCell ref="F167:F169"/>
    <mergeCell ref="A151:A155"/>
    <mergeCell ref="B151:B155"/>
    <mergeCell ref="D151:D155"/>
    <mergeCell ref="E151:E155"/>
    <mergeCell ref="F151:F155"/>
    <mergeCell ref="A156:A160"/>
    <mergeCell ref="B156:B160"/>
    <mergeCell ref="C156:C160"/>
    <mergeCell ref="D156:D160"/>
    <mergeCell ref="E156:E160"/>
    <mergeCell ref="A197:A198"/>
    <mergeCell ref="B197:B198"/>
    <mergeCell ref="E197:E198"/>
    <mergeCell ref="F197:F198"/>
    <mergeCell ref="G197:G198"/>
    <mergeCell ref="H197:H198"/>
    <mergeCell ref="A179:A181"/>
    <mergeCell ref="B179:B181"/>
    <mergeCell ref="D179:D181"/>
    <mergeCell ref="E179:E181"/>
    <mergeCell ref="F179:F181"/>
    <mergeCell ref="A192:A196"/>
    <mergeCell ref="B192:B196"/>
    <mergeCell ref="E192:E196"/>
    <mergeCell ref="F192:F196"/>
    <mergeCell ref="F206:F208"/>
    <mergeCell ref="A209:A211"/>
    <mergeCell ref="B209:B211"/>
    <mergeCell ref="C209:C211"/>
    <mergeCell ref="D209:D211"/>
    <mergeCell ref="E209:E211"/>
    <mergeCell ref="F209:F211"/>
    <mergeCell ref="A203:A205"/>
    <mergeCell ref="B203:B205"/>
    <mergeCell ref="D203:D205"/>
    <mergeCell ref="E203:E205"/>
    <mergeCell ref="F203:F205"/>
    <mergeCell ref="A206:A208"/>
    <mergeCell ref="B206:B208"/>
    <mergeCell ref="C206:C208"/>
    <mergeCell ref="D206:D208"/>
    <mergeCell ref="E206:E208"/>
    <mergeCell ref="A213:A217"/>
    <mergeCell ref="B213:B217"/>
    <mergeCell ref="D213:D217"/>
    <mergeCell ref="E213:E217"/>
    <mergeCell ref="F213:F217"/>
    <mergeCell ref="A218:A219"/>
    <mergeCell ref="B218:B219"/>
    <mergeCell ref="D218:D219"/>
    <mergeCell ref="E218:E219"/>
    <mergeCell ref="F218:F219"/>
    <mergeCell ref="A223:A224"/>
    <mergeCell ref="B223:B224"/>
    <mergeCell ref="D223:D224"/>
    <mergeCell ref="E223:E224"/>
    <mergeCell ref="F223:F224"/>
    <mergeCell ref="A225:A226"/>
    <mergeCell ref="B225:B226"/>
    <mergeCell ref="C225:C226"/>
    <mergeCell ref="D225:D226"/>
    <mergeCell ref="E225:E226"/>
    <mergeCell ref="A238:A241"/>
    <mergeCell ref="B238:B241"/>
    <mergeCell ref="D238:D241"/>
    <mergeCell ref="E238:E241"/>
    <mergeCell ref="F238:F241"/>
    <mergeCell ref="F225:F226"/>
    <mergeCell ref="A227:A228"/>
    <mergeCell ref="B227:B228"/>
    <mergeCell ref="C227:C228"/>
    <mergeCell ref="D227:D228"/>
    <mergeCell ref="E227:E228"/>
    <mergeCell ref="F227:F228"/>
    <mergeCell ref="G1:K3"/>
    <mergeCell ref="A259:A261"/>
    <mergeCell ref="B259:B261"/>
    <mergeCell ref="D259:D261"/>
    <mergeCell ref="E259:E261"/>
    <mergeCell ref="F259:F261"/>
    <mergeCell ref="A300:A301"/>
    <mergeCell ref="B300:B301"/>
    <mergeCell ref="A262:A263"/>
    <mergeCell ref="B262:B263"/>
    <mergeCell ref="D262:D263"/>
    <mergeCell ref="E262:E263"/>
    <mergeCell ref="F262:F263"/>
    <mergeCell ref="A282:A283"/>
    <mergeCell ref="B282:B283"/>
    <mergeCell ref="D282:D283"/>
    <mergeCell ref="E282:E283"/>
    <mergeCell ref="F282:F283"/>
    <mergeCell ref="A242:A245"/>
    <mergeCell ref="B242:B245"/>
    <mergeCell ref="D242:D245"/>
    <mergeCell ref="E242:E245"/>
    <mergeCell ref="F242:F245"/>
    <mergeCell ref="A233:B233"/>
  </mergeCells>
  <pageMargins left="1.1417322834645669" right="0.35433070866141736" top="0.39370078740157483" bottom="0.39370078740157483" header="0" footer="0"/>
  <pageSetup paperSize="9" scale="7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9"/>
  <sheetViews>
    <sheetView zoomScaleNormal="100" workbookViewId="0">
      <selection activeCell="K10" sqref="K10"/>
    </sheetView>
  </sheetViews>
  <sheetFormatPr defaultRowHeight="15" x14ac:dyDescent="0.25"/>
  <cols>
    <col min="1" max="1" width="8.28515625" customWidth="1"/>
    <col min="2" max="2" width="28.7109375" customWidth="1"/>
    <col min="3" max="3" width="11.7109375" customWidth="1"/>
    <col min="4" max="4" width="10.5703125" customWidth="1"/>
    <col min="5" max="5" width="13.42578125" customWidth="1"/>
    <col min="6" max="6" width="10.85546875" customWidth="1"/>
    <col min="7" max="7" width="11.140625" hidden="1" customWidth="1"/>
    <col min="8" max="8" width="11.7109375" customWidth="1"/>
    <col min="9" max="9" width="27" customWidth="1"/>
  </cols>
  <sheetData>
    <row r="1" spans="1:9" x14ac:dyDescent="0.25">
      <c r="B1" s="1220"/>
      <c r="C1" s="1220"/>
      <c r="D1" s="1220"/>
      <c r="E1" s="1220"/>
      <c r="F1" s="2228" t="s">
        <v>2205</v>
      </c>
      <c r="G1" s="2229"/>
      <c r="H1" s="2229"/>
      <c r="I1" s="2229"/>
    </row>
    <row r="2" spans="1:9" x14ac:dyDescent="0.25">
      <c r="A2" s="1219"/>
      <c r="B2" s="1220"/>
      <c r="C2" s="1877"/>
      <c r="D2" s="1877"/>
      <c r="E2" s="1877"/>
      <c r="F2" s="2229"/>
      <c r="G2" s="2229"/>
      <c r="H2" s="2229"/>
      <c r="I2" s="2229"/>
    </row>
    <row r="3" spans="1:9" x14ac:dyDescent="0.25">
      <c r="A3" s="1219"/>
      <c r="B3" s="1220"/>
      <c r="C3" s="1877"/>
      <c r="D3" s="1877"/>
      <c r="E3" s="1877"/>
      <c r="F3" s="2229"/>
      <c r="G3" s="2229"/>
      <c r="H3" s="2229"/>
      <c r="I3" s="2229"/>
    </row>
    <row r="4" spans="1:9" x14ac:dyDescent="0.25">
      <c r="A4" s="1219"/>
      <c r="B4" s="1220"/>
      <c r="C4" s="1877"/>
      <c r="D4" s="1877"/>
      <c r="E4" s="1877"/>
      <c r="F4" s="1892"/>
      <c r="G4" s="1892"/>
      <c r="H4" s="1892"/>
      <c r="I4" s="1892"/>
    </row>
    <row r="5" spans="1:9" x14ac:dyDescent="0.25">
      <c r="A5" s="1219"/>
      <c r="B5" s="1220"/>
      <c r="C5" s="1877"/>
      <c r="D5" s="1877"/>
      <c r="E5" s="1877"/>
      <c r="F5" s="1892"/>
      <c r="G5" s="1892"/>
      <c r="H5" s="1892"/>
      <c r="I5" s="1892"/>
    </row>
    <row r="6" spans="1:9" x14ac:dyDescent="0.25">
      <c r="A6" s="1219"/>
      <c r="B6" s="1220"/>
      <c r="C6" s="1877"/>
      <c r="D6" s="1877"/>
      <c r="E6" s="1877"/>
      <c r="F6" s="1892"/>
      <c r="G6" s="1892"/>
      <c r="H6" s="1892"/>
      <c r="I6" s="1892"/>
    </row>
    <row r="7" spans="1:9" x14ac:dyDescent="0.25">
      <c r="A7" s="1219" t="s">
        <v>1395</v>
      </c>
      <c r="B7" s="1220"/>
      <c r="C7" s="2234"/>
      <c r="D7" s="2234"/>
      <c r="E7" s="2234"/>
      <c r="F7" s="2234"/>
      <c r="G7" s="2234"/>
      <c r="H7" s="2234"/>
      <c r="I7" s="2234"/>
    </row>
    <row r="8" spans="1:9" ht="15.75" x14ac:dyDescent="0.25">
      <c r="A8" s="2235" t="s">
        <v>113</v>
      </c>
      <c r="B8" s="2235"/>
      <c r="C8" s="2235"/>
      <c r="D8" s="2235"/>
      <c r="E8" s="2235"/>
      <c r="F8" s="2235"/>
      <c r="G8" s="2235"/>
      <c r="H8" s="2235"/>
      <c r="I8" s="2235"/>
    </row>
    <row r="9" spans="1:9" ht="15.75" x14ac:dyDescent="0.25">
      <c r="A9" s="1219" t="s">
        <v>114</v>
      </c>
      <c r="B9" s="1219"/>
      <c r="C9" s="2236" t="s">
        <v>1954</v>
      </c>
      <c r="D9" s="2236"/>
      <c r="E9" s="2236"/>
      <c r="F9" s="2236"/>
      <c r="G9" s="2236"/>
      <c r="H9" s="2236"/>
      <c r="I9" s="2236"/>
    </row>
    <row r="10" spans="1:9" x14ac:dyDescent="0.25">
      <c r="A10" s="1219" t="s">
        <v>1394</v>
      </c>
      <c r="B10" s="1219"/>
      <c r="C10" s="2237" t="s">
        <v>1957</v>
      </c>
      <c r="D10" s="2237"/>
      <c r="E10" s="2237"/>
      <c r="F10" s="2237"/>
      <c r="G10" s="2237"/>
      <c r="H10" s="2237"/>
      <c r="I10" s="2237"/>
    </row>
    <row r="11" spans="1:9" x14ac:dyDescent="0.25">
      <c r="A11" s="1219" t="s">
        <v>1305</v>
      </c>
      <c r="B11" s="1219"/>
      <c r="C11" s="2238" t="s">
        <v>609</v>
      </c>
      <c r="D11" s="2238"/>
      <c r="E11" s="2238"/>
      <c r="F11" s="2238"/>
      <c r="G11" s="2238"/>
      <c r="H11" s="2238"/>
      <c r="I11" s="2238"/>
    </row>
    <row r="12" spans="1:9" ht="36" x14ac:dyDescent="0.25">
      <c r="A12" s="1221" t="s">
        <v>47</v>
      </c>
      <c r="B12" s="1221" t="s">
        <v>119</v>
      </c>
      <c r="C12" s="1221" t="s">
        <v>120</v>
      </c>
      <c r="D12" s="1221" t="s">
        <v>121</v>
      </c>
      <c r="E12" s="1221" t="s">
        <v>122</v>
      </c>
      <c r="F12" s="1221" t="s">
        <v>129</v>
      </c>
      <c r="G12" s="1221" t="s">
        <v>124</v>
      </c>
      <c r="H12" s="1221" t="s">
        <v>2165</v>
      </c>
      <c r="I12" s="1221" t="s">
        <v>126</v>
      </c>
    </row>
    <row r="13" spans="1:9" x14ac:dyDescent="0.25">
      <c r="A13" s="2230" t="s">
        <v>130</v>
      </c>
      <c r="B13" s="2231"/>
      <c r="C13" s="1222">
        <f t="shared" ref="C13:D13" si="0">SUM(C14:C25)</f>
        <v>0</v>
      </c>
      <c r="D13" s="1222">
        <f t="shared" si="0"/>
        <v>0</v>
      </c>
      <c r="E13" s="1222">
        <f>SUM(E14:E25)</f>
        <v>63500</v>
      </c>
      <c r="F13" s="1222"/>
      <c r="G13" s="1222">
        <f>SUM(G14:G25)</f>
        <v>62150</v>
      </c>
      <c r="H13" s="1222">
        <f>SUM(H14:H25)</f>
        <v>88438</v>
      </c>
      <c r="I13" s="1223"/>
    </row>
    <row r="14" spans="1:9" x14ac:dyDescent="0.25">
      <c r="A14" s="1256" t="s">
        <v>1789</v>
      </c>
      <c r="B14" s="1223" t="s">
        <v>1955</v>
      </c>
      <c r="C14" s="1224"/>
      <c r="D14" s="1224"/>
      <c r="E14" s="1224">
        <v>25000</v>
      </c>
      <c r="F14" s="1765">
        <v>2275</v>
      </c>
      <c r="G14" s="1224">
        <v>25000</v>
      </c>
      <c r="H14" s="1224">
        <f>ROUNDUP(G14/0.702804,0)</f>
        <v>35572</v>
      </c>
      <c r="I14" s="1223"/>
    </row>
    <row r="15" spans="1:9" x14ac:dyDescent="0.25">
      <c r="A15" s="1256" t="s">
        <v>1791</v>
      </c>
      <c r="B15" s="1223" t="s">
        <v>1960</v>
      </c>
      <c r="C15" s="1224"/>
      <c r="D15" s="1224"/>
      <c r="E15" s="1224">
        <v>5000</v>
      </c>
      <c r="F15" s="1765">
        <v>2279</v>
      </c>
      <c r="G15" s="1224">
        <v>5000</v>
      </c>
      <c r="H15" s="1224">
        <f t="shared" ref="H15:H25" si="1">ROUNDUP(G15/0.702804,0)</f>
        <v>7115</v>
      </c>
      <c r="I15" s="1223"/>
    </row>
    <row r="16" spans="1:9" ht="24.75" customHeight="1" x14ac:dyDescent="0.25">
      <c r="A16" s="2242" t="s">
        <v>1956</v>
      </c>
      <c r="B16" s="2239" t="s">
        <v>1961</v>
      </c>
      <c r="C16" s="1224"/>
      <c r="D16" s="1224"/>
      <c r="E16" s="1224">
        <v>1500</v>
      </c>
      <c r="F16" s="1765">
        <v>2262</v>
      </c>
      <c r="G16" s="1224">
        <v>1500</v>
      </c>
      <c r="H16" s="1224">
        <f t="shared" si="1"/>
        <v>2135</v>
      </c>
      <c r="I16" s="1223"/>
    </row>
    <row r="17" spans="1:9" x14ac:dyDescent="0.25">
      <c r="A17" s="2243"/>
      <c r="B17" s="2240"/>
      <c r="C17" s="1224"/>
      <c r="D17" s="1224"/>
      <c r="E17" s="1224">
        <v>500</v>
      </c>
      <c r="F17" s="1765">
        <v>2279</v>
      </c>
      <c r="G17" s="1224">
        <v>500</v>
      </c>
      <c r="H17" s="1224">
        <f t="shared" si="1"/>
        <v>712</v>
      </c>
      <c r="I17" s="1223"/>
    </row>
    <row r="18" spans="1:9" x14ac:dyDescent="0.25">
      <c r="A18" s="2243"/>
      <c r="B18" s="2240"/>
      <c r="C18" s="1224"/>
      <c r="D18" s="1224"/>
      <c r="E18" s="1224">
        <v>1400</v>
      </c>
      <c r="F18" s="1765">
        <v>2231</v>
      </c>
      <c r="G18" s="1224">
        <v>1400</v>
      </c>
      <c r="H18" s="1224">
        <f t="shared" si="1"/>
        <v>1993</v>
      </c>
      <c r="I18" s="1223"/>
    </row>
    <row r="19" spans="1:9" x14ac:dyDescent="0.25">
      <c r="A19" s="2243"/>
      <c r="B19" s="2240"/>
      <c r="C19" s="1224"/>
      <c r="D19" s="1224"/>
      <c r="E19" s="1224">
        <v>2000</v>
      </c>
      <c r="F19" s="1765">
        <v>2264</v>
      </c>
      <c r="G19" s="1224">
        <v>2000</v>
      </c>
      <c r="H19" s="1224">
        <f t="shared" si="1"/>
        <v>2846</v>
      </c>
      <c r="I19" s="1223"/>
    </row>
    <row r="20" spans="1:9" x14ac:dyDescent="0.25">
      <c r="A20" s="2243"/>
      <c r="B20" s="2240"/>
      <c r="C20" s="1224"/>
      <c r="D20" s="1224"/>
      <c r="E20" s="1224">
        <v>550</v>
      </c>
      <c r="F20" s="1765">
        <v>2279</v>
      </c>
      <c r="G20" s="1224">
        <v>550</v>
      </c>
      <c r="H20" s="1224">
        <f t="shared" si="1"/>
        <v>783</v>
      </c>
      <c r="I20" s="1223"/>
    </row>
    <row r="21" spans="1:9" x14ac:dyDescent="0.25">
      <c r="A21" s="2243"/>
      <c r="B21" s="2240"/>
      <c r="C21" s="1225"/>
      <c r="D21" s="1225"/>
      <c r="E21" s="1224">
        <v>150</v>
      </c>
      <c r="F21" s="1766">
        <v>2390</v>
      </c>
      <c r="G21" s="1224">
        <v>150</v>
      </c>
      <c r="H21" s="1224">
        <f t="shared" si="1"/>
        <v>214</v>
      </c>
      <c r="I21" s="1226"/>
    </row>
    <row r="22" spans="1:9" x14ac:dyDescent="0.25">
      <c r="A22" s="2244"/>
      <c r="B22" s="2241"/>
      <c r="C22" s="1225"/>
      <c r="D22" s="1225"/>
      <c r="E22" s="1224">
        <v>3600</v>
      </c>
      <c r="F22" s="1766">
        <v>2264</v>
      </c>
      <c r="G22" s="1224">
        <v>3600</v>
      </c>
      <c r="H22" s="1224">
        <f t="shared" si="1"/>
        <v>5123</v>
      </c>
      <c r="I22" s="1226"/>
    </row>
    <row r="23" spans="1:9" ht="24" customHeight="1" x14ac:dyDescent="0.25">
      <c r="A23" s="2242">
        <v>4</v>
      </c>
      <c r="B23" s="2242" t="s">
        <v>1962</v>
      </c>
      <c r="C23" s="1227"/>
      <c r="D23" s="1227"/>
      <c r="E23" s="1224">
        <v>1200</v>
      </c>
      <c r="F23" s="1766">
        <v>1150</v>
      </c>
      <c r="G23" s="1224">
        <v>300</v>
      </c>
      <c r="H23" s="1224">
        <f t="shared" si="1"/>
        <v>427</v>
      </c>
      <c r="I23" s="1221"/>
    </row>
    <row r="24" spans="1:9" x14ac:dyDescent="0.25">
      <c r="A24" s="2244"/>
      <c r="B24" s="2244"/>
      <c r="C24" s="1224"/>
      <c r="D24" s="1224"/>
      <c r="E24" s="1224">
        <v>600</v>
      </c>
      <c r="F24" s="1766">
        <v>2231</v>
      </c>
      <c r="G24" s="1224">
        <v>150</v>
      </c>
      <c r="H24" s="1224">
        <f t="shared" si="1"/>
        <v>214</v>
      </c>
      <c r="I24" s="1223"/>
    </row>
    <row r="25" spans="1:9" x14ac:dyDescent="0.25">
      <c r="A25" s="1668">
        <v>5</v>
      </c>
      <c r="B25" s="1228" t="s">
        <v>1610</v>
      </c>
      <c r="C25" s="1228"/>
      <c r="D25" s="1228"/>
      <c r="E25" s="1228">
        <v>22000</v>
      </c>
      <c r="F25" s="1767">
        <v>2275</v>
      </c>
      <c r="G25" s="1228">
        <v>22000</v>
      </c>
      <c r="H25" s="1228">
        <f t="shared" si="1"/>
        <v>31304</v>
      </c>
      <c r="I25" s="1228"/>
    </row>
    <row r="26" spans="1:9" x14ac:dyDescent="0.25">
      <c r="A26" s="2232" t="s">
        <v>1750</v>
      </c>
      <c r="B26" s="2233"/>
      <c r="C26" s="1229">
        <f>SUM(C13,)</f>
        <v>0</v>
      </c>
      <c r="D26" s="1229">
        <f>SUM(D13,)</f>
        <v>0</v>
      </c>
      <c r="E26" s="1229">
        <f>SUM(E13,)</f>
        <v>63500</v>
      </c>
      <c r="F26" s="1230"/>
      <c r="G26" s="1229">
        <f>SUM(G13,)</f>
        <v>62150</v>
      </c>
      <c r="H26" s="1229">
        <f>SUM(H13,)</f>
        <v>88438</v>
      </c>
      <c r="I26" s="1231"/>
    </row>
    <row r="27" spans="1:9" x14ac:dyDescent="0.25">
      <c r="A27" s="1219"/>
      <c r="B27" s="1219"/>
      <c r="C27" s="1219"/>
      <c r="D27" s="1219"/>
      <c r="E27" s="1219"/>
      <c r="F27" s="1219"/>
      <c r="G27" s="1219"/>
      <c r="H27" s="1219"/>
      <c r="I27" s="1219"/>
    </row>
    <row r="28" spans="1:9" x14ac:dyDescent="0.25">
      <c r="A28" s="1219"/>
      <c r="B28" s="1219"/>
      <c r="C28" s="1219"/>
      <c r="D28" s="1219"/>
      <c r="E28" s="1219"/>
      <c r="F28" s="1219"/>
      <c r="G28" s="1219"/>
      <c r="H28" s="1219"/>
      <c r="I28" s="1219"/>
    </row>
    <row r="29" spans="1:9" x14ac:dyDescent="0.25">
      <c r="A29" s="1219"/>
      <c r="B29" s="1219"/>
      <c r="C29" s="1219"/>
      <c r="D29" s="1219"/>
      <c r="E29" s="1219"/>
      <c r="F29" s="1219"/>
      <c r="G29" s="1219"/>
      <c r="H29" s="1219"/>
      <c r="I29" s="1219"/>
    </row>
  </sheetData>
  <sheetProtection password="CA5B" sheet="1" objects="1" scenarios="1"/>
  <mergeCells count="12">
    <mergeCell ref="F1:I3"/>
    <mergeCell ref="A13:B13"/>
    <mergeCell ref="A26:B26"/>
    <mergeCell ref="C7:I7"/>
    <mergeCell ref="A8:I8"/>
    <mergeCell ref="C9:I9"/>
    <mergeCell ref="C10:I10"/>
    <mergeCell ref="C11:I11"/>
    <mergeCell ref="B16:B22"/>
    <mergeCell ref="A16:A22"/>
    <mergeCell ref="A23:A24"/>
    <mergeCell ref="B23:B24"/>
  </mergeCells>
  <pageMargins left="0.9055118110236221" right="0.70866141732283472" top="0.55118110236220474"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60"/>
  <sheetViews>
    <sheetView workbookViewId="0">
      <selection activeCell="R10" sqref="R10"/>
    </sheetView>
  </sheetViews>
  <sheetFormatPr defaultRowHeight="12.75" x14ac:dyDescent="0.2"/>
  <cols>
    <col min="1" max="1" width="11.7109375" style="5" customWidth="1"/>
    <col min="2" max="2" width="35.42578125" style="5" customWidth="1"/>
    <col min="3" max="3" width="12" style="5" hidden="1" customWidth="1"/>
    <col min="4" max="4" width="12" style="5" customWidth="1"/>
    <col min="5" max="5" width="11.42578125" style="5" hidden="1" customWidth="1"/>
    <col min="6" max="6" width="11.42578125" style="5" customWidth="1"/>
    <col min="7" max="7" width="12.28515625" style="5" hidden="1" customWidth="1"/>
    <col min="8" max="8" width="12.28515625" style="5" customWidth="1"/>
    <col min="9" max="9" width="11.140625" style="5" hidden="1" customWidth="1"/>
    <col min="10" max="10" width="11.140625" style="5" customWidth="1"/>
    <col min="11" max="11" width="10.7109375" style="5" hidden="1" customWidth="1"/>
    <col min="12" max="12" width="10.28515625" style="5" customWidth="1"/>
    <col min="13" max="13" width="12.28515625" style="5" hidden="1" customWidth="1"/>
    <col min="14" max="14" width="12.28515625" style="5" customWidth="1"/>
    <col min="15" max="15" width="10.5703125" style="5" hidden="1" customWidth="1"/>
    <col min="16" max="16384" width="9.140625" style="5"/>
  </cols>
  <sheetData>
    <row r="1" spans="1:17" ht="15" customHeight="1" x14ac:dyDescent="0.25">
      <c r="A1" s="1"/>
      <c r="B1" s="2"/>
      <c r="C1" s="2"/>
      <c r="D1" s="2"/>
      <c r="E1" s="2"/>
      <c r="F1" s="2"/>
      <c r="G1" s="2"/>
      <c r="H1" s="2"/>
      <c r="I1" s="3"/>
      <c r="J1" s="1928" t="s">
        <v>2189</v>
      </c>
      <c r="K1" s="1928"/>
      <c r="L1" s="1928"/>
      <c r="M1" s="1928"/>
      <c r="N1" s="1928"/>
      <c r="O1" s="1928"/>
      <c r="P1" s="1928"/>
    </row>
    <row r="2" spans="1:17" ht="15" x14ac:dyDescent="0.25">
      <c r="A2" s="1"/>
      <c r="B2" s="2"/>
      <c r="C2" s="2"/>
      <c r="D2" s="2"/>
      <c r="E2" s="2"/>
      <c r="F2" s="2"/>
      <c r="G2" s="2"/>
      <c r="H2" s="2"/>
      <c r="I2" s="3"/>
      <c r="J2" s="1928"/>
      <c r="K2" s="1928"/>
      <c r="L2" s="1928"/>
      <c r="M2" s="1928"/>
      <c r="N2" s="1928"/>
      <c r="O2" s="1928"/>
      <c r="P2" s="1928"/>
    </row>
    <row r="3" spans="1:17" x14ac:dyDescent="0.2">
      <c r="A3" s="4"/>
      <c r="B3" s="8"/>
      <c r="C3" s="8"/>
      <c r="D3" s="8"/>
      <c r="E3" s="8"/>
      <c r="F3" s="8"/>
      <c r="G3" s="8"/>
      <c r="H3" s="8"/>
      <c r="I3" s="9"/>
      <c r="J3" s="1928"/>
      <c r="K3" s="1928"/>
      <c r="L3" s="1928"/>
      <c r="M3" s="1928"/>
      <c r="N3" s="1928"/>
      <c r="O3" s="1928"/>
      <c r="P3" s="1928"/>
    </row>
    <row r="4" spans="1:17" x14ac:dyDescent="0.2">
      <c r="A4" s="4"/>
      <c r="B4" s="8"/>
      <c r="C4" s="8"/>
      <c r="D4" s="8"/>
      <c r="E4" s="8"/>
      <c r="F4" s="8"/>
      <c r="G4" s="8"/>
      <c r="H4" s="8"/>
      <c r="I4" s="9"/>
      <c r="J4" s="1867"/>
      <c r="K4" s="1867"/>
      <c r="L4" s="1867"/>
      <c r="M4" s="1867"/>
      <c r="N4" s="1867"/>
      <c r="O4" s="1867"/>
      <c r="P4" s="1867"/>
    </row>
    <row r="5" spans="1:17" x14ac:dyDescent="0.2">
      <c r="A5" s="4"/>
      <c r="B5" s="8"/>
      <c r="C5" s="8"/>
      <c r="D5" s="8"/>
      <c r="E5" s="8"/>
      <c r="F5" s="8"/>
      <c r="G5" s="8"/>
      <c r="H5" s="8"/>
      <c r="I5" s="9"/>
      <c r="J5" s="1867"/>
      <c r="K5" s="1867"/>
      <c r="L5" s="1867"/>
      <c r="M5" s="1867"/>
      <c r="N5" s="1867"/>
      <c r="O5" s="1867"/>
      <c r="P5" s="1867"/>
    </row>
    <row r="6" spans="1:17" ht="15.75" x14ac:dyDescent="0.25">
      <c r="A6" s="4"/>
      <c r="B6" s="8"/>
      <c r="C6" s="8"/>
      <c r="D6" s="8"/>
      <c r="E6" s="8"/>
      <c r="F6" s="8"/>
      <c r="G6" s="8"/>
      <c r="H6" s="8"/>
      <c r="I6" s="9"/>
      <c r="J6" s="9"/>
      <c r="K6" s="10"/>
      <c r="L6" s="10"/>
      <c r="M6" s="7"/>
      <c r="N6" s="7"/>
      <c r="O6" s="6"/>
    </row>
    <row r="7" spans="1:17" ht="18.75" x14ac:dyDescent="0.3">
      <c r="A7" s="1932" t="s">
        <v>0</v>
      </c>
      <c r="B7" s="1932"/>
      <c r="C7" s="1932"/>
      <c r="D7" s="1932"/>
      <c r="E7" s="1932"/>
      <c r="F7" s="1932"/>
      <c r="G7" s="1932"/>
      <c r="H7" s="1932"/>
      <c r="I7" s="1932"/>
      <c r="J7" s="1932"/>
      <c r="K7" s="1932"/>
      <c r="L7" s="1932"/>
      <c r="M7" s="1932"/>
      <c r="N7" s="1932"/>
      <c r="O7" s="1932"/>
    </row>
    <row r="8" spans="1:17" ht="18.75" x14ac:dyDescent="0.3">
      <c r="A8" s="1932" t="s">
        <v>1</v>
      </c>
      <c r="B8" s="1932"/>
      <c r="C8" s="1932"/>
      <c r="D8" s="1932"/>
      <c r="E8" s="1932"/>
      <c r="F8" s="1932"/>
      <c r="G8" s="1932"/>
      <c r="H8" s="1932"/>
      <c r="I8" s="1932"/>
      <c r="J8" s="1932"/>
      <c r="K8" s="1932"/>
      <c r="L8" s="1932"/>
      <c r="M8" s="1932"/>
      <c r="N8" s="1932"/>
      <c r="O8" s="1932"/>
      <c r="Q8" s="5" t="s">
        <v>2</v>
      </c>
    </row>
    <row r="9" spans="1:17" ht="15.75" x14ac:dyDescent="0.25">
      <c r="A9" s="7"/>
      <c r="B9" s="7"/>
      <c r="C9" s="7"/>
      <c r="D9" s="7"/>
      <c r="E9" s="7"/>
      <c r="F9" s="7"/>
      <c r="G9" s="7"/>
      <c r="H9" s="7"/>
      <c r="I9" s="7"/>
      <c r="J9" s="7"/>
      <c r="K9" s="11"/>
      <c r="L9" s="11"/>
      <c r="M9" s="11"/>
      <c r="N9" s="11"/>
      <c r="O9" s="1818">
        <v>0.70280399999999998</v>
      </c>
    </row>
    <row r="10" spans="1:17" ht="30" customHeight="1" x14ac:dyDescent="0.2">
      <c r="A10" s="1933" t="s">
        <v>3</v>
      </c>
      <c r="B10" s="1935" t="s">
        <v>4</v>
      </c>
      <c r="C10" s="1937" t="s">
        <v>1502</v>
      </c>
      <c r="D10" s="1937" t="s">
        <v>2173</v>
      </c>
      <c r="E10" s="1930" t="s">
        <v>5</v>
      </c>
      <c r="F10" s="1931"/>
      <c r="G10" s="1931"/>
      <c r="H10" s="1931"/>
      <c r="I10" s="1931"/>
      <c r="J10" s="1931"/>
      <c r="K10" s="1939" t="s">
        <v>2174</v>
      </c>
      <c r="L10" s="1940"/>
      <c r="M10" s="1940"/>
      <c r="N10" s="1940"/>
      <c r="O10" s="1940"/>
      <c r="P10" s="1941"/>
    </row>
    <row r="11" spans="1:17" ht="15" customHeight="1" x14ac:dyDescent="0.2">
      <c r="A11" s="1934"/>
      <c r="B11" s="1936"/>
      <c r="C11" s="1938"/>
      <c r="D11" s="1938"/>
      <c r="E11" s="1924" t="s">
        <v>2175</v>
      </c>
      <c r="F11" s="1925" t="s">
        <v>2176</v>
      </c>
      <c r="G11" s="1925" t="s">
        <v>2177</v>
      </c>
      <c r="H11" s="1925" t="s">
        <v>2178</v>
      </c>
      <c r="I11" s="1925" t="s">
        <v>2179</v>
      </c>
      <c r="J11" s="1925" t="s">
        <v>2180</v>
      </c>
      <c r="K11" s="1929" t="s">
        <v>2175</v>
      </c>
      <c r="L11" s="1926" t="s">
        <v>2176</v>
      </c>
      <c r="M11" s="1926" t="s">
        <v>2177</v>
      </c>
      <c r="N11" s="1926" t="s">
        <v>2178</v>
      </c>
      <c r="O11" s="1927" t="s">
        <v>2179</v>
      </c>
      <c r="P11" s="1924" t="s">
        <v>2180</v>
      </c>
    </row>
    <row r="12" spans="1:17" ht="62.25" customHeight="1" x14ac:dyDescent="0.2">
      <c r="A12" s="1934"/>
      <c r="B12" s="1936"/>
      <c r="C12" s="1938"/>
      <c r="D12" s="1938"/>
      <c r="E12" s="1924"/>
      <c r="F12" s="1925"/>
      <c r="G12" s="1925"/>
      <c r="H12" s="1925"/>
      <c r="I12" s="1925"/>
      <c r="J12" s="1925"/>
      <c r="K12" s="1929"/>
      <c r="L12" s="1926"/>
      <c r="M12" s="1926"/>
      <c r="N12" s="1926"/>
      <c r="O12" s="1927"/>
      <c r="P12" s="1924"/>
    </row>
    <row r="13" spans="1:17" ht="12" customHeight="1" x14ac:dyDescent="0.2">
      <c r="A13" s="12">
        <v>1</v>
      </c>
      <c r="B13" s="13">
        <v>2</v>
      </c>
      <c r="C13" s="13">
        <v>3</v>
      </c>
      <c r="D13" s="13"/>
      <c r="E13" s="1850">
        <v>4</v>
      </c>
      <c r="F13" s="1851"/>
      <c r="G13" s="1851">
        <v>5</v>
      </c>
      <c r="H13" s="1851"/>
      <c r="I13" s="1851">
        <v>6</v>
      </c>
      <c r="J13" s="1851"/>
      <c r="K13" s="12">
        <v>7</v>
      </c>
      <c r="L13" s="13"/>
      <c r="M13" s="13">
        <v>8</v>
      </c>
      <c r="N13" s="1819"/>
      <c r="O13" s="1819">
        <v>9</v>
      </c>
      <c r="P13" s="1820"/>
    </row>
    <row r="14" spans="1:17" ht="25.5" x14ac:dyDescent="0.2">
      <c r="A14" s="14"/>
      <c r="B14" s="15" t="s">
        <v>6</v>
      </c>
      <c r="C14" s="16">
        <f>E14+G14+I14</f>
        <v>21900</v>
      </c>
      <c r="D14" s="16">
        <v>21900</v>
      </c>
      <c r="E14" s="1852">
        <f>25*365</f>
        <v>9125</v>
      </c>
      <c r="F14" s="1853">
        <v>9125</v>
      </c>
      <c r="G14" s="1853">
        <f>15*365</f>
        <v>5475</v>
      </c>
      <c r="H14" s="1853">
        <v>5475</v>
      </c>
      <c r="I14" s="1853">
        <f>20*365</f>
        <v>7300</v>
      </c>
      <c r="J14" s="1853">
        <v>7300</v>
      </c>
      <c r="K14" s="14"/>
      <c r="L14" s="17"/>
      <c r="M14" s="17"/>
      <c r="N14" s="1821"/>
      <c r="O14" s="1821"/>
      <c r="P14" s="1820"/>
    </row>
    <row r="15" spans="1:17" ht="15.75" customHeight="1" x14ac:dyDescent="0.2">
      <c r="A15" s="18"/>
      <c r="B15" s="19" t="s">
        <v>7</v>
      </c>
      <c r="C15" s="20">
        <f>C17+C30+C43+C54</f>
        <v>241214</v>
      </c>
      <c r="D15" s="20">
        <f>D17+D30+D43+D54</f>
        <v>343219</v>
      </c>
      <c r="E15" s="1854">
        <f t="shared" ref="E15:P15" si="0">E17+E29</f>
        <v>84549</v>
      </c>
      <c r="F15" s="1855">
        <f t="shared" si="0"/>
        <v>120303</v>
      </c>
      <c r="G15" s="1855">
        <f t="shared" si="0"/>
        <v>72755</v>
      </c>
      <c r="H15" s="1855">
        <f t="shared" si="0"/>
        <v>103522</v>
      </c>
      <c r="I15" s="1855">
        <f t="shared" si="0"/>
        <v>83910</v>
      </c>
      <c r="J15" s="1855">
        <f t="shared" si="0"/>
        <v>119394</v>
      </c>
      <c r="K15" s="1829">
        <f t="shared" si="0"/>
        <v>9.265643835616439</v>
      </c>
      <c r="L15" s="21">
        <f t="shared" si="0"/>
        <v>13.183890410958904</v>
      </c>
      <c r="M15" s="21">
        <f t="shared" si="0"/>
        <v>13.288584474885845</v>
      </c>
      <c r="N15" s="21">
        <f t="shared" si="0"/>
        <v>18.908127853881279</v>
      </c>
      <c r="O15" s="1822">
        <f t="shared" si="0"/>
        <v>11.494520547945205</v>
      </c>
      <c r="P15" s="22">
        <f t="shared" si="0"/>
        <v>16.355342465753424</v>
      </c>
    </row>
    <row r="16" spans="1:17" ht="15.75" customHeight="1" x14ac:dyDescent="0.2">
      <c r="A16" s="18"/>
      <c r="B16" s="19"/>
      <c r="C16" s="20"/>
      <c r="D16" s="20"/>
      <c r="E16" s="1854"/>
      <c r="F16" s="1855"/>
      <c r="G16" s="1855"/>
      <c r="H16" s="1855"/>
      <c r="I16" s="1855"/>
      <c r="J16" s="1855"/>
      <c r="K16" s="1829"/>
      <c r="L16" s="21"/>
      <c r="M16" s="21"/>
      <c r="N16" s="1822"/>
      <c r="O16" s="1822"/>
      <c r="P16" s="1820"/>
    </row>
    <row r="17" spans="1:17" ht="15.75" customHeight="1" x14ac:dyDescent="0.2">
      <c r="A17" s="1731">
        <v>1000</v>
      </c>
      <c r="B17" s="19" t="s">
        <v>8</v>
      </c>
      <c r="C17" s="20">
        <f>C18+C26</f>
        <v>175500</v>
      </c>
      <c r="D17" s="20">
        <f>D18+D26</f>
        <v>249713</v>
      </c>
      <c r="E17" s="1854">
        <f>E18+E26</f>
        <v>65292</v>
      </c>
      <c r="F17" s="1855">
        <f t="shared" ref="F17:J17" si="1">F18+F26</f>
        <v>92902</v>
      </c>
      <c r="G17" s="1855">
        <f t="shared" si="1"/>
        <v>55676</v>
      </c>
      <c r="H17" s="1855">
        <f t="shared" si="1"/>
        <v>79219</v>
      </c>
      <c r="I17" s="1855">
        <f t="shared" si="1"/>
        <v>54532</v>
      </c>
      <c r="J17" s="1855">
        <f t="shared" si="1"/>
        <v>77592</v>
      </c>
      <c r="K17" s="1830">
        <f t="shared" ref="K17:P17" si="2">E17/E14</f>
        <v>7.1552876712328768</v>
      </c>
      <c r="L17" s="31">
        <f t="shared" si="2"/>
        <v>10.181041095890411</v>
      </c>
      <c r="M17" s="31">
        <f t="shared" si="2"/>
        <v>10.169132420091325</v>
      </c>
      <c r="N17" s="31">
        <f t="shared" si="2"/>
        <v>14.469223744292238</v>
      </c>
      <c r="O17" s="1823">
        <f t="shared" si="2"/>
        <v>7.4701369863013696</v>
      </c>
      <c r="P17" s="32">
        <f t="shared" si="2"/>
        <v>10.629041095890411</v>
      </c>
    </row>
    <row r="18" spans="1:17" ht="15.75" customHeight="1" x14ac:dyDescent="0.2">
      <c r="A18" s="1732">
        <v>1100</v>
      </c>
      <c r="B18" s="19" t="s">
        <v>9</v>
      </c>
      <c r="C18" s="16">
        <f>E18+G18+I18</f>
        <v>141441</v>
      </c>
      <c r="D18" s="16">
        <f>F18+H18+J18</f>
        <v>201252</v>
      </c>
      <c r="E18" s="1854">
        <f>E19+E21</f>
        <v>52617</v>
      </c>
      <c r="F18" s="1855">
        <f t="shared" ref="F18:J18" si="3">F19+F21</f>
        <v>74867</v>
      </c>
      <c r="G18" s="1855">
        <f t="shared" si="3"/>
        <v>44868</v>
      </c>
      <c r="H18" s="1855">
        <f t="shared" si="3"/>
        <v>63841</v>
      </c>
      <c r="I18" s="1855">
        <f t="shared" si="3"/>
        <v>43956</v>
      </c>
      <c r="J18" s="1855">
        <f t="shared" si="3"/>
        <v>62544</v>
      </c>
      <c r="K18" s="1831">
        <f t="shared" ref="K18:P18" si="4">E18/E14</f>
        <v>5.7662465753424659</v>
      </c>
      <c r="L18" s="24">
        <f t="shared" si="4"/>
        <v>8.2046027397260275</v>
      </c>
      <c r="M18" s="24">
        <f t="shared" si="4"/>
        <v>8.1950684931506856</v>
      </c>
      <c r="N18" s="24">
        <f t="shared" si="4"/>
        <v>11.660456621004567</v>
      </c>
      <c r="O18" s="1824">
        <f t="shared" si="4"/>
        <v>6.0213698630136987</v>
      </c>
      <c r="P18" s="25">
        <f t="shared" si="4"/>
        <v>8.5676712328767124</v>
      </c>
    </row>
    <row r="19" spans="1:17" ht="15.75" customHeight="1" x14ac:dyDescent="0.2">
      <c r="A19" s="23">
        <v>1110</v>
      </c>
      <c r="B19" s="19" t="s">
        <v>9</v>
      </c>
      <c r="C19" s="20">
        <f>C20</f>
        <v>136420</v>
      </c>
      <c r="D19" s="20">
        <f>D20</f>
        <v>194109</v>
      </c>
      <c r="E19" s="1854">
        <f>E20</f>
        <v>50589</v>
      </c>
      <c r="F19" s="1855">
        <f t="shared" ref="F19:J19" si="5">F20</f>
        <v>71982</v>
      </c>
      <c r="G19" s="1855">
        <f t="shared" si="5"/>
        <v>42268</v>
      </c>
      <c r="H19" s="1855">
        <f t="shared" si="5"/>
        <v>60142</v>
      </c>
      <c r="I19" s="1855">
        <f t="shared" si="5"/>
        <v>43563</v>
      </c>
      <c r="J19" s="1855">
        <f t="shared" si="5"/>
        <v>61985</v>
      </c>
      <c r="K19" s="1831">
        <f t="shared" ref="K19:P19" si="6">E19/E14</f>
        <v>5.5439999999999996</v>
      </c>
      <c r="L19" s="24">
        <f t="shared" si="6"/>
        <v>7.8884383561643832</v>
      </c>
      <c r="M19" s="24">
        <f t="shared" si="6"/>
        <v>7.7201826484018268</v>
      </c>
      <c r="N19" s="24">
        <f t="shared" si="6"/>
        <v>10.984840182648401</v>
      </c>
      <c r="O19" s="1824">
        <f t="shared" si="6"/>
        <v>5.967534246575342</v>
      </c>
      <c r="P19" s="25">
        <f t="shared" si="6"/>
        <v>8.4910958904109588</v>
      </c>
      <c r="Q19" s="26"/>
    </row>
    <row r="20" spans="1:17" ht="24" customHeight="1" x14ac:dyDescent="0.2">
      <c r="A20" s="27">
        <v>1119</v>
      </c>
      <c r="B20" s="15" t="s">
        <v>10</v>
      </c>
      <c r="C20" s="28">
        <f>E20+G20+I20</f>
        <v>136420</v>
      </c>
      <c r="D20" s="28">
        <f>F20+H20+J20</f>
        <v>194109</v>
      </c>
      <c r="E20" s="1856">
        <v>50589</v>
      </c>
      <c r="F20" s="1857">
        <f>ROUND(E20/$O$9,0)</f>
        <v>71982</v>
      </c>
      <c r="G20" s="1858">
        <v>42268</v>
      </c>
      <c r="H20" s="1857">
        <f>ROUND(G20/$O$9,0)</f>
        <v>60142</v>
      </c>
      <c r="I20" s="1858">
        <v>43563</v>
      </c>
      <c r="J20" s="1857">
        <f>ROUND(I20/$O$9,0)</f>
        <v>61985</v>
      </c>
      <c r="K20" s="1832">
        <f t="shared" ref="K20:P20" si="7">E20/E14</f>
        <v>5.5439999999999996</v>
      </c>
      <c r="L20" s="29">
        <f t="shared" si="7"/>
        <v>7.8884383561643832</v>
      </c>
      <c r="M20" s="29">
        <f t="shared" si="7"/>
        <v>7.7201826484018268</v>
      </c>
      <c r="N20" s="29">
        <f t="shared" si="7"/>
        <v>10.984840182648401</v>
      </c>
      <c r="O20" s="1825">
        <f t="shared" si="7"/>
        <v>5.967534246575342</v>
      </c>
      <c r="P20" s="30">
        <f t="shared" si="7"/>
        <v>8.4910958904109588</v>
      </c>
    </row>
    <row r="21" spans="1:17" ht="15.75" customHeight="1" x14ac:dyDescent="0.2">
      <c r="A21" s="23">
        <v>1140</v>
      </c>
      <c r="B21" s="19" t="s">
        <v>11</v>
      </c>
      <c r="C21" s="16">
        <f t="shared" ref="C21:P21" si="8">SUM(C22:C25)</f>
        <v>5021</v>
      </c>
      <c r="D21" s="16">
        <f t="shared" si="8"/>
        <v>7143</v>
      </c>
      <c r="E21" s="1852">
        <f t="shared" si="8"/>
        <v>2028</v>
      </c>
      <c r="F21" s="1853">
        <f t="shared" si="8"/>
        <v>2885</v>
      </c>
      <c r="G21" s="1853">
        <f t="shared" si="8"/>
        <v>2600</v>
      </c>
      <c r="H21" s="1853">
        <f t="shared" si="8"/>
        <v>3699</v>
      </c>
      <c r="I21" s="1853">
        <f t="shared" si="8"/>
        <v>393</v>
      </c>
      <c r="J21" s="1853">
        <f t="shared" si="8"/>
        <v>559</v>
      </c>
      <c r="K21" s="1830">
        <f t="shared" si="8"/>
        <v>0.22224657534246575</v>
      </c>
      <c r="L21" s="31">
        <f t="shared" si="8"/>
        <v>0.31616438356164384</v>
      </c>
      <c r="M21" s="31">
        <f t="shared" si="8"/>
        <v>0.47488584474885842</v>
      </c>
      <c r="N21" s="31">
        <f t="shared" si="8"/>
        <v>0.67561643835616436</v>
      </c>
      <c r="O21" s="1823">
        <f t="shared" si="8"/>
        <v>5.383561643835616E-2</v>
      </c>
      <c r="P21" s="32">
        <f t="shared" si="8"/>
        <v>7.6575342465753427E-2</v>
      </c>
    </row>
    <row r="22" spans="1:17" ht="15.75" customHeight="1" x14ac:dyDescent="0.2">
      <c r="A22" s="14">
        <v>1141</v>
      </c>
      <c r="B22" s="17" t="s">
        <v>12</v>
      </c>
      <c r="C22" s="28">
        <f t="shared" ref="C22:D28" si="9">E22+G22+I22</f>
        <v>3403</v>
      </c>
      <c r="D22" s="28">
        <f t="shared" si="9"/>
        <v>4842</v>
      </c>
      <c r="E22" s="1856">
        <v>1518</v>
      </c>
      <c r="F22" s="1857">
        <f>ROUND(E22/$O$9,0)</f>
        <v>2160</v>
      </c>
      <c r="G22" s="1858">
        <v>1620</v>
      </c>
      <c r="H22" s="1857">
        <f>ROUND(G22/$O$9,0)</f>
        <v>2305</v>
      </c>
      <c r="I22" s="1858">
        <v>265</v>
      </c>
      <c r="J22" s="1857">
        <f>ROUND(I22/$O$9,0)</f>
        <v>377</v>
      </c>
      <c r="K22" s="1832">
        <f t="shared" ref="K22:P22" si="10">E22/E14</f>
        <v>0.16635616438356166</v>
      </c>
      <c r="L22" s="29">
        <f t="shared" si="10"/>
        <v>0.23671232876712328</v>
      </c>
      <c r="M22" s="29">
        <f t="shared" si="10"/>
        <v>0.29589041095890412</v>
      </c>
      <c r="N22" s="29">
        <f t="shared" si="10"/>
        <v>0.42100456621004567</v>
      </c>
      <c r="O22" s="1825">
        <f t="shared" si="10"/>
        <v>3.6301369863013695E-2</v>
      </c>
      <c r="P22" s="30">
        <f t="shared" si="10"/>
        <v>5.1643835616438358E-2</v>
      </c>
    </row>
    <row r="23" spans="1:17" ht="23.25" customHeight="1" x14ac:dyDescent="0.2">
      <c r="A23" s="14">
        <v>1142</v>
      </c>
      <c r="B23" s="33" t="s">
        <v>13</v>
      </c>
      <c r="C23" s="28">
        <f t="shared" si="9"/>
        <v>1218</v>
      </c>
      <c r="D23" s="28">
        <f t="shared" si="9"/>
        <v>1733</v>
      </c>
      <c r="E23" s="1856">
        <v>360</v>
      </c>
      <c r="F23" s="1857">
        <f t="shared" ref="F23:F25" si="11">ROUND(E23/$O$9,0)</f>
        <v>512</v>
      </c>
      <c r="G23" s="1858">
        <v>750</v>
      </c>
      <c r="H23" s="1857">
        <f t="shared" ref="H23:H25" si="12">ROUND(G23/$O$9,0)</f>
        <v>1067</v>
      </c>
      <c r="I23" s="1858">
        <v>108</v>
      </c>
      <c r="J23" s="1857">
        <f t="shared" ref="J23:J25" si="13">ROUND(I23/$O$9,0)</f>
        <v>154</v>
      </c>
      <c r="K23" s="1832">
        <f t="shared" ref="K23:P23" si="14">E23/E14</f>
        <v>3.9452054794520547E-2</v>
      </c>
      <c r="L23" s="29">
        <f t="shared" si="14"/>
        <v>5.6109589041095892E-2</v>
      </c>
      <c r="M23" s="29">
        <f t="shared" si="14"/>
        <v>0.13698630136986301</v>
      </c>
      <c r="N23" s="29">
        <f t="shared" si="14"/>
        <v>0.19488584474885845</v>
      </c>
      <c r="O23" s="1825">
        <f t="shared" si="14"/>
        <v>1.4794520547945205E-2</v>
      </c>
      <c r="P23" s="30">
        <f t="shared" si="14"/>
        <v>2.1095890410958905E-2</v>
      </c>
    </row>
    <row r="24" spans="1:17" ht="30.75" customHeight="1" x14ac:dyDescent="0.2">
      <c r="A24" s="14">
        <v>1145</v>
      </c>
      <c r="B24" s="15" t="s">
        <v>14</v>
      </c>
      <c r="C24" s="28">
        <f t="shared" si="9"/>
        <v>400</v>
      </c>
      <c r="D24" s="28">
        <f t="shared" si="9"/>
        <v>568</v>
      </c>
      <c r="E24" s="1856">
        <v>150</v>
      </c>
      <c r="F24" s="1857">
        <f t="shared" si="11"/>
        <v>213</v>
      </c>
      <c r="G24" s="1858">
        <v>230</v>
      </c>
      <c r="H24" s="1857">
        <f t="shared" si="12"/>
        <v>327</v>
      </c>
      <c r="I24" s="1858">
        <v>20</v>
      </c>
      <c r="J24" s="1857">
        <f t="shared" si="13"/>
        <v>28</v>
      </c>
      <c r="K24" s="1832">
        <f t="shared" ref="K24:P24" si="15">E24/E14</f>
        <v>1.643835616438356E-2</v>
      </c>
      <c r="L24" s="29">
        <f t="shared" si="15"/>
        <v>2.3342465753424659E-2</v>
      </c>
      <c r="M24" s="29">
        <f t="shared" si="15"/>
        <v>4.2009132420091327E-2</v>
      </c>
      <c r="N24" s="29">
        <f t="shared" si="15"/>
        <v>5.9726027397260274E-2</v>
      </c>
      <c r="O24" s="1825">
        <f t="shared" si="15"/>
        <v>2.7397260273972603E-3</v>
      </c>
      <c r="P24" s="30">
        <f t="shared" si="15"/>
        <v>3.8356164383561643E-3</v>
      </c>
    </row>
    <row r="25" spans="1:17" ht="15.75" customHeight="1" x14ac:dyDescent="0.2">
      <c r="A25" s="14">
        <v>1149</v>
      </c>
      <c r="B25" s="17" t="s">
        <v>15</v>
      </c>
      <c r="C25" s="28">
        <f t="shared" si="9"/>
        <v>0</v>
      </c>
      <c r="D25" s="28">
        <f t="shared" si="9"/>
        <v>0</v>
      </c>
      <c r="E25" s="1856"/>
      <c r="F25" s="1857">
        <f t="shared" si="11"/>
        <v>0</v>
      </c>
      <c r="G25" s="1858"/>
      <c r="H25" s="1857">
        <f t="shared" si="12"/>
        <v>0</v>
      </c>
      <c r="I25" s="1858"/>
      <c r="J25" s="1857">
        <f t="shared" si="13"/>
        <v>0</v>
      </c>
      <c r="K25" s="1832">
        <f t="shared" ref="K25:P25" si="16">E25/E14</f>
        <v>0</v>
      </c>
      <c r="L25" s="29">
        <f t="shared" si="16"/>
        <v>0</v>
      </c>
      <c r="M25" s="29">
        <f t="shared" si="16"/>
        <v>0</v>
      </c>
      <c r="N25" s="29">
        <f t="shared" si="16"/>
        <v>0</v>
      </c>
      <c r="O25" s="1825">
        <f t="shared" si="16"/>
        <v>0</v>
      </c>
      <c r="P25" s="30">
        <f t="shared" si="16"/>
        <v>0</v>
      </c>
    </row>
    <row r="26" spans="1:17" ht="30" customHeight="1" x14ac:dyDescent="0.2">
      <c r="A26" s="1732">
        <v>1200</v>
      </c>
      <c r="B26" s="1733" t="s">
        <v>16</v>
      </c>
      <c r="C26" s="16">
        <f t="shared" si="9"/>
        <v>34059</v>
      </c>
      <c r="D26" s="16">
        <f t="shared" si="9"/>
        <v>48461</v>
      </c>
      <c r="E26" s="1852">
        <f t="shared" ref="E26:P26" si="17">E27</f>
        <v>12675</v>
      </c>
      <c r="F26" s="1853">
        <f t="shared" si="17"/>
        <v>18035</v>
      </c>
      <c r="G26" s="1853">
        <f t="shared" si="17"/>
        <v>10808</v>
      </c>
      <c r="H26" s="1853">
        <f t="shared" si="17"/>
        <v>15378</v>
      </c>
      <c r="I26" s="1853">
        <f t="shared" si="17"/>
        <v>10576</v>
      </c>
      <c r="J26" s="1853">
        <f t="shared" si="17"/>
        <v>15048</v>
      </c>
      <c r="K26" s="1830">
        <f t="shared" si="17"/>
        <v>1.3890410958904109</v>
      </c>
      <c r="L26" s="31">
        <f t="shared" si="17"/>
        <v>1.9764383561643835</v>
      </c>
      <c r="M26" s="31">
        <f t="shared" si="17"/>
        <v>1.9740639269406393</v>
      </c>
      <c r="N26" s="31">
        <f t="shared" si="17"/>
        <v>2.8087671232876712</v>
      </c>
      <c r="O26" s="1823">
        <f t="shared" si="17"/>
        <v>1.4487671232876713</v>
      </c>
      <c r="P26" s="32">
        <f t="shared" si="17"/>
        <v>2.0613698630136987</v>
      </c>
    </row>
    <row r="27" spans="1:17" ht="30" customHeight="1" x14ac:dyDescent="0.2">
      <c r="A27" s="14">
        <v>1210</v>
      </c>
      <c r="B27" s="34" t="s">
        <v>16</v>
      </c>
      <c r="C27" s="28">
        <f t="shared" si="9"/>
        <v>34059</v>
      </c>
      <c r="D27" s="28">
        <f t="shared" si="9"/>
        <v>48461</v>
      </c>
      <c r="E27" s="1856">
        <v>12675</v>
      </c>
      <c r="F27" s="1857">
        <f>ROUND(E27/$O$9,0)</f>
        <v>18035</v>
      </c>
      <c r="G27" s="1858">
        <v>10808</v>
      </c>
      <c r="H27" s="1857">
        <f>ROUND(G27/$O$9,0)</f>
        <v>15378</v>
      </c>
      <c r="I27" s="1858">
        <v>10576</v>
      </c>
      <c r="J27" s="1857">
        <f>ROUND(I27/$O$9,0)</f>
        <v>15048</v>
      </c>
      <c r="K27" s="1832">
        <f t="shared" ref="K27:P27" si="18">E27/E14</f>
        <v>1.3890410958904109</v>
      </c>
      <c r="L27" s="29">
        <f t="shared" si="18"/>
        <v>1.9764383561643835</v>
      </c>
      <c r="M27" s="29">
        <f t="shared" si="18"/>
        <v>1.9740639269406393</v>
      </c>
      <c r="N27" s="29">
        <f t="shared" si="18"/>
        <v>2.8087671232876712</v>
      </c>
      <c r="O27" s="1825">
        <f t="shared" si="18"/>
        <v>1.4487671232876713</v>
      </c>
      <c r="P27" s="30">
        <f t="shared" si="18"/>
        <v>2.0613698630136987</v>
      </c>
    </row>
    <row r="28" spans="1:17" ht="24.75" customHeight="1" x14ac:dyDescent="0.2">
      <c r="A28" s="14">
        <v>1227</v>
      </c>
      <c r="B28" s="15" t="s">
        <v>17</v>
      </c>
      <c r="C28" s="28">
        <f t="shared" si="9"/>
        <v>0</v>
      </c>
      <c r="D28" s="28">
        <f t="shared" si="9"/>
        <v>0</v>
      </c>
      <c r="E28" s="1856"/>
      <c r="F28" s="1857">
        <f>ROUND(E28/$O$9,0)</f>
        <v>0</v>
      </c>
      <c r="G28" s="1858"/>
      <c r="H28" s="1857">
        <f>ROUND(G28/$O$9,0)</f>
        <v>0</v>
      </c>
      <c r="I28" s="1858"/>
      <c r="J28" s="1857">
        <f>ROUND(I28/$O$9,0)</f>
        <v>0</v>
      </c>
      <c r="K28" s="1832">
        <f t="shared" ref="K28:P28" si="19">E28/E14</f>
        <v>0</v>
      </c>
      <c r="L28" s="29">
        <f t="shared" si="19"/>
        <v>0</v>
      </c>
      <c r="M28" s="29">
        <f t="shared" si="19"/>
        <v>0</v>
      </c>
      <c r="N28" s="29">
        <f t="shared" si="19"/>
        <v>0</v>
      </c>
      <c r="O28" s="1825">
        <f t="shared" si="19"/>
        <v>0</v>
      </c>
      <c r="P28" s="30">
        <f t="shared" si="19"/>
        <v>0</v>
      </c>
    </row>
    <row r="29" spans="1:17" ht="15.75" customHeight="1" x14ac:dyDescent="0.2">
      <c r="A29" s="1731">
        <v>2000</v>
      </c>
      <c r="B29" s="19" t="s">
        <v>18</v>
      </c>
      <c r="C29" s="16">
        <f t="shared" ref="C29:P29" si="20">C30+C43+C54</f>
        <v>65714</v>
      </c>
      <c r="D29" s="16">
        <f t="shared" si="20"/>
        <v>93506</v>
      </c>
      <c r="E29" s="1859">
        <f t="shared" si="20"/>
        <v>19257</v>
      </c>
      <c r="F29" s="1860">
        <f t="shared" si="20"/>
        <v>27401</v>
      </c>
      <c r="G29" s="1860">
        <f t="shared" si="20"/>
        <v>17079</v>
      </c>
      <c r="H29" s="1860">
        <f t="shared" si="20"/>
        <v>24303</v>
      </c>
      <c r="I29" s="1860">
        <f t="shared" si="20"/>
        <v>29378</v>
      </c>
      <c r="J29" s="1860">
        <f t="shared" si="20"/>
        <v>41802</v>
      </c>
      <c r="K29" s="1830">
        <f t="shared" si="20"/>
        <v>2.1103561643835618</v>
      </c>
      <c r="L29" s="31">
        <f t="shared" si="20"/>
        <v>3.0028493150684934</v>
      </c>
      <c r="M29" s="31">
        <f t="shared" si="20"/>
        <v>3.1194520547945204</v>
      </c>
      <c r="N29" s="31">
        <f t="shared" si="20"/>
        <v>4.4389041095890409</v>
      </c>
      <c r="O29" s="1823">
        <f t="shared" si="20"/>
        <v>4.0243835616438357</v>
      </c>
      <c r="P29" s="32">
        <f t="shared" si="20"/>
        <v>5.7263013698630134</v>
      </c>
    </row>
    <row r="30" spans="1:17" ht="15.75" customHeight="1" x14ac:dyDescent="0.2">
      <c r="A30" s="1732">
        <v>2200</v>
      </c>
      <c r="B30" s="19" t="s">
        <v>19</v>
      </c>
      <c r="C30" s="16">
        <f t="shared" ref="C30:D56" si="21">E30+G30+I30</f>
        <v>20756</v>
      </c>
      <c r="D30" s="16">
        <f t="shared" si="21"/>
        <v>29535</v>
      </c>
      <c r="E30" s="1854">
        <f>SUM(E31:E42)</f>
        <v>8757</v>
      </c>
      <c r="F30" s="1855">
        <f t="shared" ref="F30:J30" si="22">SUM(F31:F42)</f>
        <v>12461</v>
      </c>
      <c r="G30" s="1855">
        <f t="shared" si="22"/>
        <v>4931</v>
      </c>
      <c r="H30" s="1855">
        <f t="shared" si="22"/>
        <v>7018</v>
      </c>
      <c r="I30" s="1855">
        <f t="shared" si="22"/>
        <v>7068</v>
      </c>
      <c r="J30" s="1855">
        <f t="shared" si="22"/>
        <v>10056</v>
      </c>
      <c r="K30" s="1831">
        <f t="shared" ref="K30:P30" si="23">E30/E14</f>
        <v>0.9596712328767123</v>
      </c>
      <c r="L30" s="24">
        <f t="shared" si="23"/>
        <v>1.3655890410958904</v>
      </c>
      <c r="M30" s="24">
        <f t="shared" si="23"/>
        <v>0.90063926940639272</v>
      </c>
      <c r="N30" s="24">
        <f t="shared" si="23"/>
        <v>1.2818264840182649</v>
      </c>
      <c r="O30" s="1824">
        <f t="shared" si="23"/>
        <v>0.96821917808219182</v>
      </c>
      <c r="P30" s="25">
        <f t="shared" si="23"/>
        <v>1.3775342465753424</v>
      </c>
    </row>
    <row r="31" spans="1:17" ht="41.25" customHeight="1" x14ac:dyDescent="0.2">
      <c r="A31" s="14">
        <v>2212</v>
      </c>
      <c r="B31" s="15" t="s">
        <v>20</v>
      </c>
      <c r="C31" s="16">
        <f t="shared" si="21"/>
        <v>702</v>
      </c>
      <c r="D31" s="16">
        <f t="shared" si="21"/>
        <v>999</v>
      </c>
      <c r="E31" s="1861">
        <v>245</v>
      </c>
      <c r="F31" s="1857">
        <f>ROUND(E31/$O$9,0)</f>
        <v>349</v>
      </c>
      <c r="G31" s="1857">
        <v>210</v>
      </c>
      <c r="H31" s="1857">
        <f>ROUND(G31/$O$9,0)</f>
        <v>299</v>
      </c>
      <c r="I31" s="1857">
        <v>247</v>
      </c>
      <c r="J31" s="1857">
        <f>ROUND(I31/$O$9,0)</f>
        <v>351</v>
      </c>
      <c r="K31" s="1832">
        <f t="shared" ref="K31:P31" si="24">E31/E14</f>
        <v>2.6849315068493151E-2</v>
      </c>
      <c r="L31" s="29">
        <f t="shared" si="24"/>
        <v>3.8246575342465755E-2</v>
      </c>
      <c r="M31" s="29">
        <f t="shared" si="24"/>
        <v>3.8356164383561646E-2</v>
      </c>
      <c r="N31" s="29">
        <f t="shared" si="24"/>
        <v>5.461187214611872E-2</v>
      </c>
      <c r="O31" s="1825">
        <f t="shared" si="24"/>
        <v>3.3835616438356163E-2</v>
      </c>
      <c r="P31" s="30">
        <f t="shared" si="24"/>
        <v>4.8082191780821917E-2</v>
      </c>
    </row>
    <row r="32" spans="1:17" ht="27" customHeight="1" x14ac:dyDescent="0.2">
      <c r="A32" s="14">
        <v>2214</v>
      </c>
      <c r="B32" s="35" t="s">
        <v>21</v>
      </c>
      <c r="C32" s="16">
        <f t="shared" si="21"/>
        <v>381</v>
      </c>
      <c r="D32" s="16">
        <f t="shared" si="21"/>
        <v>542</v>
      </c>
      <c r="E32" s="1861">
        <v>180</v>
      </c>
      <c r="F32" s="1857">
        <f t="shared" ref="F32:F42" si="25">ROUND(E32/$O$9,0)</f>
        <v>256</v>
      </c>
      <c r="G32" s="1857">
        <v>80</v>
      </c>
      <c r="H32" s="1857">
        <f>ROUND(G32/$O$9,0)</f>
        <v>114</v>
      </c>
      <c r="I32" s="1857">
        <v>121</v>
      </c>
      <c r="J32" s="1857">
        <f t="shared" ref="J32:J42" si="26">ROUND(I32/$O$9,0)</f>
        <v>172</v>
      </c>
      <c r="K32" s="1832">
        <f t="shared" ref="K32:P32" si="27">E32/E14</f>
        <v>1.9726027397260273E-2</v>
      </c>
      <c r="L32" s="29">
        <f t="shared" si="27"/>
        <v>2.8054794520547946E-2</v>
      </c>
      <c r="M32" s="29">
        <f t="shared" si="27"/>
        <v>1.4611872146118721E-2</v>
      </c>
      <c r="N32" s="29">
        <f t="shared" si="27"/>
        <v>2.0821917808219178E-2</v>
      </c>
      <c r="O32" s="1825">
        <f t="shared" si="27"/>
        <v>1.6575342465753425E-2</v>
      </c>
      <c r="P32" s="30">
        <f t="shared" si="27"/>
        <v>2.3561643835616437E-2</v>
      </c>
    </row>
    <row r="33" spans="1:20" ht="15.75" customHeight="1" x14ac:dyDescent="0.2">
      <c r="A33" s="14">
        <v>2222</v>
      </c>
      <c r="B33" s="17" t="s">
        <v>22</v>
      </c>
      <c r="C33" s="16">
        <f t="shared" si="21"/>
        <v>1129</v>
      </c>
      <c r="D33" s="16">
        <f t="shared" si="21"/>
        <v>1606</v>
      </c>
      <c r="E33" s="1861">
        <v>353</v>
      </c>
      <c r="F33" s="1857">
        <f t="shared" si="25"/>
        <v>502</v>
      </c>
      <c r="G33" s="1857">
        <v>398</v>
      </c>
      <c r="H33" s="1857">
        <f>ROUND(G33/$O$9,0)</f>
        <v>566</v>
      </c>
      <c r="I33" s="1857">
        <v>378</v>
      </c>
      <c r="J33" s="1857">
        <f t="shared" si="26"/>
        <v>538</v>
      </c>
      <c r="K33" s="1832">
        <f t="shared" ref="K33:P33" si="28">E33/E14</f>
        <v>3.8684931506849318E-2</v>
      </c>
      <c r="L33" s="29">
        <f t="shared" si="28"/>
        <v>5.5013698630136984E-2</v>
      </c>
      <c r="M33" s="29">
        <f t="shared" si="28"/>
        <v>7.2694063926940639E-2</v>
      </c>
      <c r="N33" s="29">
        <f t="shared" si="28"/>
        <v>0.10337899543378995</v>
      </c>
      <c r="O33" s="1825">
        <f t="shared" si="28"/>
        <v>5.1780821917808216E-2</v>
      </c>
      <c r="P33" s="30">
        <f t="shared" si="28"/>
        <v>7.3698630136986298E-2</v>
      </c>
      <c r="Q33" s="26"/>
      <c r="R33" s="26"/>
      <c r="S33" s="26"/>
      <c r="T33" s="26"/>
    </row>
    <row r="34" spans="1:20" ht="15.75" customHeight="1" x14ac:dyDescent="0.2">
      <c r="A34" s="14">
        <v>2223</v>
      </c>
      <c r="B34" s="17" t="s">
        <v>23</v>
      </c>
      <c r="C34" s="16">
        <f t="shared" si="21"/>
        <v>3510</v>
      </c>
      <c r="D34" s="16">
        <f t="shared" si="21"/>
        <v>4994</v>
      </c>
      <c r="E34" s="1861">
        <v>700</v>
      </c>
      <c r="F34" s="1857">
        <f t="shared" si="25"/>
        <v>996</v>
      </c>
      <c r="G34" s="1857">
        <v>1282</v>
      </c>
      <c r="H34" s="1857">
        <f>ROUND(G34/$O$9,0)</f>
        <v>1824</v>
      </c>
      <c r="I34" s="1857">
        <v>1528</v>
      </c>
      <c r="J34" s="1857">
        <f t="shared" si="26"/>
        <v>2174</v>
      </c>
      <c r="K34" s="1832">
        <f t="shared" ref="K34:P34" si="29">E34/E14</f>
        <v>7.6712328767123292E-2</v>
      </c>
      <c r="L34" s="29">
        <f t="shared" si="29"/>
        <v>0.10915068493150686</v>
      </c>
      <c r="M34" s="29">
        <f t="shared" si="29"/>
        <v>0.2341552511415525</v>
      </c>
      <c r="N34" s="29">
        <f t="shared" si="29"/>
        <v>0.33315068493150685</v>
      </c>
      <c r="O34" s="1825">
        <f t="shared" si="29"/>
        <v>0.20931506849315068</v>
      </c>
      <c r="P34" s="30">
        <f t="shared" si="29"/>
        <v>0.2978082191780822</v>
      </c>
      <c r="Q34" s="26"/>
      <c r="R34" s="26"/>
      <c r="S34" s="26"/>
      <c r="T34" s="26"/>
    </row>
    <row r="35" spans="1:20" ht="15.75" customHeight="1" x14ac:dyDescent="0.2">
      <c r="A35" s="14">
        <v>2224</v>
      </c>
      <c r="B35" s="35" t="s">
        <v>24</v>
      </c>
      <c r="C35" s="16">
        <f t="shared" si="21"/>
        <v>366</v>
      </c>
      <c r="D35" s="16">
        <f t="shared" si="21"/>
        <v>522</v>
      </c>
      <c r="E35" s="1861">
        <v>80</v>
      </c>
      <c r="F35" s="1857">
        <f t="shared" si="25"/>
        <v>114</v>
      </c>
      <c r="G35" s="1857">
        <v>135</v>
      </c>
      <c r="H35" s="1857">
        <f>ROUNDUP(G35/$O$9,0)</f>
        <v>193</v>
      </c>
      <c r="I35" s="1857">
        <v>151</v>
      </c>
      <c r="J35" s="1857">
        <f t="shared" si="26"/>
        <v>215</v>
      </c>
      <c r="K35" s="1832">
        <f t="shared" ref="K35:P35" si="30">E35/E14</f>
        <v>8.7671232876712323E-3</v>
      </c>
      <c r="L35" s="29">
        <f t="shared" si="30"/>
        <v>1.2493150684931507E-2</v>
      </c>
      <c r="M35" s="29">
        <f t="shared" si="30"/>
        <v>2.4657534246575342E-2</v>
      </c>
      <c r="N35" s="29">
        <f t="shared" si="30"/>
        <v>3.5251141552511418E-2</v>
      </c>
      <c r="O35" s="1825">
        <f t="shared" si="30"/>
        <v>2.0684931506849316E-2</v>
      </c>
      <c r="P35" s="30">
        <f t="shared" si="30"/>
        <v>2.9452054794520548E-2</v>
      </c>
      <c r="Q35" s="26"/>
      <c r="R35" s="26"/>
      <c r="S35" s="26"/>
      <c r="T35" s="26"/>
    </row>
    <row r="36" spans="1:20" ht="25.5" customHeight="1" x14ac:dyDescent="0.2">
      <c r="A36" s="14">
        <v>2232</v>
      </c>
      <c r="B36" s="35" t="s">
        <v>25</v>
      </c>
      <c r="C36" s="16">
        <f t="shared" si="21"/>
        <v>605</v>
      </c>
      <c r="D36" s="16">
        <f t="shared" si="21"/>
        <v>861</v>
      </c>
      <c r="E36" s="1861">
        <v>0</v>
      </c>
      <c r="F36" s="1857">
        <f t="shared" si="25"/>
        <v>0</v>
      </c>
      <c r="G36" s="1857">
        <v>305</v>
      </c>
      <c r="H36" s="1857">
        <f>ROUND(G36/$O$9,0)</f>
        <v>434</v>
      </c>
      <c r="I36" s="1857">
        <v>300</v>
      </c>
      <c r="J36" s="1857">
        <f t="shared" si="26"/>
        <v>427</v>
      </c>
      <c r="K36" s="1832">
        <f t="shared" ref="K36:P36" si="31">E36/E14</f>
        <v>0</v>
      </c>
      <c r="L36" s="29">
        <f t="shared" si="31"/>
        <v>0</v>
      </c>
      <c r="M36" s="29">
        <f t="shared" si="31"/>
        <v>5.5707762557077628E-2</v>
      </c>
      <c r="N36" s="29">
        <f t="shared" si="31"/>
        <v>7.9269406392694058E-2</v>
      </c>
      <c r="O36" s="1825">
        <f t="shared" si="31"/>
        <v>4.1095890410958902E-2</v>
      </c>
      <c r="P36" s="30">
        <f t="shared" si="31"/>
        <v>5.8493150684931508E-2</v>
      </c>
      <c r="Q36" s="26"/>
      <c r="R36" s="26"/>
      <c r="S36" s="26"/>
      <c r="T36" s="26"/>
    </row>
    <row r="37" spans="1:20" ht="15.75" customHeight="1" x14ac:dyDescent="0.2">
      <c r="A37" s="14">
        <v>2235</v>
      </c>
      <c r="B37" s="35" t="s">
        <v>26</v>
      </c>
      <c r="C37" s="16">
        <f t="shared" si="21"/>
        <v>145</v>
      </c>
      <c r="D37" s="16">
        <f t="shared" si="21"/>
        <v>206</v>
      </c>
      <c r="E37" s="1861">
        <v>0</v>
      </c>
      <c r="F37" s="1857">
        <f t="shared" si="25"/>
        <v>0</v>
      </c>
      <c r="G37" s="1857">
        <v>45</v>
      </c>
      <c r="H37" s="1857">
        <f>ROUND(G37/$O$9,0)</f>
        <v>64</v>
      </c>
      <c r="I37" s="1857">
        <v>100</v>
      </c>
      <c r="J37" s="1857">
        <f t="shared" si="26"/>
        <v>142</v>
      </c>
      <c r="K37" s="1832">
        <f t="shared" ref="K37:P37" si="32">E37/E14</f>
        <v>0</v>
      </c>
      <c r="L37" s="29">
        <f t="shared" si="32"/>
        <v>0</v>
      </c>
      <c r="M37" s="29">
        <f t="shared" si="32"/>
        <v>8.21917808219178E-3</v>
      </c>
      <c r="N37" s="29">
        <f t="shared" si="32"/>
        <v>1.1689497716894977E-2</v>
      </c>
      <c r="O37" s="1825">
        <f t="shared" si="32"/>
        <v>1.3698630136986301E-2</v>
      </c>
      <c r="P37" s="30">
        <f t="shared" si="32"/>
        <v>1.9452054794520546E-2</v>
      </c>
      <c r="Q37" s="26"/>
      <c r="R37" s="26"/>
      <c r="S37" s="26"/>
      <c r="T37" s="26"/>
    </row>
    <row r="38" spans="1:20" ht="15.75" customHeight="1" x14ac:dyDescent="0.2">
      <c r="A38" s="14">
        <v>2239</v>
      </c>
      <c r="B38" s="35" t="s">
        <v>27</v>
      </c>
      <c r="C38" s="16">
        <f t="shared" si="21"/>
        <v>7110</v>
      </c>
      <c r="D38" s="16">
        <f t="shared" si="21"/>
        <v>10117</v>
      </c>
      <c r="E38" s="1861">
        <v>3211</v>
      </c>
      <c r="F38" s="1857">
        <f t="shared" si="25"/>
        <v>4569</v>
      </c>
      <c r="G38" s="1857">
        <v>1302</v>
      </c>
      <c r="H38" s="1857">
        <f>ROUNDUP(G38/$O$9,0)</f>
        <v>1853</v>
      </c>
      <c r="I38" s="1857">
        <v>2597</v>
      </c>
      <c r="J38" s="1857">
        <f t="shared" si="26"/>
        <v>3695</v>
      </c>
      <c r="K38" s="1832">
        <f t="shared" ref="K38:P38" si="33">E38/E14</f>
        <v>0.35189041095890411</v>
      </c>
      <c r="L38" s="29">
        <f t="shared" si="33"/>
        <v>0.50071232876712324</v>
      </c>
      <c r="M38" s="29">
        <f t="shared" si="33"/>
        <v>0.2378082191780822</v>
      </c>
      <c r="N38" s="29">
        <f t="shared" si="33"/>
        <v>0.33844748858447488</v>
      </c>
      <c r="O38" s="1825">
        <f t="shared" si="33"/>
        <v>0.35575342465753423</v>
      </c>
      <c r="P38" s="30">
        <f t="shared" si="33"/>
        <v>0.50616438356164384</v>
      </c>
      <c r="Q38" s="26"/>
      <c r="R38" s="26"/>
      <c r="S38" s="26"/>
      <c r="T38" s="26"/>
    </row>
    <row r="39" spans="1:20" ht="15.75" customHeight="1" x14ac:dyDescent="0.2">
      <c r="A39" s="14">
        <v>2242</v>
      </c>
      <c r="B39" s="35" t="s">
        <v>28</v>
      </c>
      <c r="C39" s="16">
        <f t="shared" si="21"/>
        <v>404</v>
      </c>
      <c r="D39" s="16">
        <f t="shared" si="21"/>
        <v>575</v>
      </c>
      <c r="E39" s="1861">
        <v>134</v>
      </c>
      <c r="F39" s="1857">
        <f t="shared" si="25"/>
        <v>191</v>
      </c>
      <c r="G39" s="1857">
        <v>0</v>
      </c>
      <c r="H39" s="1857">
        <f>ROUND(G39/$O$9,0)</f>
        <v>0</v>
      </c>
      <c r="I39" s="1857">
        <v>270</v>
      </c>
      <c r="J39" s="1857">
        <f t="shared" si="26"/>
        <v>384</v>
      </c>
      <c r="K39" s="1832">
        <f t="shared" ref="K39:P39" si="34">E39/E14</f>
        <v>1.4684931506849314E-2</v>
      </c>
      <c r="L39" s="29">
        <f t="shared" si="34"/>
        <v>2.0931506849315069E-2</v>
      </c>
      <c r="M39" s="29">
        <f t="shared" si="34"/>
        <v>0</v>
      </c>
      <c r="N39" s="29">
        <f t="shared" si="34"/>
        <v>0</v>
      </c>
      <c r="O39" s="1825">
        <f t="shared" si="34"/>
        <v>3.6986301369863014E-2</v>
      </c>
      <c r="P39" s="30">
        <f t="shared" si="34"/>
        <v>5.26027397260274E-2</v>
      </c>
      <c r="Q39" s="26"/>
      <c r="R39" s="26"/>
      <c r="S39" s="26"/>
      <c r="T39" s="26"/>
    </row>
    <row r="40" spans="1:20" ht="15.75" customHeight="1" x14ac:dyDescent="0.2">
      <c r="A40" s="14">
        <v>2244</v>
      </c>
      <c r="B40" s="35" t="s">
        <v>29</v>
      </c>
      <c r="C40" s="16">
        <f t="shared" si="21"/>
        <v>3248</v>
      </c>
      <c r="D40" s="16">
        <f t="shared" si="21"/>
        <v>4622</v>
      </c>
      <c r="E40" s="1861">
        <v>2535</v>
      </c>
      <c r="F40" s="1857">
        <f t="shared" si="25"/>
        <v>3607</v>
      </c>
      <c r="G40" s="1857">
        <v>386</v>
      </c>
      <c r="H40" s="1857">
        <f>ROUNDUP(G40/$O$9,0)</f>
        <v>550</v>
      </c>
      <c r="I40" s="1857">
        <v>327</v>
      </c>
      <c r="J40" s="1857">
        <f t="shared" si="26"/>
        <v>465</v>
      </c>
      <c r="K40" s="1832">
        <f t="shared" ref="K40:P40" si="35">E40/E14</f>
        <v>0.27780821917808218</v>
      </c>
      <c r="L40" s="29">
        <f t="shared" si="35"/>
        <v>0.39528767123287673</v>
      </c>
      <c r="M40" s="29">
        <f t="shared" si="35"/>
        <v>7.0502283105022837E-2</v>
      </c>
      <c r="N40" s="29">
        <f t="shared" si="35"/>
        <v>0.1004566210045662</v>
      </c>
      <c r="O40" s="1825">
        <f t="shared" si="35"/>
        <v>4.4794520547945207E-2</v>
      </c>
      <c r="P40" s="30">
        <f t="shared" si="35"/>
        <v>6.3698630136986303E-2</v>
      </c>
      <c r="Q40" s="26"/>
      <c r="R40" s="26"/>
      <c r="S40" s="26"/>
      <c r="T40" s="26"/>
    </row>
    <row r="41" spans="1:20" ht="30" customHeight="1" x14ac:dyDescent="0.2">
      <c r="A41" s="14">
        <v>2249</v>
      </c>
      <c r="B41" s="35" t="s">
        <v>30</v>
      </c>
      <c r="C41" s="16">
        <f t="shared" si="21"/>
        <v>2630</v>
      </c>
      <c r="D41" s="16">
        <f t="shared" si="21"/>
        <v>3742</v>
      </c>
      <c r="E41" s="1861">
        <v>1100</v>
      </c>
      <c r="F41" s="1857">
        <f t="shared" si="25"/>
        <v>1565</v>
      </c>
      <c r="G41" s="1857">
        <v>656</v>
      </c>
      <c r="H41" s="1857">
        <f>ROUND(G41/$O$9,0)</f>
        <v>933</v>
      </c>
      <c r="I41" s="1857">
        <v>874</v>
      </c>
      <c r="J41" s="1857">
        <f t="shared" si="26"/>
        <v>1244</v>
      </c>
      <c r="K41" s="1832">
        <f t="shared" ref="K41:P41" si="36">E41/E14</f>
        <v>0.12054794520547946</v>
      </c>
      <c r="L41" s="29">
        <f t="shared" si="36"/>
        <v>0.17150684931506849</v>
      </c>
      <c r="M41" s="29">
        <f t="shared" si="36"/>
        <v>0.11981735159817351</v>
      </c>
      <c r="N41" s="29">
        <f t="shared" si="36"/>
        <v>0.17041095890410959</v>
      </c>
      <c r="O41" s="1825">
        <f t="shared" si="36"/>
        <v>0.11972602739726028</v>
      </c>
      <c r="P41" s="30">
        <f t="shared" si="36"/>
        <v>0.17041095890410959</v>
      </c>
      <c r="Q41" s="26"/>
      <c r="R41" s="26"/>
      <c r="S41" s="26"/>
      <c r="T41" s="26"/>
    </row>
    <row r="42" spans="1:20" ht="30" customHeight="1" x14ac:dyDescent="0.2">
      <c r="A42" s="14">
        <v>2251</v>
      </c>
      <c r="B42" s="35" t="s">
        <v>31</v>
      </c>
      <c r="C42" s="16">
        <f t="shared" si="21"/>
        <v>526</v>
      </c>
      <c r="D42" s="16">
        <f t="shared" si="21"/>
        <v>749</v>
      </c>
      <c r="E42" s="1861">
        <v>219</v>
      </c>
      <c r="F42" s="1857">
        <f t="shared" si="25"/>
        <v>312</v>
      </c>
      <c r="G42" s="1857">
        <v>132</v>
      </c>
      <c r="H42" s="1857">
        <f>ROUNDUP(G42/$O$9,0)</f>
        <v>188</v>
      </c>
      <c r="I42" s="1857">
        <v>175</v>
      </c>
      <c r="J42" s="1857">
        <f t="shared" si="26"/>
        <v>249</v>
      </c>
      <c r="K42" s="1832">
        <f t="shared" ref="K42:P42" si="37">E42/E14</f>
        <v>2.4E-2</v>
      </c>
      <c r="L42" s="29">
        <f t="shared" si="37"/>
        <v>3.419178082191781E-2</v>
      </c>
      <c r="M42" s="29">
        <f t="shared" si="37"/>
        <v>2.4109589041095891E-2</v>
      </c>
      <c r="N42" s="29">
        <f t="shared" si="37"/>
        <v>3.4337899543378993E-2</v>
      </c>
      <c r="O42" s="1825">
        <f t="shared" si="37"/>
        <v>2.3972602739726026E-2</v>
      </c>
      <c r="P42" s="30">
        <f t="shared" si="37"/>
        <v>3.4109589041095893E-2</v>
      </c>
      <c r="Q42" s="26"/>
      <c r="R42" s="26"/>
      <c r="S42" s="26"/>
      <c r="T42" s="26"/>
    </row>
    <row r="43" spans="1:20" ht="26.25" customHeight="1" x14ac:dyDescent="0.2">
      <c r="A43" s="1732">
        <v>2300</v>
      </c>
      <c r="B43" s="1733" t="s">
        <v>32</v>
      </c>
      <c r="C43" s="16">
        <f t="shared" si="21"/>
        <v>44753</v>
      </c>
      <c r="D43" s="16">
        <f t="shared" si="21"/>
        <v>63679</v>
      </c>
      <c r="E43" s="1854">
        <f>SUM(E44:E53)</f>
        <v>10380</v>
      </c>
      <c r="F43" s="1855">
        <f t="shared" ref="F43:J43" si="38">SUM(F44:F53)</f>
        <v>14769</v>
      </c>
      <c r="G43" s="1855">
        <f t="shared" si="38"/>
        <v>12103</v>
      </c>
      <c r="H43" s="1855">
        <f t="shared" si="38"/>
        <v>17221</v>
      </c>
      <c r="I43" s="1855">
        <f t="shared" si="38"/>
        <v>22270</v>
      </c>
      <c r="J43" s="1855">
        <f t="shared" si="38"/>
        <v>31689</v>
      </c>
      <c r="K43" s="1831">
        <f t="shared" ref="K43:P43" si="39">E43/E14</f>
        <v>1.1375342465753424</v>
      </c>
      <c r="L43" s="24">
        <f t="shared" si="39"/>
        <v>1.6185205479452054</v>
      </c>
      <c r="M43" s="24">
        <f t="shared" si="39"/>
        <v>2.210593607305936</v>
      </c>
      <c r="N43" s="24">
        <f t="shared" si="39"/>
        <v>3.1453881278538813</v>
      </c>
      <c r="O43" s="1824">
        <f t="shared" si="39"/>
        <v>3.0506849315068494</v>
      </c>
      <c r="P43" s="25">
        <f t="shared" si="39"/>
        <v>4.3409589041095886</v>
      </c>
      <c r="Q43" s="26"/>
      <c r="R43" s="26"/>
      <c r="S43" s="26"/>
      <c r="T43" s="26"/>
    </row>
    <row r="44" spans="1:20" ht="15.75" customHeight="1" x14ac:dyDescent="0.2">
      <c r="A44" s="14">
        <v>2321</v>
      </c>
      <c r="B44" s="35" t="s">
        <v>33</v>
      </c>
      <c r="C44" s="28">
        <f t="shared" si="21"/>
        <v>2964</v>
      </c>
      <c r="D44" s="28">
        <f t="shared" si="21"/>
        <v>4217</v>
      </c>
      <c r="E44" s="1861">
        <v>780</v>
      </c>
      <c r="F44" s="1857">
        <f>ROUND(E44/$O$9,0)</f>
        <v>1110</v>
      </c>
      <c r="G44" s="1857">
        <v>890</v>
      </c>
      <c r="H44" s="1857">
        <f t="shared" ref="H44:H49" si="40">ROUND(G44/$O$9,0)</f>
        <v>1266</v>
      </c>
      <c r="I44" s="1857">
        <v>1294</v>
      </c>
      <c r="J44" s="1857">
        <f>ROUND(I44/$O$9,0)</f>
        <v>1841</v>
      </c>
      <c r="K44" s="1832">
        <f t="shared" ref="K44:P44" si="41">E44/E14</f>
        <v>8.5479452054794527E-2</v>
      </c>
      <c r="L44" s="29">
        <f t="shared" si="41"/>
        <v>0.12164383561643835</v>
      </c>
      <c r="M44" s="29">
        <f t="shared" si="41"/>
        <v>0.16255707762557078</v>
      </c>
      <c r="N44" s="29">
        <f t="shared" si="41"/>
        <v>0.23123287671232876</v>
      </c>
      <c r="O44" s="1825">
        <f t="shared" si="41"/>
        <v>0.17726027397260274</v>
      </c>
      <c r="P44" s="30">
        <f t="shared" si="41"/>
        <v>0.25219178082191779</v>
      </c>
      <c r="Q44" s="26"/>
      <c r="R44" s="26"/>
      <c r="S44" s="26"/>
      <c r="T44" s="26"/>
    </row>
    <row r="45" spans="1:20" ht="15.75" customHeight="1" x14ac:dyDescent="0.2">
      <c r="A45" s="14">
        <v>2322</v>
      </c>
      <c r="B45" s="35" t="s">
        <v>34</v>
      </c>
      <c r="C45" s="28">
        <f t="shared" si="21"/>
        <v>1140</v>
      </c>
      <c r="D45" s="28">
        <f t="shared" si="21"/>
        <v>1622</v>
      </c>
      <c r="E45" s="1861">
        <v>400</v>
      </c>
      <c r="F45" s="1857">
        <f t="shared" ref="F45:F50" si="42">ROUND(E45/$O$9,0)</f>
        <v>569</v>
      </c>
      <c r="G45" s="1857">
        <v>360</v>
      </c>
      <c r="H45" s="1857">
        <f t="shared" si="40"/>
        <v>512</v>
      </c>
      <c r="I45" s="1857">
        <v>380</v>
      </c>
      <c r="J45" s="1857">
        <f t="shared" ref="J45:J51" si="43">ROUND(I45/$O$9,0)</f>
        <v>541</v>
      </c>
      <c r="K45" s="1832">
        <f t="shared" ref="K45:P45" si="44">E45/E14</f>
        <v>4.3835616438356165E-2</v>
      </c>
      <c r="L45" s="29">
        <f t="shared" si="44"/>
        <v>6.2356164383561646E-2</v>
      </c>
      <c r="M45" s="29">
        <f t="shared" si="44"/>
        <v>6.575342465753424E-2</v>
      </c>
      <c r="N45" s="29">
        <f t="shared" si="44"/>
        <v>9.351598173515982E-2</v>
      </c>
      <c r="O45" s="1825">
        <f t="shared" si="44"/>
        <v>5.2054794520547946E-2</v>
      </c>
      <c r="P45" s="30">
        <f t="shared" si="44"/>
        <v>7.4109589041095894E-2</v>
      </c>
      <c r="Q45" s="26"/>
      <c r="R45" s="26"/>
      <c r="S45" s="26"/>
      <c r="T45" s="26"/>
    </row>
    <row r="46" spans="1:20" ht="15.75" customHeight="1" x14ac:dyDescent="0.2">
      <c r="A46" s="14">
        <v>2341</v>
      </c>
      <c r="B46" s="17" t="s">
        <v>35</v>
      </c>
      <c r="C46" s="28">
        <f t="shared" si="21"/>
        <v>7600</v>
      </c>
      <c r="D46" s="28">
        <f t="shared" si="21"/>
        <v>10814</v>
      </c>
      <c r="E46" s="1861">
        <v>1873</v>
      </c>
      <c r="F46" s="1857">
        <f t="shared" si="42"/>
        <v>2665</v>
      </c>
      <c r="G46" s="1857">
        <v>1785</v>
      </c>
      <c r="H46" s="1857">
        <f t="shared" si="40"/>
        <v>2540</v>
      </c>
      <c r="I46" s="1857">
        <v>3942</v>
      </c>
      <c r="J46" s="1857">
        <f t="shared" si="43"/>
        <v>5609</v>
      </c>
      <c r="K46" s="1832">
        <f t="shared" ref="K46:P46" si="45">E46/E14</f>
        <v>0.20526027397260274</v>
      </c>
      <c r="L46" s="29">
        <f t="shared" si="45"/>
        <v>0.29205479452054794</v>
      </c>
      <c r="M46" s="29">
        <f t="shared" si="45"/>
        <v>0.32602739726027397</v>
      </c>
      <c r="N46" s="29">
        <f t="shared" si="45"/>
        <v>0.46392694063926943</v>
      </c>
      <c r="O46" s="1825">
        <f t="shared" si="45"/>
        <v>0.54</v>
      </c>
      <c r="P46" s="30">
        <f t="shared" si="45"/>
        <v>0.76835616438356169</v>
      </c>
      <c r="Q46" s="26"/>
      <c r="R46" s="26"/>
      <c r="S46" s="26"/>
      <c r="T46" s="26"/>
    </row>
    <row r="47" spans="1:20" ht="15.75" customHeight="1" x14ac:dyDescent="0.2">
      <c r="A47" s="14">
        <v>2351</v>
      </c>
      <c r="B47" s="17" t="s">
        <v>36</v>
      </c>
      <c r="C47" s="28">
        <f t="shared" si="21"/>
        <v>281</v>
      </c>
      <c r="D47" s="28">
        <f t="shared" si="21"/>
        <v>400</v>
      </c>
      <c r="E47" s="1861"/>
      <c r="F47" s="1857">
        <f t="shared" si="42"/>
        <v>0</v>
      </c>
      <c r="G47" s="1857"/>
      <c r="H47" s="1857">
        <f t="shared" si="40"/>
        <v>0</v>
      </c>
      <c r="I47" s="1857">
        <v>281</v>
      </c>
      <c r="J47" s="1857">
        <f t="shared" si="43"/>
        <v>400</v>
      </c>
      <c r="K47" s="1832">
        <f t="shared" ref="K47:P47" si="46">E47/E14</f>
        <v>0</v>
      </c>
      <c r="L47" s="29">
        <f t="shared" si="46"/>
        <v>0</v>
      </c>
      <c r="M47" s="29">
        <f t="shared" si="46"/>
        <v>0</v>
      </c>
      <c r="N47" s="29">
        <f t="shared" si="46"/>
        <v>0</v>
      </c>
      <c r="O47" s="1825">
        <f t="shared" si="46"/>
        <v>3.8493150684931504E-2</v>
      </c>
      <c r="P47" s="30">
        <f t="shared" si="46"/>
        <v>5.4794520547945202E-2</v>
      </c>
    </row>
    <row r="48" spans="1:20" ht="15.75" customHeight="1" x14ac:dyDescent="0.2">
      <c r="A48" s="14">
        <v>2352</v>
      </c>
      <c r="B48" s="17" t="s">
        <v>37</v>
      </c>
      <c r="C48" s="28">
        <f t="shared" si="21"/>
        <v>1800</v>
      </c>
      <c r="D48" s="28">
        <f t="shared" si="21"/>
        <v>2561</v>
      </c>
      <c r="E48" s="1861">
        <v>748</v>
      </c>
      <c r="F48" s="1857">
        <f t="shared" si="42"/>
        <v>1064</v>
      </c>
      <c r="G48" s="1857">
        <v>440</v>
      </c>
      <c r="H48" s="1857">
        <f t="shared" si="40"/>
        <v>626</v>
      </c>
      <c r="I48" s="1857">
        <v>612</v>
      </c>
      <c r="J48" s="1857">
        <f t="shared" si="43"/>
        <v>871</v>
      </c>
      <c r="K48" s="1832">
        <f t="shared" ref="K48:P48" si="47">E48/E14</f>
        <v>8.1972602739726022E-2</v>
      </c>
      <c r="L48" s="29">
        <f t="shared" si="47"/>
        <v>0.1166027397260274</v>
      </c>
      <c r="M48" s="29">
        <f t="shared" si="47"/>
        <v>8.0365296803652966E-2</v>
      </c>
      <c r="N48" s="29">
        <f t="shared" si="47"/>
        <v>0.114337899543379</v>
      </c>
      <c r="O48" s="1825">
        <f t="shared" si="47"/>
        <v>8.3835616438356159E-2</v>
      </c>
      <c r="P48" s="30">
        <f t="shared" si="47"/>
        <v>0.11931506849315068</v>
      </c>
    </row>
    <row r="49" spans="1:16" ht="15.75" customHeight="1" x14ac:dyDescent="0.2">
      <c r="A49" s="14">
        <v>2355</v>
      </c>
      <c r="B49" s="35" t="s">
        <v>38</v>
      </c>
      <c r="C49" s="28">
        <f t="shared" si="21"/>
        <v>239</v>
      </c>
      <c r="D49" s="28">
        <f t="shared" si="21"/>
        <v>340</v>
      </c>
      <c r="E49" s="1861">
        <v>59</v>
      </c>
      <c r="F49" s="1857">
        <f t="shared" si="42"/>
        <v>84</v>
      </c>
      <c r="G49" s="1857">
        <v>90</v>
      </c>
      <c r="H49" s="1857">
        <f t="shared" si="40"/>
        <v>128</v>
      </c>
      <c r="I49" s="1857">
        <v>90</v>
      </c>
      <c r="J49" s="1857">
        <f t="shared" si="43"/>
        <v>128</v>
      </c>
      <c r="K49" s="1832">
        <f t="shared" ref="K49:P49" si="48">E49/E14</f>
        <v>6.4657534246575343E-3</v>
      </c>
      <c r="L49" s="29">
        <f t="shared" si="48"/>
        <v>9.2054794520547937E-3</v>
      </c>
      <c r="M49" s="29">
        <f t="shared" si="48"/>
        <v>1.643835616438356E-2</v>
      </c>
      <c r="N49" s="29">
        <f t="shared" si="48"/>
        <v>2.3378995433789955E-2</v>
      </c>
      <c r="O49" s="1825">
        <f t="shared" si="48"/>
        <v>1.2328767123287671E-2</v>
      </c>
      <c r="P49" s="30">
        <f t="shared" si="48"/>
        <v>1.7534246575342465E-2</v>
      </c>
    </row>
    <row r="50" spans="1:16" ht="15.75" customHeight="1" x14ac:dyDescent="0.2">
      <c r="A50" s="14">
        <v>2361</v>
      </c>
      <c r="B50" s="17" t="s">
        <v>39</v>
      </c>
      <c r="C50" s="28">
        <f t="shared" si="21"/>
        <v>1580</v>
      </c>
      <c r="D50" s="28">
        <f t="shared" si="21"/>
        <v>2248</v>
      </c>
      <c r="E50" s="1861">
        <v>474</v>
      </c>
      <c r="F50" s="1857">
        <f t="shared" si="42"/>
        <v>674</v>
      </c>
      <c r="G50" s="1857">
        <v>325</v>
      </c>
      <c r="H50" s="1857">
        <f>ROUNDUP(G50/$O$9,0)</f>
        <v>463</v>
      </c>
      <c r="I50" s="1857">
        <v>781</v>
      </c>
      <c r="J50" s="1857">
        <f t="shared" si="43"/>
        <v>1111</v>
      </c>
      <c r="K50" s="1832">
        <f t="shared" ref="K50:P50" si="49">E50/E14</f>
        <v>5.1945205479452056E-2</v>
      </c>
      <c r="L50" s="29">
        <f t="shared" si="49"/>
        <v>7.3863013698630131E-2</v>
      </c>
      <c r="M50" s="29">
        <f t="shared" si="49"/>
        <v>5.9360730593607303E-2</v>
      </c>
      <c r="N50" s="29">
        <f t="shared" si="49"/>
        <v>8.4566210045662102E-2</v>
      </c>
      <c r="O50" s="1825">
        <f t="shared" si="49"/>
        <v>0.10698630136986301</v>
      </c>
      <c r="P50" s="30">
        <f t="shared" si="49"/>
        <v>0.15219178082191781</v>
      </c>
    </row>
    <row r="51" spans="1:16" ht="15.75" customHeight="1" x14ac:dyDescent="0.2">
      <c r="A51" s="14">
        <v>2362</v>
      </c>
      <c r="B51" s="17" t="s">
        <v>40</v>
      </c>
      <c r="C51" s="28">
        <f t="shared" si="21"/>
        <v>1750</v>
      </c>
      <c r="D51" s="28">
        <f t="shared" si="21"/>
        <v>2490</v>
      </c>
      <c r="E51" s="1861">
        <v>0</v>
      </c>
      <c r="F51" s="1857">
        <f>ROUNDUP(E51/$O$9,0)</f>
        <v>0</v>
      </c>
      <c r="G51" s="1857"/>
      <c r="H51" s="1857">
        <f>ROUND(G51/$O$9,0)</f>
        <v>0</v>
      </c>
      <c r="I51" s="1857">
        <v>1750</v>
      </c>
      <c r="J51" s="1857">
        <f t="shared" si="43"/>
        <v>2490</v>
      </c>
      <c r="K51" s="1832">
        <f t="shared" ref="K51:P51" si="50">E51/E14</f>
        <v>0</v>
      </c>
      <c r="L51" s="29">
        <f t="shared" si="50"/>
        <v>0</v>
      </c>
      <c r="M51" s="29">
        <f t="shared" si="50"/>
        <v>0</v>
      </c>
      <c r="N51" s="29">
        <f t="shared" si="50"/>
        <v>0</v>
      </c>
      <c r="O51" s="1825">
        <f t="shared" si="50"/>
        <v>0.23972602739726026</v>
      </c>
      <c r="P51" s="30">
        <f t="shared" si="50"/>
        <v>0.34109589041095889</v>
      </c>
    </row>
    <row r="52" spans="1:16" ht="15.75" customHeight="1" x14ac:dyDescent="0.2">
      <c r="A52" s="14">
        <v>2363</v>
      </c>
      <c r="B52" s="17" t="s">
        <v>41</v>
      </c>
      <c r="C52" s="28">
        <f t="shared" si="21"/>
        <v>22471</v>
      </c>
      <c r="D52" s="28">
        <f t="shared" si="21"/>
        <v>31974</v>
      </c>
      <c r="E52" s="1861">
        <v>3308</v>
      </c>
      <c r="F52" s="1857">
        <f>ROUNDUP(E52/$O$9,0)</f>
        <v>4707</v>
      </c>
      <c r="G52" s="1857">
        <v>8213</v>
      </c>
      <c r="H52" s="1857">
        <f>ROUND(G52/$O$9,0)</f>
        <v>11686</v>
      </c>
      <c r="I52" s="1857">
        <v>10950</v>
      </c>
      <c r="J52" s="1857">
        <f>ROUNDUP(I52/$O$9,0)</f>
        <v>15581</v>
      </c>
      <c r="K52" s="1832">
        <f t="shared" ref="K52:P52" si="51">E52/E14</f>
        <v>0.3625205479452055</v>
      </c>
      <c r="L52" s="29">
        <f t="shared" si="51"/>
        <v>0.51583561643835618</v>
      </c>
      <c r="M52" s="29">
        <f t="shared" si="51"/>
        <v>1.5000913242009133</v>
      </c>
      <c r="N52" s="29">
        <f t="shared" si="51"/>
        <v>2.1344292237442923</v>
      </c>
      <c r="O52" s="1825">
        <f t="shared" si="51"/>
        <v>1.5</v>
      </c>
      <c r="P52" s="30">
        <f t="shared" si="51"/>
        <v>2.1343835616438356</v>
      </c>
    </row>
    <row r="53" spans="1:16" ht="45" customHeight="1" x14ac:dyDescent="0.2">
      <c r="A53" s="14">
        <v>2369</v>
      </c>
      <c r="B53" s="35" t="s">
        <v>42</v>
      </c>
      <c r="C53" s="28">
        <f t="shared" si="21"/>
        <v>4928</v>
      </c>
      <c r="D53" s="28">
        <f t="shared" si="21"/>
        <v>7013</v>
      </c>
      <c r="E53" s="1861">
        <v>2738</v>
      </c>
      <c r="F53" s="1857">
        <f>ROUNDUP(E53/$O$9,0)</f>
        <v>3896</v>
      </c>
      <c r="G53" s="1857"/>
      <c r="H53" s="1857">
        <f>ROUND(G53/$O$9,0)</f>
        <v>0</v>
      </c>
      <c r="I53" s="1857">
        <v>2190</v>
      </c>
      <c r="J53" s="1857">
        <f>ROUNDUP(I53/$O$9,0)</f>
        <v>3117</v>
      </c>
      <c r="K53" s="1832">
        <f t="shared" ref="K53:P53" si="52">E53/E14</f>
        <v>0.30005479452054795</v>
      </c>
      <c r="L53" s="29">
        <f t="shared" si="52"/>
        <v>0.42695890410958903</v>
      </c>
      <c r="M53" s="29">
        <f t="shared" si="52"/>
        <v>0</v>
      </c>
      <c r="N53" s="29">
        <f t="shared" si="52"/>
        <v>0</v>
      </c>
      <c r="O53" s="1825">
        <f t="shared" si="52"/>
        <v>0.3</v>
      </c>
      <c r="P53" s="30">
        <f t="shared" si="52"/>
        <v>0.42698630136986299</v>
      </c>
    </row>
    <row r="54" spans="1:16" ht="15.75" customHeight="1" x14ac:dyDescent="0.2">
      <c r="A54" s="1732">
        <v>2500</v>
      </c>
      <c r="B54" s="19" t="s">
        <v>43</v>
      </c>
      <c r="C54" s="16">
        <f t="shared" si="21"/>
        <v>205</v>
      </c>
      <c r="D54" s="16">
        <f t="shared" si="21"/>
        <v>292</v>
      </c>
      <c r="E54" s="1854">
        <f t="shared" ref="E54:P54" si="53">SUM(E55:E56)</f>
        <v>120</v>
      </c>
      <c r="F54" s="1855">
        <f t="shared" si="53"/>
        <v>171</v>
      </c>
      <c r="G54" s="1855">
        <f t="shared" si="53"/>
        <v>45</v>
      </c>
      <c r="H54" s="1855">
        <f t="shared" si="53"/>
        <v>64</v>
      </c>
      <c r="I54" s="1855">
        <f t="shared" si="53"/>
        <v>40</v>
      </c>
      <c r="J54" s="1855">
        <f t="shared" si="53"/>
        <v>57</v>
      </c>
      <c r="K54" s="1833">
        <f t="shared" si="53"/>
        <v>1.3150684931506848E-2</v>
      </c>
      <c r="L54" s="1734">
        <f t="shared" si="53"/>
        <v>1.873972602739726E-2</v>
      </c>
      <c r="M54" s="1734">
        <f t="shared" si="53"/>
        <v>8.21917808219178E-3</v>
      </c>
      <c r="N54" s="1734">
        <f t="shared" si="53"/>
        <v>1.1689497716894977E-2</v>
      </c>
      <c r="O54" s="1826">
        <f t="shared" si="53"/>
        <v>5.4794520547945206E-3</v>
      </c>
      <c r="P54" s="1735">
        <f t="shared" si="53"/>
        <v>7.8082191780821921E-3</v>
      </c>
    </row>
    <row r="55" spans="1:16" ht="15.75" customHeight="1" x14ac:dyDescent="0.2">
      <c r="A55" s="27">
        <v>2515</v>
      </c>
      <c r="B55" s="15" t="s">
        <v>44</v>
      </c>
      <c r="C55" s="28">
        <f t="shared" si="21"/>
        <v>80</v>
      </c>
      <c r="D55" s="28">
        <f t="shared" si="21"/>
        <v>114</v>
      </c>
      <c r="E55" s="1861">
        <v>80</v>
      </c>
      <c r="F55" s="1857">
        <f>ROUNDUP(E55/$O$9,0)</f>
        <v>114</v>
      </c>
      <c r="G55" s="1857"/>
      <c r="H55" s="1857">
        <f>ROUND(G55/$O$9,0)</f>
        <v>0</v>
      </c>
      <c r="I55" s="1857"/>
      <c r="J55" s="1857">
        <f>ROUNDUP(I55/$O$9,0)</f>
        <v>0</v>
      </c>
      <c r="K55" s="1832">
        <f t="shared" ref="K55:P55" si="54">E55/E14</f>
        <v>8.7671232876712323E-3</v>
      </c>
      <c r="L55" s="29">
        <f t="shared" si="54"/>
        <v>1.2493150684931507E-2</v>
      </c>
      <c r="M55" s="29">
        <f t="shared" si="54"/>
        <v>0</v>
      </c>
      <c r="N55" s="29">
        <f t="shared" si="54"/>
        <v>0</v>
      </c>
      <c r="O55" s="1825">
        <f t="shared" si="54"/>
        <v>0</v>
      </c>
      <c r="P55" s="30">
        <f t="shared" si="54"/>
        <v>0</v>
      </c>
    </row>
    <row r="56" spans="1:16" ht="15.75" customHeight="1" x14ac:dyDescent="0.2">
      <c r="A56" s="14">
        <v>2519</v>
      </c>
      <c r="B56" s="17" t="s">
        <v>45</v>
      </c>
      <c r="C56" s="28">
        <f t="shared" si="21"/>
        <v>125</v>
      </c>
      <c r="D56" s="28">
        <f t="shared" si="21"/>
        <v>178</v>
      </c>
      <c r="E56" s="1861">
        <v>40</v>
      </c>
      <c r="F56" s="1857">
        <f>ROUNDUP(E56/$O$9,0)</f>
        <v>57</v>
      </c>
      <c r="G56" s="1857">
        <v>45</v>
      </c>
      <c r="H56" s="1857">
        <f>ROUND(G56/$O$9,0)</f>
        <v>64</v>
      </c>
      <c r="I56" s="1857">
        <v>40</v>
      </c>
      <c r="J56" s="1857">
        <f>ROUNDUP(I56/$O$9,0)</f>
        <v>57</v>
      </c>
      <c r="K56" s="1832">
        <f t="shared" ref="K56:P56" si="55">E56/E14</f>
        <v>4.3835616438356161E-3</v>
      </c>
      <c r="L56" s="29">
        <f t="shared" si="55"/>
        <v>6.2465753424657535E-3</v>
      </c>
      <c r="M56" s="29">
        <f t="shared" si="55"/>
        <v>8.21917808219178E-3</v>
      </c>
      <c r="N56" s="29">
        <f t="shared" si="55"/>
        <v>1.1689497716894977E-2</v>
      </c>
      <c r="O56" s="1825">
        <f t="shared" si="55"/>
        <v>5.4794520547945206E-3</v>
      </c>
      <c r="P56" s="30">
        <f t="shared" si="55"/>
        <v>7.8082191780821921E-3</v>
      </c>
    </row>
    <row r="57" spans="1:16" ht="9" customHeight="1" x14ac:dyDescent="0.25">
      <c r="A57" s="36"/>
      <c r="B57" s="37"/>
      <c r="C57" s="37"/>
      <c r="D57" s="37"/>
      <c r="E57" s="1862"/>
      <c r="F57" s="1863"/>
      <c r="G57" s="1863"/>
      <c r="H57" s="1863"/>
      <c r="I57" s="1863"/>
      <c r="J57" s="1863"/>
      <c r="K57" s="36"/>
      <c r="L57" s="37"/>
      <c r="M57" s="37"/>
      <c r="N57" s="1827"/>
      <c r="O57" s="1827"/>
      <c r="P57" s="1828"/>
    </row>
    <row r="59" spans="1:16" x14ac:dyDescent="0.2">
      <c r="A59" s="38"/>
      <c r="C59" s="26"/>
      <c r="D59" s="26"/>
      <c r="E59" s="26"/>
      <c r="F59" s="26"/>
      <c r="G59" s="26"/>
      <c r="H59" s="26"/>
      <c r="I59" s="26"/>
      <c r="J59" s="26"/>
      <c r="K59" s="26"/>
      <c r="L59" s="26"/>
      <c r="M59" s="26"/>
      <c r="N59" s="26"/>
      <c r="O59" s="26"/>
    </row>
    <row r="60" spans="1:16" x14ac:dyDescent="0.2">
      <c r="A60" s="39"/>
      <c r="C60" s="40"/>
      <c r="D60" s="40"/>
    </row>
  </sheetData>
  <sheetProtection password="CA5B" sheet="1" objects="1" scenarios="1"/>
  <mergeCells count="21">
    <mergeCell ref="J1:P3"/>
    <mergeCell ref="P11:P12"/>
    <mergeCell ref="G11:G12"/>
    <mergeCell ref="H11:H12"/>
    <mergeCell ref="I11:I12"/>
    <mergeCell ref="J11:J12"/>
    <mergeCell ref="K11:K12"/>
    <mergeCell ref="L11:L12"/>
    <mergeCell ref="E10:J10"/>
    <mergeCell ref="A7:O7"/>
    <mergeCell ref="A8:O8"/>
    <mergeCell ref="A10:A12"/>
    <mergeCell ref="B10:B12"/>
    <mergeCell ref="C10:C12"/>
    <mergeCell ref="D10:D12"/>
    <mergeCell ref="K10:P10"/>
    <mergeCell ref="E11:E12"/>
    <mergeCell ref="F11:F12"/>
    <mergeCell ref="M11:M12"/>
    <mergeCell ref="N11:N12"/>
    <mergeCell ref="O11:O12"/>
  </mergeCells>
  <pageMargins left="0.78740157480314965" right="0.31496062992125984" top="0.47244094488188981" bottom="0.39370078740157483" header="0.31496062992125984" footer="0.31496062992125984"/>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P389"/>
  <sheetViews>
    <sheetView zoomScaleNormal="100" workbookViewId="0">
      <selection activeCell="L10" sqref="L10"/>
    </sheetView>
  </sheetViews>
  <sheetFormatPr defaultRowHeight="15" x14ac:dyDescent="0.25"/>
  <cols>
    <col min="1" max="1" width="5.7109375" style="330" customWidth="1"/>
    <col min="2" max="2" width="32.42578125" style="330" customWidth="1"/>
    <col min="3" max="4" width="10.140625" style="330" customWidth="1"/>
    <col min="5" max="5" width="10.28515625" style="683" customWidth="1"/>
    <col min="6" max="6" width="12.7109375" style="330" customWidth="1"/>
    <col min="7" max="7" width="10.140625" style="330" hidden="1" customWidth="1"/>
    <col min="8" max="8" width="10.85546875" style="330" customWidth="1"/>
    <col min="9" max="9" width="16.28515625" style="684" customWidth="1"/>
    <col min="10" max="16384" width="9.140625" style="330"/>
  </cols>
  <sheetData>
    <row r="1" spans="1:250" x14ac:dyDescent="0.25">
      <c r="F1" s="2303" t="s">
        <v>2206</v>
      </c>
      <c r="G1" s="2304"/>
      <c r="H1" s="2304"/>
      <c r="I1" s="2304"/>
    </row>
    <row r="2" spans="1:250" x14ac:dyDescent="0.25">
      <c r="F2" s="2304"/>
      <c r="G2" s="2304"/>
      <c r="H2" s="2304"/>
      <c r="I2" s="2304"/>
    </row>
    <row r="3" spans="1:250" s="328" customFormat="1" ht="12" x14ac:dyDescent="0.2">
      <c r="B3" s="329"/>
      <c r="C3" s="329"/>
      <c r="D3" s="329"/>
      <c r="E3" s="329"/>
      <c r="F3" s="2304"/>
      <c r="G3" s="2304"/>
      <c r="H3" s="2304"/>
      <c r="I3" s="2304"/>
    </row>
    <row r="4" spans="1:250" s="328" customFormat="1" ht="12" x14ac:dyDescent="0.2">
      <c r="B4" s="329"/>
      <c r="C4" s="329"/>
      <c r="D4" s="329"/>
      <c r="E4" s="329"/>
      <c r="F4" s="1878"/>
      <c r="G4" s="1878"/>
      <c r="H4" s="1878"/>
      <c r="I4" s="1878"/>
    </row>
    <row r="5" spans="1:250" s="328" customFormat="1" ht="12" x14ac:dyDescent="0.2">
      <c r="B5" s="329"/>
      <c r="C5" s="329"/>
      <c r="D5" s="329"/>
      <c r="E5" s="329"/>
      <c r="F5" s="1878"/>
      <c r="G5" s="1878"/>
      <c r="H5" s="1878"/>
      <c r="I5" s="1878"/>
    </row>
    <row r="6" spans="1:250" s="328" customFormat="1" ht="12" x14ac:dyDescent="0.2">
      <c r="A6" s="533" t="s">
        <v>112</v>
      </c>
      <c r="B6" s="329"/>
      <c r="C6" s="329"/>
      <c r="D6" s="329"/>
      <c r="E6" s="329"/>
      <c r="F6" s="1878"/>
      <c r="G6" s="1878"/>
      <c r="H6" s="1878"/>
      <c r="I6" s="1878"/>
    </row>
    <row r="7" spans="1:250" s="328" customFormat="1" ht="12" x14ac:dyDescent="0.2">
      <c r="A7" s="533"/>
      <c r="B7" s="329"/>
      <c r="C7" s="533"/>
      <c r="D7" s="533"/>
      <c r="E7" s="533"/>
      <c r="F7" s="533"/>
      <c r="G7" s="533"/>
      <c r="H7" s="533"/>
      <c r="I7" s="534"/>
    </row>
    <row r="8" spans="1:250" s="328" customFormat="1" ht="18.75" x14ac:dyDescent="0.3">
      <c r="A8" s="2301" t="s">
        <v>113</v>
      </c>
      <c r="B8" s="2301"/>
      <c r="C8" s="2301"/>
      <c r="D8" s="2301"/>
      <c r="E8" s="2301"/>
      <c r="F8" s="2301"/>
      <c r="G8" s="2301"/>
      <c r="H8" s="2301"/>
      <c r="I8" s="2301"/>
    </row>
    <row r="9" spans="1:250" s="328" customFormat="1" ht="15.75" x14ac:dyDescent="0.25">
      <c r="A9" s="331"/>
      <c r="B9" s="331"/>
      <c r="C9" s="331"/>
      <c r="D9" s="331"/>
      <c r="E9" s="331"/>
      <c r="F9" s="331"/>
      <c r="G9" s="331"/>
      <c r="H9" s="331"/>
      <c r="I9" s="534"/>
    </row>
    <row r="10" spans="1:250" s="328" customFormat="1" ht="15.75" x14ac:dyDescent="0.25">
      <c r="A10" s="533" t="s">
        <v>114</v>
      </c>
      <c r="C10" s="2302" t="s">
        <v>760</v>
      </c>
      <c r="D10" s="2302"/>
      <c r="E10" s="2302"/>
      <c r="F10" s="2302"/>
      <c r="G10" s="2302"/>
      <c r="H10" s="2302"/>
      <c r="I10" s="534"/>
    </row>
    <row r="11" spans="1:250" s="328" customFormat="1" ht="12" x14ac:dyDescent="0.2">
      <c r="A11" s="533" t="s">
        <v>115</v>
      </c>
      <c r="C11" s="653" t="s">
        <v>761</v>
      </c>
      <c r="D11" s="653"/>
      <c r="E11" s="653"/>
      <c r="F11" s="653"/>
      <c r="G11" s="653"/>
      <c r="H11" s="653"/>
      <c r="I11" s="534"/>
    </row>
    <row r="12" spans="1:250" s="328" customFormat="1" ht="12" x14ac:dyDescent="0.2">
      <c r="A12" s="533" t="s">
        <v>117</v>
      </c>
      <c r="C12" s="2170" t="s">
        <v>762</v>
      </c>
      <c r="D12" s="2170"/>
      <c r="E12" s="2170"/>
      <c r="F12" s="2170"/>
      <c r="G12" s="2170"/>
      <c r="H12" s="2170"/>
      <c r="I12" s="534"/>
    </row>
    <row r="13" spans="1:250" s="328" customFormat="1" ht="12" x14ac:dyDescent="0.2">
      <c r="A13" s="2183" t="s">
        <v>47</v>
      </c>
      <c r="B13" s="2185" t="s">
        <v>119</v>
      </c>
      <c r="C13" s="2185" t="s">
        <v>120</v>
      </c>
      <c r="D13" s="2185" t="s">
        <v>121</v>
      </c>
      <c r="E13" s="2185" t="s">
        <v>122</v>
      </c>
      <c r="F13" s="535"/>
      <c r="G13" s="535"/>
      <c r="H13" s="535"/>
      <c r="I13" s="2187" t="s">
        <v>126</v>
      </c>
    </row>
    <row r="14" spans="1:250" s="328" customFormat="1" ht="36" x14ac:dyDescent="0.2">
      <c r="A14" s="2184"/>
      <c r="B14" s="2186"/>
      <c r="C14" s="2186"/>
      <c r="D14" s="2186"/>
      <c r="E14" s="2186"/>
      <c r="F14" s="333" t="s">
        <v>129</v>
      </c>
      <c r="G14" s="333" t="s">
        <v>124</v>
      </c>
      <c r="H14" s="333" t="s">
        <v>2165</v>
      </c>
      <c r="I14" s="2188"/>
    </row>
    <row r="15" spans="1:250" x14ac:dyDescent="0.25">
      <c r="A15" s="536"/>
      <c r="B15" s="537" t="s">
        <v>130</v>
      </c>
      <c r="C15" s="538">
        <f>C16+C26+C179+C185+C191+C271</f>
        <v>92862</v>
      </c>
      <c r="D15" s="538">
        <f>D16+D26+D179+D185+D191+D271</f>
        <v>83343</v>
      </c>
      <c r="E15" s="538">
        <f>E16+E26+E179+E185+E191+E271</f>
        <v>136998</v>
      </c>
      <c r="F15" s="539"/>
      <c r="G15" s="538">
        <f>G16+G26+G179+G185+G191+G271</f>
        <v>99613</v>
      </c>
      <c r="H15" s="1045">
        <f>H16+H26+H179+H185+H191+H271</f>
        <v>141843</v>
      </c>
      <c r="I15" s="540"/>
      <c r="J15" s="541"/>
      <c r="K15" s="541"/>
      <c r="L15" s="541"/>
      <c r="M15" s="541"/>
      <c r="N15" s="541"/>
      <c r="O15" s="541"/>
      <c r="P15" s="541"/>
      <c r="Q15" s="541"/>
      <c r="R15" s="541"/>
      <c r="S15" s="541"/>
      <c r="T15" s="541"/>
      <c r="U15" s="541"/>
      <c r="V15" s="541"/>
      <c r="W15" s="541"/>
      <c r="X15" s="541"/>
      <c r="Y15" s="541"/>
      <c r="Z15" s="541"/>
      <c r="AA15" s="541"/>
      <c r="AB15" s="541"/>
      <c r="AC15" s="541"/>
      <c r="AD15" s="541"/>
      <c r="AE15" s="541"/>
      <c r="AF15" s="541"/>
      <c r="AG15" s="541"/>
      <c r="AH15" s="541"/>
      <c r="AI15" s="541"/>
      <c r="AJ15" s="541"/>
      <c r="AK15" s="541"/>
      <c r="AL15" s="541"/>
      <c r="AM15" s="541"/>
      <c r="AN15" s="541"/>
      <c r="AO15" s="541"/>
      <c r="AP15" s="541"/>
      <c r="AQ15" s="541"/>
      <c r="AR15" s="541"/>
      <c r="AS15" s="541"/>
      <c r="AT15" s="541"/>
      <c r="AU15" s="541"/>
      <c r="AV15" s="541"/>
      <c r="AW15" s="541"/>
      <c r="AX15" s="541"/>
      <c r="AY15" s="541"/>
      <c r="AZ15" s="541"/>
      <c r="BA15" s="541"/>
      <c r="BB15" s="541"/>
      <c r="BC15" s="541"/>
      <c r="BD15" s="541"/>
      <c r="BE15" s="541"/>
      <c r="BF15" s="541"/>
      <c r="BG15" s="541"/>
      <c r="BH15" s="541"/>
      <c r="BI15" s="541"/>
      <c r="BJ15" s="541"/>
      <c r="BK15" s="541"/>
      <c r="BL15" s="541"/>
      <c r="BM15" s="541"/>
      <c r="BN15" s="541"/>
      <c r="BO15" s="541"/>
      <c r="BP15" s="541"/>
      <c r="BQ15" s="541"/>
      <c r="BR15" s="541"/>
      <c r="BS15" s="541"/>
      <c r="BT15" s="541"/>
      <c r="BU15" s="541"/>
      <c r="BV15" s="541"/>
      <c r="BW15" s="541"/>
      <c r="BX15" s="541"/>
      <c r="BY15" s="541"/>
      <c r="BZ15" s="541"/>
      <c r="CA15" s="541"/>
      <c r="CB15" s="541"/>
      <c r="CC15" s="541"/>
      <c r="CD15" s="541"/>
      <c r="CE15" s="541"/>
      <c r="CF15" s="541"/>
      <c r="CG15" s="541"/>
      <c r="CH15" s="541"/>
      <c r="CI15" s="541"/>
      <c r="CJ15" s="541"/>
      <c r="CK15" s="541"/>
      <c r="CL15" s="541"/>
      <c r="CM15" s="541"/>
      <c r="CN15" s="541"/>
      <c r="CO15" s="541"/>
      <c r="CP15" s="541"/>
      <c r="CQ15" s="541"/>
      <c r="CR15" s="541"/>
      <c r="CS15" s="541"/>
      <c r="CT15" s="541"/>
      <c r="CU15" s="541"/>
      <c r="CV15" s="541"/>
      <c r="CW15" s="541"/>
      <c r="CX15" s="541"/>
      <c r="CY15" s="541"/>
      <c r="CZ15" s="541"/>
      <c r="DA15" s="541"/>
      <c r="DB15" s="541"/>
      <c r="DC15" s="541"/>
      <c r="DD15" s="541"/>
      <c r="DE15" s="541"/>
      <c r="DF15" s="541"/>
      <c r="DG15" s="541"/>
      <c r="DH15" s="541"/>
      <c r="DI15" s="541"/>
      <c r="DJ15" s="541"/>
      <c r="DK15" s="541"/>
      <c r="DL15" s="541"/>
      <c r="DM15" s="541"/>
      <c r="DN15" s="541"/>
      <c r="DO15" s="541"/>
      <c r="DP15" s="541"/>
      <c r="DQ15" s="541"/>
      <c r="DR15" s="541"/>
      <c r="DS15" s="541"/>
      <c r="DT15" s="541"/>
      <c r="DU15" s="541"/>
      <c r="DV15" s="541"/>
      <c r="DW15" s="541"/>
      <c r="DX15" s="541"/>
      <c r="DY15" s="541"/>
      <c r="DZ15" s="541"/>
      <c r="EA15" s="541"/>
      <c r="EB15" s="541"/>
      <c r="EC15" s="541"/>
      <c r="ED15" s="541"/>
      <c r="EE15" s="541"/>
      <c r="EF15" s="541"/>
      <c r="EG15" s="541"/>
      <c r="EH15" s="541"/>
      <c r="EI15" s="541"/>
      <c r="EJ15" s="541"/>
      <c r="EK15" s="541"/>
      <c r="EL15" s="541"/>
      <c r="EM15" s="541"/>
      <c r="EN15" s="541"/>
      <c r="EO15" s="541"/>
      <c r="EP15" s="541"/>
      <c r="EQ15" s="541"/>
      <c r="ER15" s="541"/>
      <c r="ES15" s="541"/>
      <c r="ET15" s="541"/>
      <c r="EU15" s="541"/>
      <c r="EV15" s="541"/>
      <c r="EW15" s="541"/>
      <c r="EX15" s="541"/>
      <c r="EY15" s="541"/>
      <c r="EZ15" s="541"/>
      <c r="FA15" s="541"/>
      <c r="FB15" s="541"/>
      <c r="FC15" s="541"/>
      <c r="FD15" s="541"/>
      <c r="FE15" s="541"/>
      <c r="FF15" s="541"/>
      <c r="FG15" s="541"/>
      <c r="FH15" s="541"/>
      <c r="FI15" s="541"/>
      <c r="FJ15" s="541"/>
      <c r="FK15" s="541"/>
      <c r="FL15" s="541"/>
      <c r="FM15" s="541"/>
      <c r="FN15" s="541"/>
      <c r="FO15" s="541"/>
      <c r="FP15" s="541"/>
      <c r="FQ15" s="541"/>
      <c r="FR15" s="541"/>
      <c r="FS15" s="541"/>
      <c r="FT15" s="541"/>
      <c r="FU15" s="541"/>
      <c r="FV15" s="541"/>
      <c r="FW15" s="541"/>
      <c r="FX15" s="541"/>
      <c r="FY15" s="541"/>
      <c r="FZ15" s="541"/>
      <c r="GA15" s="541"/>
      <c r="GB15" s="541"/>
      <c r="GC15" s="541"/>
      <c r="GD15" s="541"/>
      <c r="GE15" s="541"/>
      <c r="GF15" s="541"/>
      <c r="GG15" s="541"/>
      <c r="GH15" s="541"/>
      <c r="GI15" s="541"/>
      <c r="GJ15" s="541"/>
      <c r="GK15" s="541"/>
      <c r="GL15" s="541"/>
      <c r="GM15" s="541"/>
      <c r="GN15" s="541"/>
      <c r="GO15" s="541"/>
      <c r="GP15" s="541"/>
      <c r="GQ15" s="541"/>
      <c r="GR15" s="541"/>
      <c r="GS15" s="541"/>
      <c r="GT15" s="541"/>
      <c r="GU15" s="541"/>
      <c r="GV15" s="541"/>
      <c r="GW15" s="541"/>
      <c r="GX15" s="541"/>
      <c r="GY15" s="541"/>
      <c r="GZ15" s="541"/>
      <c r="HA15" s="541"/>
      <c r="HB15" s="541"/>
      <c r="HC15" s="541"/>
      <c r="HD15" s="541"/>
      <c r="HE15" s="541"/>
      <c r="HF15" s="541"/>
      <c r="HG15" s="541"/>
      <c r="HH15" s="541"/>
      <c r="HI15" s="541"/>
      <c r="HJ15" s="541"/>
      <c r="HK15" s="541"/>
      <c r="HL15" s="541"/>
      <c r="HM15" s="541"/>
      <c r="HN15" s="541"/>
      <c r="HO15" s="541"/>
      <c r="HP15" s="541"/>
      <c r="HQ15" s="541"/>
      <c r="HR15" s="541"/>
      <c r="HS15" s="541"/>
      <c r="HT15" s="541"/>
      <c r="HU15" s="541"/>
      <c r="HV15" s="541"/>
      <c r="HW15" s="541"/>
      <c r="HX15" s="541"/>
      <c r="HY15" s="541"/>
      <c r="HZ15" s="541"/>
      <c r="IA15" s="541"/>
      <c r="IB15" s="541"/>
      <c r="IC15" s="541"/>
      <c r="ID15" s="541"/>
      <c r="IE15" s="541"/>
      <c r="IF15" s="541"/>
      <c r="IG15" s="541"/>
      <c r="IH15" s="541"/>
      <c r="II15" s="541"/>
      <c r="IJ15" s="541"/>
      <c r="IK15" s="541"/>
      <c r="IL15" s="541"/>
      <c r="IM15" s="541"/>
      <c r="IN15" s="541"/>
      <c r="IO15" s="541"/>
      <c r="IP15" s="541"/>
    </row>
    <row r="16" spans="1:250" ht="24.75" x14ac:dyDescent="0.25">
      <c r="A16" s="542" t="s">
        <v>763</v>
      </c>
      <c r="B16" s="543" t="s">
        <v>764</v>
      </c>
      <c r="C16" s="544">
        <f>SUM(C17:C25)</f>
        <v>460</v>
      </c>
      <c r="D16" s="544">
        <f>SUM(D17:D25)</f>
        <v>404</v>
      </c>
      <c r="E16" s="544">
        <f>SUM(E17:E25)</f>
        <v>593</v>
      </c>
      <c r="F16" s="545"/>
      <c r="G16" s="544">
        <f>SUM(G17:G25)</f>
        <v>530</v>
      </c>
      <c r="H16" s="544">
        <f>SUM(H17:H25)</f>
        <v>756</v>
      </c>
      <c r="I16" s="546"/>
    </row>
    <row r="17" spans="1:250" x14ac:dyDescent="0.25">
      <c r="A17" s="2294" t="s">
        <v>132</v>
      </c>
      <c r="B17" s="2296" t="s">
        <v>765</v>
      </c>
      <c r="C17" s="547">
        <v>200</v>
      </c>
      <c r="D17" s="547">
        <v>194</v>
      </c>
      <c r="E17" s="548">
        <v>150</v>
      </c>
      <c r="F17" s="1768">
        <v>2390</v>
      </c>
      <c r="G17" s="549">
        <v>150</v>
      </c>
      <c r="H17" s="548">
        <f>ROUNDUP(G17/0.702804,0)</f>
        <v>214</v>
      </c>
      <c r="I17" s="550" t="s">
        <v>201</v>
      </c>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1"/>
      <c r="AK17" s="551"/>
      <c r="AL17" s="551"/>
      <c r="AM17" s="551"/>
      <c r="AN17" s="551"/>
      <c r="AO17" s="551"/>
      <c r="AP17" s="551"/>
      <c r="AQ17" s="551"/>
      <c r="AR17" s="551"/>
      <c r="AS17" s="551"/>
      <c r="AT17" s="551"/>
      <c r="AU17" s="551"/>
      <c r="AV17" s="551"/>
      <c r="AW17" s="551"/>
      <c r="AX17" s="551"/>
      <c r="AY17" s="551"/>
      <c r="AZ17" s="551"/>
      <c r="BA17" s="551"/>
      <c r="BB17" s="551"/>
      <c r="BC17" s="551"/>
      <c r="BD17" s="551"/>
      <c r="BE17" s="551"/>
      <c r="BF17" s="551"/>
      <c r="BG17" s="551"/>
      <c r="BH17" s="551"/>
      <c r="BI17" s="551"/>
      <c r="BJ17" s="551"/>
      <c r="BK17" s="551"/>
      <c r="BL17" s="551"/>
      <c r="BM17" s="551"/>
      <c r="BN17" s="551"/>
      <c r="BO17" s="551"/>
      <c r="BP17" s="551"/>
      <c r="BQ17" s="551"/>
      <c r="BR17" s="551"/>
      <c r="BS17" s="551"/>
      <c r="BT17" s="551"/>
      <c r="BU17" s="551"/>
      <c r="BV17" s="551"/>
      <c r="BW17" s="551"/>
      <c r="BX17" s="551"/>
      <c r="BY17" s="551"/>
      <c r="BZ17" s="551"/>
      <c r="CA17" s="551"/>
      <c r="CB17" s="551"/>
      <c r="CC17" s="551"/>
      <c r="CD17" s="551"/>
      <c r="CE17" s="551"/>
      <c r="CF17" s="551"/>
      <c r="CG17" s="551"/>
      <c r="CH17" s="551"/>
      <c r="CI17" s="551"/>
      <c r="CJ17" s="551"/>
      <c r="CK17" s="551"/>
      <c r="CL17" s="551"/>
      <c r="CM17" s="551"/>
      <c r="CN17" s="551"/>
      <c r="CO17" s="551"/>
      <c r="CP17" s="551"/>
      <c r="CQ17" s="551"/>
      <c r="CR17" s="551"/>
      <c r="CS17" s="551"/>
      <c r="CT17" s="551"/>
      <c r="CU17" s="551"/>
      <c r="CV17" s="551"/>
      <c r="CW17" s="551"/>
      <c r="CX17" s="551"/>
      <c r="CY17" s="551"/>
      <c r="CZ17" s="551"/>
      <c r="DA17" s="551"/>
      <c r="DB17" s="551"/>
      <c r="DC17" s="551"/>
      <c r="DD17" s="551"/>
      <c r="DE17" s="551"/>
      <c r="DF17" s="551"/>
      <c r="DG17" s="551"/>
      <c r="DH17" s="551"/>
      <c r="DI17" s="551"/>
      <c r="DJ17" s="551"/>
      <c r="DK17" s="551"/>
      <c r="DL17" s="551"/>
      <c r="DM17" s="551"/>
      <c r="DN17" s="551"/>
      <c r="DO17" s="551"/>
      <c r="DP17" s="551"/>
      <c r="DQ17" s="551"/>
      <c r="DR17" s="551"/>
      <c r="DS17" s="551"/>
      <c r="DT17" s="551"/>
      <c r="DU17" s="551"/>
      <c r="DV17" s="551"/>
      <c r="DW17" s="551"/>
      <c r="DX17" s="551"/>
      <c r="DY17" s="551"/>
      <c r="DZ17" s="551"/>
      <c r="EA17" s="551"/>
      <c r="EB17" s="551"/>
      <c r="EC17" s="551"/>
      <c r="ED17" s="551"/>
      <c r="EE17" s="551"/>
      <c r="EF17" s="551"/>
      <c r="EG17" s="551"/>
      <c r="EH17" s="551"/>
      <c r="EI17" s="551"/>
      <c r="EJ17" s="551"/>
      <c r="EK17" s="551"/>
      <c r="EL17" s="551"/>
      <c r="EM17" s="551"/>
      <c r="EN17" s="551"/>
      <c r="EO17" s="551"/>
      <c r="EP17" s="551"/>
      <c r="EQ17" s="551"/>
      <c r="ER17" s="551"/>
      <c r="ES17" s="551"/>
      <c r="ET17" s="551"/>
      <c r="EU17" s="551"/>
      <c r="EV17" s="551"/>
      <c r="EW17" s="551"/>
      <c r="EX17" s="551"/>
      <c r="EY17" s="551"/>
      <c r="EZ17" s="551"/>
      <c r="FA17" s="551"/>
      <c r="FB17" s="551"/>
      <c r="FC17" s="551"/>
      <c r="FD17" s="551"/>
      <c r="FE17" s="551"/>
      <c r="FF17" s="551"/>
      <c r="FG17" s="551"/>
      <c r="FH17" s="551"/>
      <c r="FI17" s="551"/>
      <c r="FJ17" s="551"/>
      <c r="FK17" s="551"/>
      <c r="FL17" s="551"/>
      <c r="FM17" s="551"/>
      <c r="FN17" s="551"/>
      <c r="FO17" s="551"/>
      <c r="FP17" s="551"/>
      <c r="FQ17" s="551"/>
      <c r="FR17" s="551"/>
      <c r="FS17" s="551"/>
      <c r="FT17" s="551"/>
      <c r="FU17" s="551"/>
      <c r="FV17" s="551"/>
      <c r="FW17" s="551"/>
      <c r="FX17" s="551"/>
      <c r="FY17" s="551"/>
      <c r="FZ17" s="551"/>
      <c r="GA17" s="551"/>
      <c r="GB17" s="551"/>
      <c r="GC17" s="551"/>
      <c r="GD17" s="551"/>
      <c r="GE17" s="551"/>
      <c r="GF17" s="551"/>
      <c r="GG17" s="551"/>
      <c r="GH17" s="551"/>
      <c r="GI17" s="551"/>
      <c r="GJ17" s="551"/>
      <c r="GK17" s="551"/>
      <c r="GL17" s="551"/>
      <c r="GM17" s="551"/>
      <c r="GN17" s="551"/>
      <c r="GO17" s="551"/>
      <c r="GP17" s="551"/>
      <c r="GQ17" s="551"/>
      <c r="GR17" s="551"/>
      <c r="GS17" s="551"/>
      <c r="GT17" s="551"/>
      <c r="GU17" s="551"/>
      <c r="GV17" s="551"/>
      <c r="GW17" s="551"/>
      <c r="GX17" s="551"/>
      <c r="GY17" s="551"/>
      <c r="GZ17" s="551"/>
      <c r="HA17" s="551"/>
      <c r="HB17" s="551"/>
      <c r="HC17" s="551"/>
      <c r="HD17" s="551"/>
      <c r="HE17" s="551"/>
      <c r="HF17" s="551"/>
      <c r="HG17" s="551"/>
      <c r="HH17" s="551"/>
      <c r="HI17" s="551"/>
      <c r="HJ17" s="551"/>
      <c r="HK17" s="551"/>
      <c r="HL17" s="551"/>
      <c r="HM17" s="551"/>
      <c r="HN17" s="551"/>
      <c r="HO17" s="551"/>
      <c r="HP17" s="551"/>
      <c r="HQ17" s="551"/>
      <c r="HR17" s="551"/>
      <c r="HS17" s="551"/>
      <c r="HT17" s="551"/>
      <c r="HU17" s="551"/>
      <c r="HV17" s="551"/>
      <c r="HW17" s="551"/>
      <c r="HX17" s="551"/>
      <c r="HY17" s="551"/>
      <c r="HZ17" s="551"/>
      <c r="IA17" s="551"/>
      <c r="IB17" s="551"/>
      <c r="IC17" s="551"/>
      <c r="ID17" s="551"/>
      <c r="IE17" s="551"/>
      <c r="IF17" s="551"/>
      <c r="IG17" s="551"/>
      <c r="IH17" s="551"/>
      <c r="II17" s="551"/>
      <c r="IJ17" s="551"/>
      <c r="IK17" s="551"/>
      <c r="IL17" s="551"/>
      <c r="IM17" s="551"/>
      <c r="IN17" s="551"/>
      <c r="IO17" s="551"/>
      <c r="IP17" s="551"/>
    </row>
    <row r="18" spans="1:250" x14ac:dyDescent="0.25">
      <c r="A18" s="2295"/>
      <c r="B18" s="2297"/>
      <c r="C18" s="552">
        <v>0</v>
      </c>
      <c r="D18" s="552">
        <v>0</v>
      </c>
      <c r="E18" s="553">
        <v>120</v>
      </c>
      <c r="F18" s="1769">
        <v>2363</v>
      </c>
      <c r="G18" s="554">
        <v>120</v>
      </c>
      <c r="H18" s="548">
        <f t="shared" ref="H18:H25" si="0">ROUNDUP(G18/0.702804,0)</f>
        <v>171</v>
      </c>
      <c r="I18" s="555" t="s">
        <v>204</v>
      </c>
      <c r="J18" s="551"/>
      <c r="K18" s="551"/>
      <c r="L18" s="551"/>
      <c r="M18" s="551"/>
      <c r="N18" s="551"/>
      <c r="O18" s="551"/>
      <c r="P18" s="551"/>
      <c r="Q18" s="551"/>
      <c r="R18" s="551"/>
      <c r="S18" s="551"/>
      <c r="T18" s="551"/>
      <c r="U18" s="551"/>
      <c r="V18" s="551"/>
      <c r="W18" s="551"/>
      <c r="X18" s="551"/>
      <c r="Y18" s="551"/>
      <c r="Z18" s="551"/>
      <c r="AA18" s="551"/>
      <c r="AB18" s="551"/>
      <c r="AC18" s="551"/>
      <c r="AD18" s="551"/>
      <c r="AE18" s="551"/>
      <c r="AF18" s="551"/>
      <c r="AG18" s="551"/>
      <c r="AH18" s="551"/>
      <c r="AI18" s="551"/>
      <c r="AJ18" s="551"/>
      <c r="AK18" s="551"/>
      <c r="AL18" s="551"/>
      <c r="AM18" s="551"/>
      <c r="AN18" s="551"/>
      <c r="AO18" s="551"/>
      <c r="AP18" s="551"/>
      <c r="AQ18" s="551"/>
      <c r="AR18" s="551"/>
      <c r="AS18" s="551"/>
      <c r="AT18" s="551"/>
      <c r="AU18" s="551"/>
      <c r="AV18" s="551"/>
      <c r="AW18" s="551"/>
      <c r="AX18" s="551"/>
      <c r="AY18" s="551"/>
      <c r="AZ18" s="551"/>
      <c r="BA18" s="551"/>
      <c r="BB18" s="551"/>
      <c r="BC18" s="551"/>
      <c r="BD18" s="551"/>
      <c r="BE18" s="551"/>
      <c r="BF18" s="551"/>
      <c r="BG18" s="551"/>
      <c r="BH18" s="551"/>
      <c r="BI18" s="551"/>
      <c r="BJ18" s="551"/>
      <c r="BK18" s="551"/>
      <c r="BL18" s="551"/>
      <c r="BM18" s="551"/>
      <c r="BN18" s="551"/>
      <c r="BO18" s="551"/>
      <c r="BP18" s="551"/>
      <c r="BQ18" s="551"/>
      <c r="BR18" s="551"/>
      <c r="BS18" s="551"/>
      <c r="BT18" s="551"/>
      <c r="BU18" s="551"/>
      <c r="BV18" s="551"/>
      <c r="BW18" s="551"/>
      <c r="BX18" s="551"/>
      <c r="BY18" s="551"/>
      <c r="BZ18" s="551"/>
      <c r="CA18" s="551"/>
      <c r="CB18" s="551"/>
      <c r="CC18" s="551"/>
      <c r="CD18" s="551"/>
      <c r="CE18" s="551"/>
      <c r="CF18" s="551"/>
      <c r="CG18" s="551"/>
      <c r="CH18" s="551"/>
      <c r="CI18" s="551"/>
      <c r="CJ18" s="551"/>
      <c r="CK18" s="551"/>
      <c r="CL18" s="551"/>
      <c r="CM18" s="551"/>
      <c r="CN18" s="551"/>
      <c r="CO18" s="551"/>
      <c r="CP18" s="551"/>
      <c r="CQ18" s="551"/>
      <c r="CR18" s="551"/>
      <c r="CS18" s="551"/>
      <c r="CT18" s="551"/>
      <c r="CU18" s="551"/>
      <c r="CV18" s="551"/>
      <c r="CW18" s="551"/>
      <c r="CX18" s="551"/>
      <c r="CY18" s="551"/>
      <c r="CZ18" s="551"/>
      <c r="DA18" s="551"/>
      <c r="DB18" s="551"/>
      <c r="DC18" s="551"/>
      <c r="DD18" s="551"/>
      <c r="DE18" s="551"/>
      <c r="DF18" s="551"/>
      <c r="DG18" s="551"/>
      <c r="DH18" s="551"/>
      <c r="DI18" s="551"/>
      <c r="DJ18" s="551"/>
      <c r="DK18" s="551"/>
      <c r="DL18" s="551"/>
      <c r="DM18" s="551"/>
      <c r="DN18" s="551"/>
      <c r="DO18" s="551"/>
      <c r="DP18" s="551"/>
      <c r="DQ18" s="551"/>
      <c r="DR18" s="551"/>
      <c r="DS18" s="551"/>
      <c r="DT18" s="551"/>
      <c r="DU18" s="551"/>
      <c r="DV18" s="551"/>
      <c r="DW18" s="551"/>
      <c r="DX18" s="551"/>
      <c r="DY18" s="551"/>
      <c r="DZ18" s="551"/>
      <c r="EA18" s="551"/>
      <c r="EB18" s="551"/>
      <c r="EC18" s="551"/>
      <c r="ED18" s="551"/>
      <c r="EE18" s="551"/>
      <c r="EF18" s="551"/>
      <c r="EG18" s="551"/>
      <c r="EH18" s="551"/>
      <c r="EI18" s="551"/>
      <c r="EJ18" s="551"/>
      <c r="EK18" s="551"/>
      <c r="EL18" s="551"/>
      <c r="EM18" s="551"/>
      <c r="EN18" s="551"/>
      <c r="EO18" s="551"/>
      <c r="EP18" s="551"/>
      <c r="EQ18" s="551"/>
      <c r="ER18" s="551"/>
      <c r="ES18" s="551"/>
      <c r="ET18" s="551"/>
      <c r="EU18" s="551"/>
      <c r="EV18" s="551"/>
      <c r="EW18" s="551"/>
      <c r="EX18" s="551"/>
      <c r="EY18" s="551"/>
      <c r="EZ18" s="551"/>
      <c r="FA18" s="551"/>
      <c r="FB18" s="551"/>
      <c r="FC18" s="551"/>
      <c r="FD18" s="551"/>
      <c r="FE18" s="551"/>
      <c r="FF18" s="551"/>
      <c r="FG18" s="551"/>
      <c r="FH18" s="551"/>
      <c r="FI18" s="551"/>
      <c r="FJ18" s="551"/>
      <c r="FK18" s="551"/>
      <c r="FL18" s="551"/>
      <c r="FM18" s="551"/>
      <c r="FN18" s="551"/>
      <c r="FO18" s="551"/>
      <c r="FP18" s="551"/>
      <c r="FQ18" s="551"/>
      <c r="FR18" s="551"/>
      <c r="FS18" s="551"/>
      <c r="FT18" s="551"/>
      <c r="FU18" s="551"/>
      <c r="FV18" s="551"/>
      <c r="FW18" s="551"/>
      <c r="FX18" s="551"/>
      <c r="FY18" s="551"/>
      <c r="FZ18" s="551"/>
      <c r="GA18" s="551"/>
      <c r="GB18" s="551"/>
      <c r="GC18" s="551"/>
      <c r="GD18" s="551"/>
      <c r="GE18" s="551"/>
      <c r="GF18" s="551"/>
      <c r="GG18" s="551"/>
      <c r="GH18" s="551"/>
      <c r="GI18" s="551"/>
      <c r="GJ18" s="551"/>
      <c r="GK18" s="551"/>
      <c r="GL18" s="551"/>
      <c r="GM18" s="551"/>
      <c r="GN18" s="551"/>
      <c r="GO18" s="551"/>
      <c r="GP18" s="551"/>
      <c r="GQ18" s="551"/>
      <c r="GR18" s="551"/>
      <c r="GS18" s="551"/>
      <c r="GT18" s="551"/>
      <c r="GU18" s="551"/>
      <c r="GV18" s="551"/>
      <c r="GW18" s="551"/>
      <c r="GX18" s="551"/>
      <c r="GY18" s="551"/>
      <c r="GZ18" s="551"/>
      <c r="HA18" s="551"/>
      <c r="HB18" s="551"/>
      <c r="HC18" s="551"/>
      <c r="HD18" s="551"/>
      <c r="HE18" s="551"/>
      <c r="HF18" s="551"/>
      <c r="HG18" s="551"/>
      <c r="HH18" s="551"/>
      <c r="HI18" s="551"/>
      <c r="HJ18" s="551"/>
      <c r="HK18" s="551"/>
      <c r="HL18" s="551"/>
      <c r="HM18" s="551"/>
      <c r="HN18" s="551"/>
      <c r="HO18" s="551"/>
      <c r="HP18" s="551"/>
      <c r="HQ18" s="551"/>
      <c r="HR18" s="551"/>
      <c r="HS18" s="551"/>
      <c r="HT18" s="551"/>
      <c r="HU18" s="551"/>
      <c r="HV18" s="551"/>
      <c r="HW18" s="551"/>
      <c r="HX18" s="551"/>
      <c r="HY18" s="551"/>
      <c r="HZ18" s="551"/>
      <c r="IA18" s="551"/>
      <c r="IB18" s="551"/>
      <c r="IC18" s="551"/>
      <c r="ID18" s="551"/>
      <c r="IE18" s="551"/>
      <c r="IF18" s="551"/>
      <c r="IG18" s="551"/>
      <c r="IH18" s="551"/>
      <c r="II18" s="551"/>
      <c r="IJ18" s="551"/>
      <c r="IK18" s="551"/>
      <c r="IL18" s="551"/>
      <c r="IM18" s="551"/>
      <c r="IN18" s="551"/>
      <c r="IO18" s="551"/>
      <c r="IP18" s="551"/>
    </row>
    <row r="19" spans="1:250" x14ac:dyDescent="0.25">
      <c r="A19" s="2285" t="s">
        <v>766</v>
      </c>
      <c r="B19" s="2264" t="s">
        <v>767</v>
      </c>
      <c r="C19" s="556">
        <v>80</v>
      </c>
      <c r="D19" s="556">
        <v>80</v>
      </c>
      <c r="E19" s="557">
        <v>80</v>
      </c>
      <c r="F19" s="558">
        <v>2390</v>
      </c>
      <c r="G19" s="559">
        <v>80</v>
      </c>
      <c r="H19" s="548">
        <f t="shared" si="0"/>
        <v>114</v>
      </c>
      <c r="I19" s="560" t="s">
        <v>201</v>
      </c>
    </row>
    <row r="20" spans="1:250" x14ac:dyDescent="0.25">
      <c r="A20" s="2287"/>
      <c r="B20" s="2292"/>
      <c r="C20" s="556">
        <v>0</v>
      </c>
      <c r="D20" s="556">
        <v>0</v>
      </c>
      <c r="E20" s="557">
        <v>100</v>
      </c>
      <c r="F20" s="558">
        <v>2363</v>
      </c>
      <c r="G20" s="559">
        <v>100</v>
      </c>
      <c r="H20" s="548">
        <f t="shared" si="0"/>
        <v>143</v>
      </c>
      <c r="I20" s="560" t="s">
        <v>204</v>
      </c>
    </row>
    <row r="21" spans="1:250" x14ac:dyDescent="0.25">
      <c r="A21" s="561" t="s">
        <v>768</v>
      </c>
      <c r="B21" s="562" t="s">
        <v>769</v>
      </c>
      <c r="C21" s="556">
        <v>50</v>
      </c>
      <c r="D21" s="556">
        <v>50</v>
      </c>
      <c r="E21" s="557">
        <v>0</v>
      </c>
      <c r="F21" s="558">
        <v>2390</v>
      </c>
      <c r="G21" s="559"/>
      <c r="H21" s="548">
        <f t="shared" si="0"/>
        <v>0</v>
      </c>
      <c r="I21" s="563"/>
    </row>
    <row r="22" spans="1:250" x14ac:dyDescent="0.25">
      <c r="A22" s="2298" t="s">
        <v>770</v>
      </c>
      <c r="B22" s="2288" t="s">
        <v>771</v>
      </c>
      <c r="C22" s="556">
        <v>80</v>
      </c>
      <c r="D22" s="556">
        <v>80</v>
      </c>
      <c r="E22" s="557">
        <v>80</v>
      </c>
      <c r="F22" s="558">
        <v>2390</v>
      </c>
      <c r="G22" s="559">
        <v>80</v>
      </c>
      <c r="H22" s="548">
        <f t="shared" si="0"/>
        <v>114</v>
      </c>
      <c r="I22" s="560" t="s">
        <v>201</v>
      </c>
    </row>
    <row r="23" spans="1:250" x14ac:dyDescent="0.25">
      <c r="A23" s="2299"/>
      <c r="B23" s="2289"/>
      <c r="C23" s="556">
        <v>0</v>
      </c>
      <c r="D23" s="556">
        <v>0</v>
      </c>
      <c r="E23" s="557">
        <v>50</v>
      </c>
      <c r="F23" s="558">
        <v>1150</v>
      </c>
      <c r="G23" s="559"/>
      <c r="H23" s="548">
        <f t="shared" si="0"/>
        <v>0</v>
      </c>
      <c r="I23" s="560" t="s">
        <v>772</v>
      </c>
    </row>
    <row r="24" spans="1:250" x14ac:dyDescent="0.25">
      <c r="A24" s="2300"/>
      <c r="B24" s="2290"/>
      <c r="C24" s="556">
        <v>0</v>
      </c>
      <c r="D24" s="556">
        <v>0</v>
      </c>
      <c r="E24" s="557">
        <v>13</v>
      </c>
      <c r="F24" s="558">
        <v>1210</v>
      </c>
      <c r="G24" s="559"/>
      <c r="H24" s="548">
        <f t="shared" si="0"/>
        <v>0</v>
      </c>
      <c r="I24" s="560"/>
    </row>
    <row r="25" spans="1:250" x14ac:dyDescent="0.25">
      <c r="A25" s="564" t="s">
        <v>773</v>
      </c>
      <c r="B25" s="565" t="s">
        <v>774</v>
      </c>
      <c r="C25" s="566">
        <v>50</v>
      </c>
      <c r="D25" s="566">
        <v>0</v>
      </c>
      <c r="E25" s="567">
        <v>0</v>
      </c>
      <c r="F25" s="1770">
        <v>2390</v>
      </c>
      <c r="G25" s="568"/>
      <c r="H25" s="548">
        <f t="shared" si="0"/>
        <v>0</v>
      </c>
      <c r="I25" s="569"/>
    </row>
    <row r="26" spans="1:250" x14ac:dyDescent="0.25">
      <c r="A26" s="570" t="s">
        <v>775</v>
      </c>
      <c r="B26" s="571" t="s">
        <v>776</v>
      </c>
      <c r="C26" s="572">
        <f>C27+C66+C175</f>
        <v>19996</v>
      </c>
      <c r="D26" s="572">
        <f>D27+D66+D175</f>
        <v>19041</v>
      </c>
      <c r="E26" s="572">
        <f>E27+E66+E175</f>
        <v>25870</v>
      </c>
      <c r="F26" s="573"/>
      <c r="G26" s="573">
        <f>G27+G66+G175</f>
        <v>23306</v>
      </c>
      <c r="H26" s="1046">
        <f>H27+H66+H175</f>
        <v>33219</v>
      </c>
      <c r="I26" s="574"/>
    </row>
    <row r="27" spans="1:250" x14ac:dyDescent="0.25">
      <c r="A27" s="570" t="s">
        <v>777</v>
      </c>
      <c r="B27" s="571" t="s">
        <v>778</v>
      </c>
      <c r="C27" s="572">
        <f>SUM(C28:C65)</f>
        <v>3450</v>
      </c>
      <c r="D27" s="572">
        <f t="shared" ref="D27" si="1">SUM(D28:D65)</f>
        <v>3287</v>
      </c>
      <c r="E27" s="572">
        <f>SUM(E28:E65)</f>
        <v>6047</v>
      </c>
      <c r="F27" s="573"/>
      <c r="G27" s="575">
        <f>SUM(G28:G65)</f>
        <v>2370</v>
      </c>
      <c r="H27" s="1047">
        <f>SUM(H28:H65)</f>
        <v>3382</v>
      </c>
      <c r="I27" s="576"/>
    </row>
    <row r="28" spans="1:250" x14ac:dyDescent="0.25">
      <c r="A28" s="2272" t="s">
        <v>779</v>
      </c>
      <c r="B28" s="2280" t="s">
        <v>780</v>
      </c>
      <c r="C28" s="577">
        <v>80</v>
      </c>
      <c r="D28" s="577">
        <v>80</v>
      </c>
      <c r="E28" s="578">
        <v>100</v>
      </c>
      <c r="F28" s="579">
        <v>2390</v>
      </c>
      <c r="G28" s="580">
        <v>100</v>
      </c>
      <c r="H28" s="1048">
        <f>ROUNDUP(G28/0.702804,0)</f>
        <v>143</v>
      </c>
      <c r="I28" s="581" t="s">
        <v>201</v>
      </c>
    </row>
    <row r="29" spans="1:250" x14ac:dyDescent="0.25">
      <c r="A29" s="2272"/>
      <c r="B29" s="2280"/>
      <c r="C29" s="556">
        <v>50</v>
      </c>
      <c r="D29" s="556">
        <v>0</v>
      </c>
      <c r="E29" s="557">
        <v>0</v>
      </c>
      <c r="F29" s="582">
        <v>2261</v>
      </c>
      <c r="G29" s="583"/>
      <c r="H29" s="1048">
        <f t="shared" ref="H29:H93" si="2">ROUNDUP(G29/0.702804,0)</f>
        <v>0</v>
      </c>
      <c r="I29" s="560"/>
    </row>
    <row r="30" spans="1:250" x14ac:dyDescent="0.25">
      <c r="A30" s="2272"/>
      <c r="B30" s="2280"/>
      <c r="C30" s="556">
        <v>0</v>
      </c>
      <c r="D30" s="556">
        <v>0</v>
      </c>
      <c r="E30" s="557">
        <v>50</v>
      </c>
      <c r="F30" s="582">
        <v>1150</v>
      </c>
      <c r="G30" s="583"/>
      <c r="H30" s="1048">
        <f t="shared" si="2"/>
        <v>0</v>
      </c>
      <c r="I30" s="560" t="s">
        <v>781</v>
      </c>
    </row>
    <row r="31" spans="1:250" x14ac:dyDescent="0.25">
      <c r="A31" s="2272"/>
      <c r="B31" s="2280"/>
      <c r="C31" s="556">
        <v>0</v>
      </c>
      <c r="D31" s="556">
        <v>0</v>
      </c>
      <c r="E31" s="557">
        <v>13</v>
      </c>
      <c r="F31" s="582">
        <v>1210</v>
      </c>
      <c r="G31" s="583"/>
      <c r="H31" s="1048">
        <f t="shared" si="2"/>
        <v>0</v>
      </c>
      <c r="I31" s="560"/>
    </row>
    <row r="32" spans="1:250" x14ac:dyDescent="0.25">
      <c r="A32" s="2263"/>
      <c r="B32" s="2281"/>
      <c r="C32" s="556">
        <v>0</v>
      </c>
      <c r="D32" s="556">
        <v>0</v>
      </c>
      <c r="E32" s="557">
        <v>30</v>
      </c>
      <c r="F32" s="582">
        <v>2363</v>
      </c>
      <c r="G32" s="583">
        <v>30</v>
      </c>
      <c r="H32" s="1048">
        <f t="shared" si="2"/>
        <v>43</v>
      </c>
      <c r="I32" s="560" t="s">
        <v>782</v>
      </c>
    </row>
    <row r="33" spans="1:9" x14ac:dyDescent="0.25">
      <c r="A33" s="2262" t="s">
        <v>783</v>
      </c>
      <c r="B33" s="2279" t="s">
        <v>784</v>
      </c>
      <c r="C33" s="556">
        <v>50</v>
      </c>
      <c r="D33" s="556">
        <v>49</v>
      </c>
      <c r="E33" s="557">
        <v>50</v>
      </c>
      <c r="F33" s="582">
        <v>2390</v>
      </c>
      <c r="G33" s="583">
        <v>50</v>
      </c>
      <c r="H33" s="1048">
        <f t="shared" si="2"/>
        <v>72</v>
      </c>
      <c r="I33" s="560" t="s">
        <v>201</v>
      </c>
    </row>
    <row r="34" spans="1:9" x14ac:dyDescent="0.25">
      <c r="A34" s="2272"/>
      <c r="B34" s="2280"/>
      <c r="C34" s="556">
        <v>0</v>
      </c>
      <c r="D34" s="556">
        <v>0</v>
      </c>
      <c r="E34" s="557">
        <v>50</v>
      </c>
      <c r="F34" s="582">
        <v>1150</v>
      </c>
      <c r="G34" s="583"/>
      <c r="H34" s="1048">
        <f t="shared" si="2"/>
        <v>0</v>
      </c>
      <c r="I34" s="560" t="s">
        <v>781</v>
      </c>
    </row>
    <row r="35" spans="1:9" x14ac:dyDescent="0.25">
      <c r="A35" s="2263"/>
      <c r="B35" s="2281"/>
      <c r="C35" s="556">
        <v>0</v>
      </c>
      <c r="D35" s="556">
        <v>0</v>
      </c>
      <c r="E35" s="557">
        <v>13</v>
      </c>
      <c r="F35" s="582">
        <v>1210</v>
      </c>
      <c r="G35" s="583"/>
      <c r="H35" s="1048">
        <f t="shared" si="2"/>
        <v>0</v>
      </c>
      <c r="I35" s="560"/>
    </row>
    <row r="36" spans="1:9" x14ac:dyDescent="0.25">
      <c r="A36" s="2262" t="s">
        <v>785</v>
      </c>
      <c r="B36" s="2279" t="s">
        <v>786</v>
      </c>
      <c r="C36" s="556">
        <v>50</v>
      </c>
      <c r="D36" s="556">
        <v>50</v>
      </c>
      <c r="E36" s="557">
        <v>50</v>
      </c>
      <c r="F36" s="582">
        <v>2390</v>
      </c>
      <c r="G36" s="583">
        <v>50</v>
      </c>
      <c r="H36" s="1048">
        <f t="shared" si="2"/>
        <v>72</v>
      </c>
      <c r="I36" s="560" t="s">
        <v>201</v>
      </c>
    </row>
    <row r="37" spans="1:9" x14ac:dyDescent="0.25">
      <c r="A37" s="2272"/>
      <c r="B37" s="2280"/>
      <c r="C37" s="556">
        <v>0</v>
      </c>
      <c r="D37" s="556">
        <v>0</v>
      </c>
      <c r="E37" s="557">
        <v>50</v>
      </c>
      <c r="F37" s="582">
        <v>1150</v>
      </c>
      <c r="G37" s="583"/>
      <c r="H37" s="1048">
        <f t="shared" si="2"/>
        <v>0</v>
      </c>
      <c r="I37" s="560" t="s">
        <v>781</v>
      </c>
    </row>
    <row r="38" spans="1:9" x14ac:dyDescent="0.25">
      <c r="A38" s="2263"/>
      <c r="B38" s="2281"/>
      <c r="C38" s="556">
        <v>0</v>
      </c>
      <c r="D38" s="556">
        <v>0</v>
      </c>
      <c r="E38" s="557">
        <v>13</v>
      </c>
      <c r="F38" s="582">
        <v>1210</v>
      </c>
      <c r="G38" s="583"/>
      <c r="H38" s="1048">
        <f t="shared" si="2"/>
        <v>0</v>
      </c>
      <c r="I38" s="560"/>
    </row>
    <row r="39" spans="1:9" x14ac:dyDescent="0.25">
      <c r="A39" s="2262" t="s">
        <v>787</v>
      </c>
      <c r="B39" s="2279" t="s">
        <v>788</v>
      </c>
      <c r="C39" s="556">
        <v>0</v>
      </c>
      <c r="D39" s="556">
        <v>0</v>
      </c>
      <c r="E39" s="557">
        <v>150</v>
      </c>
      <c r="F39" s="582">
        <v>2390</v>
      </c>
      <c r="G39" s="583">
        <v>100</v>
      </c>
      <c r="H39" s="1048">
        <f t="shared" si="2"/>
        <v>143</v>
      </c>
      <c r="I39" s="560" t="s">
        <v>789</v>
      </c>
    </row>
    <row r="40" spans="1:9" ht="36.75" x14ac:dyDescent="0.25">
      <c r="A40" s="2272"/>
      <c r="B40" s="2280"/>
      <c r="C40" s="556">
        <v>0</v>
      </c>
      <c r="D40" s="556">
        <v>0</v>
      </c>
      <c r="E40" s="557">
        <v>200</v>
      </c>
      <c r="F40" s="582">
        <v>2262</v>
      </c>
      <c r="G40" s="583">
        <v>200</v>
      </c>
      <c r="H40" s="1048">
        <f t="shared" si="2"/>
        <v>285</v>
      </c>
      <c r="I40" s="560" t="s">
        <v>790</v>
      </c>
    </row>
    <row r="41" spans="1:9" x14ac:dyDescent="0.25">
      <c r="A41" s="2263"/>
      <c r="B41" s="2281"/>
      <c r="C41" s="556">
        <v>0</v>
      </c>
      <c r="D41" s="556">
        <v>0</v>
      </c>
      <c r="E41" s="557">
        <v>100</v>
      </c>
      <c r="F41" s="582">
        <v>2279</v>
      </c>
      <c r="G41" s="583">
        <v>100</v>
      </c>
      <c r="H41" s="1048">
        <f t="shared" si="2"/>
        <v>143</v>
      </c>
      <c r="I41" s="560" t="s">
        <v>791</v>
      </c>
    </row>
    <row r="42" spans="1:9" ht="24.75" x14ac:dyDescent="0.25">
      <c r="A42" s="584" t="s">
        <v>792</v>
      </c>
      <c r="B42" s="585" t="s">
        <v>793</v>
      </c>
      <c r="C42" s="556">
        <v>300</v>
      </c>
      <c r="D42" s="556">
        <v>189</v>
      </c>
      <c r="E42" s="557">
        <v>0</v>
      </c>
      <c r="F42" s="582">
        <v>2390</v>
      </c>
      <c r="G42" s="583"/>
      <c r="H42" s="1048">
        <f t="shared" si="2"/>
        <v>0</v>
      </c>
      <c r="I42" s="563"/>
    </row>
    <row r="43" spans="1:9" ht="24.75" x14ac:dyDescent="0.25">
      <c r="A43" s="584" t="s">
        <v>794</v>
      </c>
      <c r="B43" s="585" t="s">
        <v>795</v>
      </c>
      <c r="C43" s="556">
        <v>0</v>
      </c>
      <c r="D43" s="556">
        <v>0</v>
      </c>
      <c r="E43" s="557">
        <v>100</v>
      </c>
      <c r="F43" s="582">
        <v>2390</v>
      </c>
      <c r="G43" s="583">
        <v>100</v>
      </c>
      <c r="H43" s="1048">
        <f t="shared" si="2"/>
        <v>143</v>
      </c>
      <c r="I43" s="560" t="s">
        <v>201</v>
      </c>
    </row>
    <row r="44" spans="1:9" ht="24.75" x14ac:dyDescent="0.25">
      <c r="A44" s="584" t="s">
        <v>796</v>
      </c>
      <c r="B44" s="585" t="s">
        <v>797</v>
      </c>
      <c r="C44" s="556">
        <v>0</v>
      </c>
      <c r="D44" s="556">
        <v>0</v>
      </c>
      <c r="E44" s="557">
        <v>100</v>
      </c>
      <c r="F44" s="582">
        <v>2390</v>
      </c>
      <c r="G44" s="583">
        <v>100</v>
      </c>
      <c r="H44" s="1048">
        <f t="shared" si="2"/>
        <v>143</v>
      </c>
      <c r="I44" s="560"/>
    </row>
    <row r="45" spans="1:9" x14ac:dyDescent="0.25">
      <c r="A45" s="586" t="s">
        <v>798</v>
      </c>
      <c r="B45" s="587" t="s">
        <v>799</v>
      </c>
      <c r="C45" s="556">
        <v>160</v>
      </c>
      <c r="D45" s="556">
        <v>160</v>
      </c>
      <c r="E45" s="557">
        <v>120</v>
      </c>
      <c r="F45" s="582">
        <v>2390</v>
      </c>
      <c r="G45" s="583">
        <v>120</v>
      </c>
      <c r="H45" s="1048">
        <f t="shared" si="2"/>
        <v>171</v>
      </c>
      <c r="I45" s="560" t="s">
        <v>201</v>
      </c>
    </row>
    <row r="46" spans="1:9" x14ac:dyDescent="0.25">
      <c r="A46" s="2285" t="s">
        <v>800</v>
      </c>
      <c r="B46" s="2253" t="s">
        <v>801</v>
      </c>
      <c r="C46" s="556">
        <v>130</v>
      </c>
      <c r="D46" s="556">
        <v>129</v>
      </c>
      <c r="E46" s="557">
        <v>80</v>
      </c>
      <c r="F46" s="582">
        <v>2390</v>
      </c>
      <c r="G46" s="583">
        <v>80</v>
      </c>
      <c r="H46" s="1048">
        <f t="shared" si="2"/>
        <v>114</v>
      </c>
      <c r="I46" s="560" t="s">
        <v>201</v>
      </c>
    </row>
    <row r="47" spans="1:9" x14ac:dyDescent="0.25">
      <c r="A47" s="2286"/>
      <c r="B47" s="2293"/>
      <c r="C47" s="556">
        <v>0</v>
      </c>
      <c r="D47" s="556">
        <v>0</v>
      </c>
      <c r="E47" s="557">
        <v>200</v>
      </c>
      <c r="F47" s="582">
        <v>1150</v>
      </c>
      <c r="G47" s="583"/>
      <c r="H47" s="1048">
        <f t="shared" si="2"/>
        <v>0</v>
      </c>
      <c r="I47" s="560" t="s">
        <v>781</v>
      </c>
    </row>
    <row r="48" spans="1:9" x14ac:dyDescent="0.25">
      <c r="A48" s="2287"/>
      <c r="B48" s="2254"/>
      <c r="C48" s="556">
        <v>0</v>
      </c>
      <c r="D48" s="556">
        <v>0</v>
      </c>
      <c r="E48" s="557">
        <v>49</v>
      </c>
      <c r="F48" s="582">
        <v>1210</v>
      </c>
      <c r="G48" s="583"/>
      <c r="H48" s="1048">
        <f t="shared" si="2"/>
        <v>0</v>
      </c>
      <c r="I48" s="560"/>
    </row>
    <row r="49" spans="1:250" x14ac:dyDescent="0.25">
      <c r="A49" s="2285" t="s">
        <v>802</v>
      </c>
      <c r="B49" s="2253" t="s">
        <v>803</v>
      </c>
      <c r="C49" s="556">
        <v>0</v>
      </c>
      <c r="D49" s="556">
        <v>0</v>
      </c>
      <c r="E49" s="557">
        <v>200</v>
      </c>
      <c r="F49" s="582">
        <v>2370</v>
      </c>
      <c r="G49" s="583">
        <v>200</v>
      </c>
      <c r="H49" s="1048">
        <f t="shared" si="2"/>
        <v>285</v>
      </c>
      <c r="I49" s="560" t="s">
        <v>804</v>
      </c>
    </row>
    <row r="50" spans="1:250" x14ac:dyDescent="0.25">
      <c r="A50" s="2287"/>
      <c r="B50" s="2254"/>
      <c r="C50" s="556">
        <v>0</v>
      </c>
      <c r="D50" s="556">
        <v>0</v>
      </c>
      <c r="E50" s="557">
        <v>200</v>
      </c>
      <c r="F50" s="582">
        <v>2390</v>
      </c>
      <c r="G50" s="583">
        <v>200</v>
      </c>
      <c r="H50" s="1048">
        <f t="shared" si="2"/>
        <v>285</v>
      </c>
      <c r="I50" s="560" t="s">
        <v>201</v>
      </c>
    </row>
    <row r="51" spans="1:250" x14ac:dyDescent="0.25">
      <c r="A51" s="586" t="s">
        <v>805</v>
      </c>
      <c r="B51" s="588" t="s">
        <v>806</v>
      </c>
      <c r="C51" s="556">
        <v>50</v>
      </c>
      <c r="D51" s="556">
        <v>50</v>
      </c>
      <c r="E51" s="557">
        <v>80</v>
      </c>
      <c r="F51" s="558">
        <v>2390</v>
      </c>
      <c r="G51" s="559">
        <v>80</v>
      </c>
      <c r="H51" s="1048">
        <f t="shared" si="2"/>
        <v>114</v>
      </c>
      <c r="I51" s="560" t="s">
        <v>201</v>
      </c>
    </row>
    <row r="52" spans="1:250" x14ac:dyDescent="0.25">
      <c r="A52" s="586" t="s">
        <v>807</v>
      </c>
      <c r="B52" s="588" t="s">
        <v>808</v>
      </c>
      <c r="C52" s="556">
        <v>0</v>
      </c>
      <c r="D52" s="556">
        <v>0</v>
      </c>
      <c r="E52" s="557">
        <v>0</v>
      </c>
      <c r="F52" s="558">
        <v>2390</v>
      </c>
      <c r="G52" s="559"/>
      <c r="H52" s="1048">
        <f t="shared" si="2"/>
        <v>0</v>
      </c>
      <c r="I52" s="560"/>
    </row>
    <row r="53" spans="1:250" x14ac:dyDescent="0.25">
      <c r="A53" s="2262" t="s">
        <v>809</v>
      </c>
      <c r="B53" s="2279" t="s">
        <v>810</v>
      </c>
      <c r="C53" s="556">
        <v>100</v>
      </c>
      <c r="D53" s="556">
        <v>100</v>
      </c>
      <c r="E53" s="557">
        <v>100</v>
      </c>
      <c r="F53" s="558">
        <v>2390</v>
      </c>
      <c r="G53" s="559">
        <v>100</v>
      </c>
      <c r="H53" s="1048">
        <f t="shared" si="2"/>
        <v>143</v>
      </c>
      <c r="I53" s="560" t="s">
        <v>201</v>
      </c>
    </row>
    <row r="54" spans="1:250" x14ac:dyDescent="0.25">
      <c r="A54" s="2272"/>
      <c r="B54" s="2280"/>
      <c r="C54" s="556">
        <v>0</v>
      </c>
      <c r="D54" s="556">
        <v>0</v>
      </c>
      <c r="E54" s="557">
        <v>50</v>
      </c>
      <c r="F54" s="558">
        <v>1150</v>
      </c>
      <c r="G54" s="559"/>
      <c r="H54" s="1048">
        <f t="shared" si="2"/>
        <v>0</v>
      </c>
      <c r="I54" s="560" t="s">
        <v>781</v>
      </c>
    </row>
    <row r="55" spans="1:250" x14ac:dyDescent="0.25">
      <c r="A55" s="2263"/>
      <c r="B55" s="2281"/>
      <c r="C55" s="556">
        <v>0</v>
      </c>
      <c r="D55" s="556">
        <v>0</v>
      </c>
      <c r="E55" s="557">
        <v>13</v>
      </c>
      <c r="F55" s="558">
        <v>1210</v>
      </c>
      <c r="G55" s="559"/>
      <c r="H55" s="1048">
        <f t="shared" si="2"/>
        <v>0</v>
      </c>
      <c r="I55" s="560"/>
    </row>
    <row r="56" spans="1:250" s="589" customFormat="1" x14ac:dyDescent="0.25">
      <c r="A56" s="2285" t="s">
        <v>811</v>
      </c>
      <c r="B56" s="2279" t="s">
        <v>812</v>
      </c>
      <c r="C56" s="556">
        <v>60</v>
      </c>
      <c r="D56" s="556">
        <v>60</v>
      </c>
      <c r="E56" s="557">
        <v>80</v>
      </c>
      <c r="F56" s="558">
        <v>2390</v>
      </c>
      <c r="G56" s="559">
        <v>80</v>
      </c>
      <c r="H56" s="1048">
        <f t="shared" si="2"/>
        <v>114</v>
      </c>
      <c r="I56" s="560" t="s">
        <v>201</v>
      </c>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0"/>
      <c r="BH56" s="330"/>
      <c r="BI56" s="330"/>
      <c r="BJ56" s="330"/>
      <c r="BK56" s="330"/>
      <c r="BL56" s="330"/>
      <c r="BM56" s="330"/>
      <c r="BN56" s="330"/>
      <c r="BO56" s="330"/>
      <c r="BP56" s="330"/>
      <c r="BQ56" s="330"/>
      <c r="BR56" s="330"/>
      <c r="BS56" s="330"/>
      <c r="BT56" s="330"/>
      <c r="BU56" s="330"/>
      <c r="BV56" s="330"/>
      <c r="BW56" s="330"/>
      <c r="BX56" s="330"/>
      <c r="BY56" s="330"/>
      <c r="BZ56" s="330"/>
      <c r="CA56" s="330"/>
      <c r="CB56" s="330"/>
      <c r="CC56" s="330"/>
      <c r="CD56" s="330"/>
      <c r="CE56" s="330"/>
      <c r="CF56" s="330"/>
      <c r="CG56" s="330"/>
      <c r="CH56" s="330"/>
      <c r="CI56" s="330"/>
      <c r="CJ56" s="330"/>
      <c r="CK56" s="330"/>
      <c r="CL56" s="330"/>
      <c r="CM56" s="330"/>
      <c r="CN56" s="330"/>
      <c r="CO56" s="330"/>
      <c r="CP56" s="330"/>
      <c r="CQ56" s="330"/>
      <c r="CR56" s="330"/>
      <c r="CS56" s="330"/>
      <c r="CT56" s="330"/>
      <c r="CU56" s="330"/>
      <c r="CV56" s="330"/>
      <c r="CW56" s="330"/>
      <c r="CX56" s="330"/>
      <c r="CY56" s="330"/>
      <c r="CZ56" s="330"/>
      <c r="DA56" s="330"/>
      <c r="DB56" s="330"/>
      <c r="DC56" s="330"/>
      <c r="DD56" s="330"/>
      <c r="DE56" s="330"/>
      <c r="DF56" s="330"/>
      <c r="DG56" s="330"/>
      <c r="DH56" s="330"/>
      <c r="DI56" s="330"/>
      <c r="DJ56" s="330"/>
      <c r="DK56" s="330"/>
      <c r="DL56" s="330"/>
      <c r="DM56" s="330"/>
      <c r="DN56" s="330"/>
      <c r="DO56" s="330"/>
      <c r="DP56" s="330"/>
      <c r="DQ56" s="330"/>
      <c r="DR56" s="330"/>
      <c r="DS56" s="330"/>
      <c r="DT56" s="330"/>
      <c r="DU56" s="330"/>
      <c r="DV56" s="330"/>
      <c r="DW56" s="330"/>
      <c r="DX56" s="330"/>
      <c r="DY56" s="330"/>
      <c r="DZ56" s="330"/>
      <c r="EA56" s="330"/>
      <c r="EB56" s="330"/>
      <c r="EC56" s="330"/>
      <c r="ED56" s="330"/>
      <c r="EE56" s="330"/>
      <c r="EF56" s="330"/>
      <c r="EG56" s="330"/>
      <c r="EH56" s="330"/>
      <c r="EI56" s="330"/>
      <c r="EJ56" s="330"/>
      <c r="EK56" s="330"/>
      <c r="EL56" s="330"/>
      <c r="EM56" s="330"/>
      <c r="EN56" s="330"/>
      <c r="EO56" s="330"/>
      <c r="EP56" s="330"/>
      <c r="EQ56" s="330"/>
      <c r="ER56" s="330"/>
      <c r="ES56" s="330"/>
      <c r="ET56" s="330"/>
      <c r="EU56" s="330"/>
      <c r="EV56" s="330"/>
      <c r="EW56" s="330"/>
      <c r="EX56" s="330"/>
      <c r="EY56" s="330"/>
      <c r="EZ56" s="330"/>
      <c r="FA56" s="330"/>
      <c r="FB56" s="330"/>
      <c r="FC56" s="330"/>
      <c r="FD56" s="330"/>
      <c r="FE56" s="330"/>
      <c r="FF56" s="330"/>
      <c r="FG56" s="330"/>
      <c r="FH56" s="330"/>
      <c r="FI56" s="330"/>
      <c r="FJ56" s="330"/>
      <c r="FK56" s="330"/>
      <c r="FL56" s="330"/>
      <c r="FM56" s="330"/>
      <c r="FN56" s="330"/>
      <c r="FO56" s="330"/>
      <c r="FP56" s="330"/>
      <c r="FQ56" s="330"/>
      <c r="FR56" s="330"/>
      <c r="FS56" s="330"/>
      <c r="FT56" s="330"/>
      <c r="FU56" s="330"/>
      <c r="FV56" s="330"/>
      <c r="FW56" s="330"/>
      <c r="FX56" s="330"/>
      <c r="FY56" s="330"/>
      <c r="FZ56" s="330"/>
      <c r="GA56" s="330"/>
      <c r="GB56" s="330"/>
      <c r="GC56" s="330"/>
      <c r="GD56" s="330"/>
      <c r="GE56" s="330"/>
      <c r="GF56" s="330"/>
      <c r="GG56" s="330"/>
      <c r="GH56" s="330"/>
      <c r="GI56" s="330"/>
      <c r="GJ56" s="330"/>
      <c r="GK56" s="330"/>
      <c r="GL56" s="330"/>
      <c r="GM56" s="330"/>
      <c r="GN56" s="330"/>
      <c r="GO56" s="330"/>
      <c r="GP56" s="330"/>
      <c r="GQ56" s="330"/>
      <c r="GR56" s="330"/>
      <c r="GS56" s="330"/>
      <c r="GT56" s="330"/>
      <c r="GU56" s="330"/>
      <c r="GV56" s="330"/>
      <c r="GW56" s="330"/>
      <c r="GX56" s="330"/>
      <c r="GY56" s="330"/>
      <c r="GZ56" s="330"/>
      <c r="HA56" s="330"/>
      <c r="HB56" s="330"/>
      <c r="HC56" s="330"/>
      <c r="HD56" s="330"/>
      <c r="HE56" s="330"/>
      <c r="HF56" s="330"/>
      <c r="HG56" s="330"/>
      <c r="HH56" s="330"/>
      <c r="HI56" s="330"/>
      <c r="HJ56" s="330"/>
      <c r="HK56" s="330"/>
      <c r="HL56" s="330"/>
      <c r="HM56" s="330"/>
      <c r="HN56" s="330"/>
      <c r="HO56" s="330"/>
      <c r="HP56" s="330"/>
      <c r="HQ56" s="330"/>
      <c r="HR56" s="330"/>
      <c r="HS56" s="330"/>
      <c r="HT56" s="330"/>
      <c r="HU56" s="330"/>
      <c r="HV56" s="330"/>
      <c r="HW56" s="330"/>
      <c r="HX56" s="330"/>
      <c r="HY56" s="330"/>
      <c r="HZ56" s="330"/>
      <c r="IA56" s="330"/>
      <c r="IB56" s="330"/>
      <c r="IC56" s="330"/>
      <c r="ID56" s="330"/>
      <c r="IE56" s="330"/>
      <c r="IF56" s="330"/>
      <c r="IG56" s="330"/>
      <c r="IH56" s="330"/>
      <c r="II56" s="330"/>
      <c r="IJ56" s="330"/>
      <c r="IK56" s="330"/>
      <c r="IL56" s="330"/>
      <c r="IM56" s="330"/>
      <c r="IN56" s="330"/>
      <c r="IO56" s="330"/>
      <c r="IP56" s="330"/>
    </row>
    <row r="57" spans="1:250" s="589" customFormat="1" x14ac:dyDescent="0.25">
      <c r="A57" s="2286"/>
      <c r="B57" s="2280"/>
      <c r="C57" s="556">
        <v>0</v>
      </c>
      <c r="D57" s="556">
        <v>0</v>
      </c>
      <c r="E57" s="557">
        <v>50</v>
      </c>
      <c r="F57" s="558">
        <v>1150</v>
      </c>
      <c r="G57" s="559"/>
      <c r="H57" s="1048">
        <f t="shared" si="2"/>
        <v>0</v>
      </c>
      <c r="I57" s="560" t="s">
        <v>781</v>
      </c>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0"/>
      <c r="AR57" s="330"/>
      <c r="AS57" s="330"/>
      <c r="AT57" s="330"/>
      <c r="AU57" s="330"/>
      <c r="AV57" s="330"/>
      <c r="AW57" s="330"/>
      <c r="AX57" s="330"/>
      <c r="AY57" s="330"/>
      <c r="AZ57" s="330"/>
      <c r="BA57" s="330"/>
      <c r="BB57" s="330"/>
      <c r="BC57" s="330"/>
      <c r="BD57" s="330"/>
      <c r="BE57" s="330"/>
      <c r="BF57" s="330"/>
      <c r="BG57" s="330"/>
      <c r="BH57" s="330"/>
      <c r="BI57" s="330"/>
      <c r="BJ57" s="330"/>
      <c r="BK57" s="330"/>
      <c r="BL57" s="330"/>
      <c r="BM57" s="330"/>
      <c r="BN57" s="330"/>
      <c r="BO57" s="330"/>
      <c r="BP57" s="330"/>
      <c r="BQ57" s="330"/>
      <c r="BR57" s="330"/>
      <c r="BS57" s="330"/>
      <c r="BT57" s="330"/>
      <c r="BU57" s="330"/>
      <c r="BV57" s="330"/>
      <c r="BW57" s="330"/>
      <c r="BX57" s="330"/>
      <c r="BY57" s="330"/>
      <c r="BZ57" s="330"/>
      <c r="CA57" s="330"/>
      <c r="CB57" s="330"/>
      <c r="CC57" s="330"/>
      <c r="CD57" s="330"/>
      <c r="CE57" s="330"/>
      <c r="CF57" s="330"/>
      <c r="CG57" s="330"/>
      <c r="CH57" s="330"/>
      <c r="CI57" s="330"/>
      <c r="CJ57" s="330"/>
      <c r="CK57" s="330"/>
      <c r="CL57" s="330"/>
      <c r="CM57" s="330"/>
      <c r="CN57" s="330"/>
      <c r="CO57" s="330"/>
      <c r="CP57" s="330"/>
      <c r="CQ57" s="330"/>
      <c r="CR57" s="330"/>
      <c r="CS57" s="330"/>
      <c r="CT57" s="330"/>
      <c r="CU57" s="330"/>
      <c r="CV57" s="330"/>
      <c r="CW57" s="330"/>
      <c r="CX57" s="330"/>
      <c r="CY57" s="330"/>
      <c r="CZ57" s="330"/>
      <c r="DA57" s="330"/>
      <c r="DB57" s="330"/>
      <c r="DC57" s="330"/>
      <c r="DD57" s="330"/>
      <c r="DE57" s="330"/>
      <c r="DF57" s="330"/>
      <c r="DG57" s="330"/>
      <c r="DH57" s="330"/>
      <c r="DI57" s="330"/>
      <c r="DJ57" s="330"/>
      <c r="DK57" s="330"/>
      <c r="DL57" s="330"/>
      <c r="DM57" s="330"/>
      <c r="DN57" s="330"/>
      <c r="DO57" s="330"/>
      <c r="DP57" s="330"/>
      <c r="DQ57" s="330"/>
      <c r="DR57" s="330"/>
      <c r="DS57" s="330"/>
      <c r="DT57" s="330"/>
      <c r="DU57" s="330"/>
      <c r="DV57" s="330"/>
      <c r="DW57" s="330"/>
      <c r="DX57" s="330"/>
      <c r="DY57" s="330"/>
      <c r="DZ57" s="330"/>
      <c r="EA57" s="330"/>
      <c r="EB57" s="330"/>
      <c r="EC57" s="330"/>
      <c r="ED57" s="330"/>
      <c r="EE57" s="330"/>
      <c r="EF57" s="330"/>
      <c r="EG57" s="330"/>
      <c r="EH57" s="330"/>
      <c r="EI57" s="330"/>
      <c r="EJ57" s="330"/>
      <c r="EK57" s="330"/>
      <c r="EL57" s="330"/>
      <c r="EM57" s="330"/>
      <c r="EN57" s="330"/>
      <c r="EO57" s="330"/>
      <c r="EP57" s="330"/>
      <c r="EQ57" s="330"/>
      <c r="ER57" s="330"/>
      <c r="ES57" s="330"/>
      <c r="ET57" s="330"/>
      <c r="EU57" s="330"/>
      <c r="EV57" s="330"/>
      <c r="EW57" s="330"/>
      <c r="EX57" s="330"/>
      <c r="EY57" s="330"/>
      <c r="EZ57" s="330"/>
      <c r="FA57" s="330"/>
      <c r="FB57" s="330"/>
      <c r="FC57" s="330"/>
      <c r="FD57" s="330"/>
      <c r="FE57" s="330"/>
      <c r="FF57" s="330"/>
      <c r="FG57" s="330"/>
      <c r="FH57" s="330"/>
      <c r="FI57" s="330"/>
      <c r="FJ57" s="330"/>
      <c r="FK57" s="330"/>
      <c r="FL57" s="330"/>
      <c r="FM57" s="330"/>
      <c r="FN57" s="330"/>
      <c r="FO57" s="330"/>
      <c r="FP57" s="330"/>
      <c r="FQ57" s="330"/>
      <c r="FR57" s="330"/>
      <c r="FS57" s="330"/>
      <c r="FT57" s="330"/>
      <c r="FU57" s="330"/>
      <c r="FV57" s="330"/>
      <c r="FW57" s="330"/>
      <c r="FX57" s="330"/>
      <c r="FY57" s="330"/>
      <c r="FZ57" s="330"/>
      <c r="GA57" s="330"/>
      <c r="GB57" s="330"/>
      <c r="GC57" s="330"/>
      <c r="GD57" s="330"/>
      <c r="GE57" s="330"/>
      <c r="GF57" s="330"/>
      <c r="GG57" s="330"/>
      <c r="GH57" s="330"/>
      <c r="GI57" s="330"/>
      <c r="GJ57" s="330"/>
      <c r="GK57" s="330"/>
      <c r="GL57" s="330"/>
      <c r="GM57" s="330"/>
      <c r="GN57" s="330"/>
      <c r="GO57" s="330"/>
      <c r="GP57" s="330"/>
      <c r="GQ57" s="330"/>
      <c r="GR57" s="330"/>
      <c r="GS57" s="330"/>
      <c r="GT57" s="330"/>
      <c r="GU57" s="330"/>
      <c r="GV57" s="330"/>
      <c r="GW57" s="330"/>
      <c r="GX57" s="330"/>
      <c r="GY57" s="330"/>
      <c r="GZ57" s="330"/>
      <c r="HA57" s="330"/>
      <c r="HB57" s="330"/>
      <c r="HC57" s="330"/>
      <c r="HD57" s="330"/>
      <c r="HE57" s="330"/>
      <c r="HF57" s="330"/>
      <c r="HG57" s="330"/>
      <c r="HH57" s="330"/>
      <c r="HI57" s="330"/>
      <c r="HJ57" s="330"/>
      <c r="HK57" s="330"/>
      <c r="HL57" s="330"/>
      <c r="HM57" s="330"/>
      <c r="HN57" s="330"/>
      <c r="HO57" s="330"/>
      <c r="HP57" s="330"/>
      <c r="HQ57" s="330"/>
      <c r="HR57" s="330"/>
      <c r="HS57" s="330"/>
      <c r="HT57" s="330"/>
      <c r="HU57" s="330"/>
      <c r="HV57" s="330"/>
      <c r="HW57" s="330"/>
      <c r="HX57" s="330"/>
      <c r="HY57" s="330"/>
      <c r="HZ57" s="330"/>
      <c r="IA57" s="330"/>
      <c r="IB57" s="330"/>
      <c r="IC57" s="330"/>
      <c r="ID57" s="330"/>
      <c r="IE57" s="330"/>
      <c r="IF57" s="330"/>
      <c r="IG57" s="330"/>
      <c r="IH57" s="330"/>
      <c r="II57" s="330"/>
      <c r="IJ57" s="330"/>
      <c r="IK57" s="330"/>
      <c r="IL57" s="330"/>
      <c r="IM57" s="330"/>
      <c r="IN57" s="330"/>
      <c r="IO57" s="330"/>
      <c r="IP57" s="330"/>
    </row>
    <row r="58" spans="1:250" s="589" customFormat="1" x14ac:dyDescent="0.25">
      <c r="A58" s="2287"/>
      <c r="B58" s="2281"/>
      <c r="C58" s="556">
        <v>0</v>
      </c>
      <c r="D58" s="556">
        <v>0</v>
      </c>
      <c r="E58" s="557">
        <v>13</v>
      </c>
      <c r="F58" s="558">
        <v>1210</v>
      </c>
      <c r="G58" s="559"/>
      <c r="H58" s="1048">
        <f t="shared" si="2"/>
        <v>0</v>
      </c>
      <c r="I58" s="56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0"/>
      <c r="BR58" s="330"/>
      <c r="BS58" s="330"/>
      <c r="BT58" s="330"/>
      <c r="BU58" s="330"/>
      <c r="BV58" s="330"/>
      <c r="BW58" s="330"/>
      <c r="BX58" s="330"/>
      <c r="BY58" s="330"/>
      <c r="BZ58" s="330"/>
      <c r="CA58" s="330"/>
      <c r="CB58" s="330"/>
      <c r="CC58" s="330"/>
      <c r="CD58" s="330"/>
      <c r="CE58" s="330"/>
      <c r="CF58" s="330"/>
      <c r="CG58" s="330"/>
      <c r="CH58" s="330"/>
      <c r="CI58" s="330"/>
      <c r="CJ58" s="330"/>
      <c r="CK58" s="330"/>
      <c r="CL58" s="330"/>
      <c r="CM58" s="330"/>
      <c r="CN58" s="330"/>
      <c r="CO58" s="330"/>
      <c r="CP58" s="330"/>
      <c r="CQ58" s="330"/>
      <c r="CR58" s="330"/>
      <c r="CS58" s="330"/>
      <c r="CT58" s="330"/>
      <c r="CU58" s="330"/>
      <c r="CV58" s="330"/>
      <c r="CW58" s="330"/>
      <c r="CX58" s="330"/>
      <c r="CY58" s="330"/>
      <c r="CZ58" s="330"/>
      <c r="DA58" s="330"/>
      <c r="DB58" s="330"/>
      <c r="DC58" s="330"/>
      <c r="DD58" s="330"/>
      <c r="DE58" s="330"/>
      <c r="DF58" s="330"/>
      <c r="DG58" s="330"/>
      <c r="DH58" s="330"/>
      <c r="DI58" s="330"/>
      <c r="DJ58" s="330"/>
      <c r="DK58" s="330"/>
      <c r="DL58" s="330"/>
      <c r="DM58" s="330"/>
      <c r="DN58" s="330"/>
      <c r="DO58" s="330"/>
      <c r="DP58" s="330"/>
      <c r="DQ58" s="330"/>
      <c r="DR58" s="330"/>
      <c r="DS58" s="330"/>
      <c r="DT58" s="330"/>
      <c r="DU58" s="330"/>
      <c r="DV58" s="330"/>
      <c r="DW58" s="330"/>
      <c r="DX58" s="330"/>
      <c r="DY58" s="330"/>
      <c r="DZ58" s="330"/>
      <c r="EA58" s="330"/>
      <c r="EB58" s="330"/>
      <c r="EC58" s="330"/>
      <c r="ED58" s="330"/>
      <c r="EE58" s="330"/>
      <c r="EF58" s="330"/>
      <c r="EG58" s="330"/>
      <c r="EH58" s="330"/>
      <c r="EI58" s="330"/>
      <c r="EJ58" s="330"/>
      <c r="EK58" s="330"/>
      <c r="EL58" s="330"/>
      <c r="EM58" s="330"/>
      <c r="EN58" s="330"/>
      <c r="EO58" s="330"/>
      <c r="EP58" s="330"/>
      <c r="EQ58" s="330"/>
      <c r="ER58" s="330"/>
      <c r="ES58" s="330"/>
      <c r="ET58" s="330"/>
      <c r="EU58" s="330"/>
      <c r="EV58" s="330"/>
      <c r="EW58" s="330"/>
      <c r="EX58" s="330"/>
      <c r="EY58" s="330"/>
      <c r="EZ58" s="330"/>
      <c r="FA58" s="330"/>
      <c r="FB58" s="330"/>
      <c r="FC58" s="330"/>
      <c r="FD58" s="330"/>
      <c r="FE58" s="330"/>
      <c r="FF58" s="330"/>
      <c r="FG58" s="330"/>
      <c r="FH58" s="330"/>
      <c r="FI58" s="330"/>
      <c r="FJ58" s="330"/>
      <c r="FK58" s="330"/>
      <c r="FL58" s="330"/>
      <c r="FM58" s="330"/>
      <c r="FN58" s="330"/>
      <c r="FO58" s="330"/>
      <c r="FP58" s="330"/>
      <c r="FQ58" s="330"/>
      <c r="FR58" s="330"/>
      <c r="FS58" s="330"/>
      <c r="FT58" s="330"/>
      <c r="FU58" s="330"/>
      <c r="FV58" s="330"/>
      <c r="FW58" s="330"/>
      <c r="FX58" s="330"/>
      <c r="FY58" s="330"/>
      <c r="FZ58" s="330"/>
      <c r="GA58" s="330"/>
      <c r="GB58" s="330"/>
      <c r="GC58" s="330"/>
      <c r="GD58" s="330"/>
      <c r="GE58" s="330"/>
      <c r="GF58" s="330"/>
      <c r="GG58" s="330"/>
      <c r="GH58" s="330"/>
      <c r="GI58" s="330"/>
      <c r="GJ58" s="330"/>
      <c r="GK58" s="330"/>
      <c r="GL58" s="330"/>
      <c r="GM58" s="330"/>
      <c r="GN58" s="330"/>
      <c r="GO58" s="330"/>
      <c r="GP58" s="330"/>
      <c r="GQ58" s="330"/>
      <c r="GR58" s="330"/>
      <c r="GS58" s="330"/>
      <c r="GT58" s="330"/>
      <c r="GU58" s="330"/>
      <c r="GV58" s="330"/>
      <c r="GW58" s="330"/>
      <c r="GX58" s="330"/>
      <c r="GY58" s="330"/>
      <c r="GZ58" s="330"/>
      <c r="HA58" s="330"/>
      <c r="HB58" s="330"/>
      <c r="HC58" s="330"/>
      <c r="HD58" s="330"/>
      <c r="HE58" s="330"/>
      <c r="HF58" s="330"/>
      <c r="HG58" s="330"/>
      <c r="HH58" s="330"/>
      <c r="HI58" s="330"/>
      <c r="HJ58" s="330"/>
      <c r="HK58" s="330"/>
      <c r="HL58" s="330"/>
      <c r="HM58" s="330"/>
      <c r="HN58" s="330"/>
      <c r="HO58" s="330"/>
      <c r="HP58" s="330"/>
      <c r="HQ58" s="330"/>
      <c r="HR58" s="330"/>
      <c r="HS58" s="330"/>
      <c r="HT58" s="330"/>
      <c r="HU58" s="330"/>
      <c r="HV58" s="330"/>
      <c r="HW58" s="330"/>
      <c r="HX58" s="330"/>
      <c r="HY58" s="330"/>
      <c r="HZ58" s="330"/>
      <c r="IA58" s="330"/>
      <c r="IB58" s="330"/>
      <c r="IC58" s="330"/>
      <c r="ID58" s="330"/>
      <c r="IE58" s="330"/>
      <c r="IF58" s="330"/>
      <c r="IG58" s="330"/>
      <c r="IH58" s="330"/>
      <c r="II58" s="330"/>
      <c r="IJ58" s="330"/>
      <c r="IK58" s="330"/>
      <c r="IL58" s="330"/>
      <c r="IM58" s="330"/>
      <c r="IN58" s="330"/>
      <c r="IO58" s="330"/>
      <c r="IP58" s="330"/>
    </row>
    <row r="59" spans="1:250" x14ac:dyDescent="0.25">
      <c r="A59" s="2285" t="s">
        <v>813</v>
      </c>
      <c r="B59" s="2279" t="s">
        <v>814</v>
      </c>
      <c r="C59" s="556">
        <v>120</v>
      </c>
      <c r="D59" s="556">
        <v>120</v>
      </c>
      <c r="E59" s="557">
        <v>80</v>
      </c>
      <c r="F59" s="558">
        <v>2390</v>
      </c>
      <c r="G59" s="559">
        <v>80</v>
      </c>
      <c r="H59" s="1048">
        <f t="shared" si="2"/>
        <v>114</v>
      </c>
      <c r="I59" s="560" t="s">
        <v>201</v>
      </c>
    </row>
    <row r="60" spans="1:250" x14ac:dyDescent="0.25">
      <c r="A60" s="2286"/>
      <c r="B60" s="2280"/>
      <c r="C60" s="556">
        <v>0</v>
      </c>
      <c r="D60" s="556">
        <v>0</v>
      </c>
      <c r="E60" s="557">
        <v>50</v>
      </c>
      <c r="F60" s="558">
        <v>1150</v>
      </c>
      <c r="G60" s="559"/>
      <c r="H60" s="1048">
        <f t="shared" si="2"/>
        <v>0</v>
      </c>
      <c r="I60" s="560" t="s">
        <v>781</v>
      </c>
    </row>
    <row r="61" spans="1:250" x14ac:dyDescent="0.25">
      <c r="A61" s="2287"/>
      <c r="B61" s="2281"/>
      <c r="C61" s="556">
        <v>0</v>
      </c>
      <c r="D61" s="556">
        <v>0</v>
      </c>
      <c r="E61" s="557">
        <v>13</v>
      </c>
      <c r="F61" s="558">
        <v>1210</v>
      </c>
      <c r="G61" s="559"/>
      <c r="H61" s="1048">
        <f t="shared" si="2"/>
        <v>0</v>
      </c>
      <c r="I61" s="560"/>
    </row>
    <row r="62" spans="1:250" x14ac:dyDescent="0.25">
      <c r="A62" s="2285" t="s">
        <v>815</v>
      </c>
      <c r="B62" s="2279" t="s">
        <v>816</v>
      </c>
      <c r="C62" s="556">
        <v>0</v>
      </c>
      <c r="D62" s="556">
        <v>0</v>
      </c>
      <c r="E62" s="557">
        <v>200</v>
      </c>
      <c r="F62" s="558">
        <v>2262</v>
      </c>
      <c r="G62" s="559">
        <v>200</v>
      </c>
      <c r="H62" s="1048">
        <f t="shared" si="2"/>
        <v>285</v>
      </c>
      <c r="I62" s="560" t="s">
        <v>817</v>
      </c>
    </row>
    <row r="63" spans="1:250" x14ac:dyDescent="0.25">
      <c r="A63" s="2287"/>
      <c r="B63" s="2281"/>
      <c r="C63" s="556">
        <v>0</v>
      </c>
      <c r="D63" s="556">
        <v>0</v>
      </c>
      <c r="E63" s="557">
        <v>100</v>
      </c>
      <c r="F63" s="558">
        <v>2363</v>
      </c>
      <c r="G63" s="559">
        <v>100</v>
      </c>
      <c r="H63" s="1048">
        <f t="shared" si="2"/>
        <v>143</v>
      </c>
      <c r="I63" s="560" t="s">
        <v>782</v>
      </c>
    </row>
    <row r="64" spans="1:250" ht="24.75" x14ac:dyDescent="0.25">
      <c r="A64" s="586" t="s">
        <v>818</v>
      </c>
      <c r="B64" s="585" t="s">
        <v>819</v>
      </c>
      <c r="C64" s="556">
        <v>300</v>
      </c>
      <c r="D64" s="556">
        <v>300</v>
      </c>
      <c r="E64" s="557">
        <v>300</v>
      </c>
      <c r="F64" s="558">
        <v>2390</v>
      </c>
      <c r="G64" s="559">
        <v>300</v>
      </c>
      <c r="H64" s="1048">
        <f t="shared" si="2"/>
        <v>427</v>
      </c>
      <c r="I64" s="563"/>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589"/>
      <c r="AI64" s="589"/>
      <c r="AJ64" s="589"/>
      <c r="AK64" s="589"/>
      <c r="AL64" s="589"/>
      <c r="AM64" s="589"/>
      <c r="AN64" s="589"/>
      <c r="AO64" s="589"/>
      <c r="AP64" s="589"/>
      <c r="AQ64" s="589"/>
      <c r="AR64" s="589"/>
      <c r="AS64" s="589"/>
      <c r="AT64" s="589"/>
      <c r="AU64" s="589"/>
      <c r="AV64" s="589"/>
      <c r="AW64" s="589"/>
      <c r="AX64" s="589"/>
      <c r="AY64" s="589"/>
      <c r="AZ64" s="589"/>
      <c r="BA64" s="589"/>
      <c r="BB64" s="589"/>
      <c r="BC64" s="589"/>
      <c r="BD64" s="589"/>
      <c r="BE64" s="589"/>
      <c r="BF64" s="589"/>
      <c r="BG64" s="589"/>
      <c r="BH64" s="589"/>
      <c r="BI64" s="589"/>
      <c r="BJ64" s="589"/>
      <c r="BK64" s="589"/>
      <c r="BL64" s="589"/>
      <c r="BM64" s="589"/>
      <c r="BN64" s="589"/>
      <c r="BO64" s="589"/>
      <c r="BP64" s="589"/>
      <c r="BQ64" s="589"/>
      <c r="BR64" s="589"/>
      <c r="BS64" s="589"/>
      <c r="BT64" s="589"/>
      <c r="BU64" s="589"/>
      <c r="BV64" s="589"/>
      <c r="BW64" s="589"/>
      <c r="BX64" s="589"/>
      <c r="BY64" s="589"/>
      <c r="BZ64" s="589"/>
      <c r="CA64" s="589"/>
      <c r="CB64" s="589"/>
      <c r="CC64" s="589"/>
      <c r="CD64" s="589"/>
      <c r="CE64" s="589"/>
      <c r="CF64" s="589"/>
      <c r="CG64" s="589"/>
      <c r="CH64" s="589"/>
      <c r="CI64" s="589"/>
      <c r="CJ64" s="589"/>
      <c r="CK64" s="589"/>
      <c r="CL64" s="589"/>
      <c r="CM64" s="589"/>
      <c r="CN64" s="589"/>
      <c r="CO64" s="589"/>
      <c r="CP64" s="589"/>
      <c r="CQ64" s="589"/>
      <c r="CR64" s="589"/>
      <c r="CS64" s="589"/>
      <c r="CT64" s="589"/>
      <c r="CU64" s="589"/>
      <c r="CV64" s="589"/>
      <c r="CW64" s="589"/>
      <c r="CX64" s="589"/>
      <c r="CY64" s="589"/>
      <c r="CZ64" s="589"/>
      <c r="DA64" s="589"/>
      <c r="DB64" s="589"/>
      <c r="DC64" s="589"/>
      <c r="DD64" s="589"/>
      <c r="DE64" s="589"/>
      <c r="DF64" s="589"/>
      <c r="DG64" s="589"/>
      <c r="DH64" s="589"/>
      <c r="DI64" s="589"/>
      <c r="DJ64" s="589"/>
      <c r="DK64" s="589"/>
      <c r="DL64" s="589"/>
      <c r="DM64" s="589"/>
      <c r="DN64" s="589"/>
      <c r="DO64" s="589"/>
      <c r="DP64" s="589"/>
      <c r="DQ64" s="589"/>
      <c r="DR64" s="589"/>
      <c r="DS64" s="589"/>
      <c r="DT64" s="589"/>
      <c r="DU64" s="589"/>
      <c r="DV64" s="589"/>
      <c r="DW64" s="589"/>
      <c r="DX64" s="589"/>
      <c r="DY64" s="589"/>
      <c r="DZ64" s="589"/>
      <c r="EA64" s="589"/>
      <c r="EB64" s="589"/>
      <c r="EC64" s="589"/>
      <c r="ED64" s="589"/>
      <c r="EE64" s="589"/>
      <c r="EF64" s="589"/>
      <c r="EG64" s="589"/>
      <c r="EH64" s="589"/>
      <c r="EI64" s="589"/>
      <c r="EJ64" s="589"/>
      <c r="EK64" s="589"/>
      <c r="EL64" s="589"/>
      <c r="EM64" s="589"/>
      <c r="EN64" s="589"/>
      <c r="EO64" s="589"/>
      <c r="EP64" s="589"/>
      <c r="EQ64" s="589"/>
      <c r="ER64" s="589"/>
      <c r="ES64" s="589"/>
      <c r="ET64" s="589"/>
      <c r="EU64" s="589"/>
      <c r="EV64" s="589"/>
      <c r="EW64" s="589"/>
      <c r="EX64" s="589"/>
      <c r="EY64" s="589"/>
      <c r="EZ64" s="589"/>
      <c r="FA64" s="589"/>
      <c r="FB64" s="589"/>
      <c r="FC64" s="589"/>
      <c r="FD64" s="589"/>
      <c r="FE64" s="589"/>
      <c r="FF64" s="589"/>
      <c r="FG64" s="589"/>
      <c r="FH64" s="589"/>
      <c r="FI64" s="589"/>
      <c r="FJ64" s="589"/>
      <c r="FK64" s="589"/>
      <c r="FL64" s="589"/>
      <c r="FM64" s="589"/>
      <c r="FN64" s="589"/>
      <c r="FO64" s="589"/>
      <c r="FP64" s="589"/>
      <c r="FQ64" s="589"/>
      <c r="FR64" s="589"/>
      <c r="FS64" s="589"/>
      <c r="FT64" s="589"/>
      <c r="FU64" s="589"/>
      <c r="FV64" s="589"/>
      <c r="FW64" s="589"/>
      <c r="FX64" s="589"/>
      <c r="FY64" s="589"/>
      <c r="FZ64" s="589"/>
      <c r="GA64" s="589"/>
      <c r="GB64" s="589"/>
      <c r="GC64" s="589"/>
      <c r="GD64" s="589"/>
      <c r="GE64" s="589"/>
      <c r="GF64" s="589"/>
      <c r="GG64" s="589"/>
      <c r="GH64" s="589"/>
      <c r="GI64" s="589"/>
      <c r="GJ64" s="589"/>
      <c r="GK64" s="589"/>
      <c r="GL64" s="589"/>
      <c r="GM64" s="589"/>
      <c r="GN64" s="589"/>
      <c r="GO64" s="589"/>
      <c r="GP64" s="589"/>
      <c r="GQ64" s="589"/>
      <c r="GR64" s="589"/>
      <c r="GS64" s="589"/>
      <c r="GT64" s="589"/>
      <c r="GU64" s="589"/>
      <c r="GV64" s="589"/>
      <c r="GW64" s="589"/>
      <c r="GX64" s="589"/>
      <c r="GY64" s="589"/>
      <c r="GZ64" s="589"/>
      <c r="HA64" s="589"/>
      <c r="HB64" s="589"/>
      <c r="HC64" s="589"/>
      <c r="HD64" s="589"/>
      <c r="HE64" s="589"/>
      <c r="HF64" s="589"/>
      <c r="HG64" s="589"/>
      <c r="HH64" s="589"/>
      <c r="HI64" s="589"/>
      <c r="HJ64" s="589"/>
      <c r="HK64" s="589"/>
      <c r="HL64" s="589"/>
      <c r="HM64" s="589"/>
      <c r="HN64" s="589"/>
      <c r="HO64" s="589"/>
      <c r="HP64" s="589"/>
      <c r="HQ64" s="589"/>
      <c r="HR64" s="589"/>
      <c r="HS64" s="589"/>
      <c r="HT64" s="589"/>
      <c r="HU64" s="589"/>
      <c r="HV64" s="589"/>
      <c r="HW64" s="589"/>
      <c r="HX64" s="589"/>
      <c r="HY64" s="589"/>
      <c r="HZ64" s="589"/>
      <c r="IA64" s="589"/>
      <c r="IB64" s="589"/>
      <c r="IC64" s="589"/>
      <c r="ID64" s="589"/>
      <c r="IE64" s="589"/>
      <c r="IF64" s="589"/>
      <c r="IG64" s="589"/>
      <c r="IH64" s="589"/>
      <c r="II64" s="589"/>
      <c r="IJ64" s="589"/>
      <c r="IK64" s="589"/>
      <c r="IL64" s="589"/>
      <c r="IM64" s="589"/>
      <c r="IN64" s="589"/>
      <c r="IO64" s="589"/>
      <c r="IP64" s="589"/>
    </row>
    <row r="65" spans="1:250" ht="24.75" x14ac:dyDescent="0.25">
      <c r="A65" s="590" t="s">
        <v>820</v>
      </c>
      <c r="B65" s="591" t="s">
        <v>821</v>
      </c>
      <c r="C65" s="566">
        <v>2000</v>
      </c>
      <c r="D65" s="566">
        <v>2000</v>
      </c>
      <c r="E65" s="567">
        <v>3000</v>
      </c>
      <c r="F65" s="1771">
        <v>2390</v>
      </c>
      <c r="G65" s="592"/>
      <c r="H65" s="1048">
        <f t="shared" si="2"/>
        <v>0</v>
      </c>
      <c r="I65" s="56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589"/>
      <c r="AI65" s="589"/>
      <c r="AJ65" s="589"/>
      <c r="AK65" s="589"/>
      <c r="AL65" s="589"/>
      <c r="AM65" s="589"/>
      <c r="AN65" s="589"/>
      <c r="AO65" s="589"/>
      <c r="AP65" s="589"/>
      <c r="AQ65" s="589"/>
      <c r="AR65" s="589"/>
      <c r="AS65" s="589"/>
      <c r="AT65" s="589"/>
      <c r="AU65" s="589"/>
      <c r="AV65" s="589"/>
      <c r="AW65" s="589"/>
      <c r="AX65" s="589"/>
      <c r="AY65" s="589"/>
      <c r="AZ65" s="589"/>
      <c r="BA65" s="589"/>
      <c r="BB65" s="589"/>
      <c r="BC65" s="589"/>
      <c r="BD65" s="589"/>
      <c r="BE65" s="589"/>
      <c r="BF65" s="589"/>
      <c r="BG65" s="589"/>
      <c r="BH65" s="589"/>
      <c r="BI65" s="589"/>
      <c r="BJ65" s="589"/>
      <c r="BK65" s="589"/>
      <c r="BL65" s="589"/>
      <c r="BM65" s="589"/>
      <c r="BN65" s="589"/>
      <c r="BO65" s="589"/>
      <c r="BP65" s="589"/>
      <c r="BQ65" s="589"/>
      <c r="BR65" s="589"/>
      <c r="BS65" s="589"/>
      <c r="BT65" s="589"/>
      <c r="BU65" s="589"/>
      <c r="BV65" s="589"/>
      <c r="BW65" s="589"/>
      <c r="BX65" s="589"/>
      <c r="BY65" s="589"/>
      <c r="BZ65" s="589"/>
      <c r="CA65" s="589"/>
      <c r="CB65" s="589"/>
      <c r="CC65" s="589"/>
      <c r="CD65" s="589"/>
      <c r="CE65" s="589"/>
      <c r="CF65" s="589"/>
      <c r="CG65" s="589"/>
      <c r="CH65" s="589"/>
      <c r="CI65" s="589"/>
      <c r="CJ65" s="589"/>
      <c r="CK65" s="589"/>
      <c r="CL65" s="589"/>
      <c r="CM65" s="589"/>
      <c r="CN65" s="589"/>
      <c r="CO65" s="589"/>
      <c r="CP65" s="589"/>
      <c r="CQ65" s="589"/>
      <c r="CR65" s="589"/>
      <c r="CS65" s="589"/>
      <c r="CT65" s="589"/>
      <c r="CU65" s="589"/>
      <c r="CV65" s="589"/>
      <c r="CW65" s="589"/>
      <c r="CX65" s="589"/>
      <c r="CY65" s="589"/>
      <c r="CZ65" s="589"/>
      <c r="DA65" s="589"/>
      <c r="DB65" s="589"/>
      <c r="DC65" s="589"/>
      <c r="DD65" s="589"/>
      <c r="DE65" s="589"/>
      <c r="DF65" s="589"/>
      <c r="DG65" s="589"/>
      <c r="DH65" s="589"/>
      <c r="DI65" s="589"/>
      <c r="DJ65" s="589"/>
      <c r="DK65" s="589"/>
      <c r="DL65" s="589"/>
      <c r="DM65" s="589"/>
      <c r="DN65" s="589"/>
      <c r="DO65" s="589"/>
      <c r="DP65" s="589"/>
      <c r="DQ65" s="589"/>
      <c r="DR65" s="589"/>
      <c r="DS65" s="589"/>
      <c r="DT65" s="589"/>
      <c r="DU65" s="589"/>
      <c r="DV65" s="589"/>
      <c r="DW65" s="589"/>
      <c r="DX65" s="589"/>
      <c r="DY65" s="589"/>
      <c r="DZ65" s="589"/>
      <c r="EA65" s="589"/>
      <c r="EB65" s="589"/>
      <c r="EC65" s="589"/>
      <c r="ED65" s="589"/>
      <c r="EE65" s="589"/>
      <c r="EF65" s="589"/>
      <c r="EG65" s="589"/>
      <c r="EH65" s="589"/>
      <c r="EI65" s="589"/>
      <c r="EJ65" s="589"/>
      <c r="EK65" s="589"/>
      <c r="EL65" s="589"/>
      <c r="EM65" s="589"/>
      <c r="EN65" s="589"/>
      <c r="EO65" s="589"/>
      <c r="EP65" s="589"/>
      <c r="EQ65" s="589"/>
      <c r="ER65" s="589"/>
      <c r="ES65" s="589"/>
      <c r="ET65" s="589"/>
      <c r="EU65" s="589"/>
      <c r="EV65" s="589"/>
      <c r="EW65" s="589"/>
      <c r="EX65" s="589"/>
      <c r="EY65" s="589"/>
      <c r="EZ65" s="589"/>
      <c r="FA65" s="589"/>
      <c r="FB65" s="589"/>
      <c r="FC65" s="589"/>
      <c r="FD65" s="589"/>
      <c r="FE65" s="589"/>
      <c r="FF65" s="589"/>
      <c r="FG65" s="589"/>
      <c r="FH65" s="589"/>
      <c r="FI65" s="589"/>
      <c r="FJ65" s="589"/>
      <c r="FK65" s="589"/>
      <c r="FL65" s="589"/>
      <c r="FM65" s="589"/>
      <c r="FN65" s="589"/>
      <c r="FO65" s="589"/>
      <c r="FP65" s="589"/>
      <c r="FQ65" s="589"/>
      <c r="FR65" s="589"/>
      <c r="FS65" s="589"/>
      <c r="FT65" s="589"/>
      <c r="FU65" s="589"/>
      <c r="FV65" s="589"/>
      <c r="FW65" s="589"/>
      <c r="FX65" s="589"/>
      <c r="FY65" s="589"/>
      <c r="FZ65" s="589"/>
      <c r="GA65" s="589"/>
      <c r="GB65" s="589"/>
      <c r="GC65" s="589"/>
      <c r="GD65" s="589"/>
      <c r="GE65" s="589"/>
      <c r="GF65" s="589"/>
      <c r="GG65" s="589"/>
      <c r="GH65" s="589"/>
      <c r="GI65" s="589"/>
      <c r="GJ65" s="589"/>
      <c r="GK65" s="589"/>
      <c r="GL65" s="589"/>
      <c r="GM65" s="589"/>
      <c r="GN65" s="589"/>
      <c r="GO65" s="589"/>
      <c r="GP65" s="589"/>
      <c r="GQ65" s="589"/>
      <c r="GR65" s="589"/>
      <c r="GS65" s="589"/>
      <c r="GT65" s="589"/>
      <c r="GU65" s="589"/>
      <c r="GV65" s="589"/>
      <c r="GW65" s="589"/>
      <c r="GX65" s="589"/>
      <c r="GY65" s="589"/>
      <c r="GZ65" s="589"/>
      <c r="HA65" s="589"/>
      <c r="HB65" s="589"/>
      <c r="HC65" s="589"/>
      <c r="HD65" s="589"/>
      <c r="HE65" s="589"/>
      <c r="HF65" s="589"/>
      <c r="HG65" s="589"/>
      <c r="HH65" s="589"/>
      <c r="HI65" s="589"/>
      <c r="HJ65" s="589"/>
      <c r="HK65" s="589"/>
      <c r="HL65" s="589"/>
      <c r="HM65" s="589"/>
      <c r="HN65" s="589"/>
      <c r="HO65" s="589"/>
      <c r="HP65" s="589"/>
      <c r="HQ65" s="589"/>
      <c r="HR65" s="589"/>
      <c r="HS65" s="589"/>
      <c r="HT65" s="589"/>
      <c r="HU65" s="589"/>
      <c r="HV65" s="589"/>
      <c r="HW65" s="589"/>
      <c r="HX65" s="589"/>
      <c r="HY65" s="589"/>
      <c r="HZ65" s="589"/>
      <c r="IA65" s="589"/>
      <c r="IB65" s="589"/>
      <c r="IC65" s="589"/>
      <c r="ID65" s="589"/>
      <c r="IE65" s="589"/>
      <c r="IF65" s="589"/>
      <c r="IG65" s="589"/>
      <c r="IH65" s="589"/>
      <c r="II65" s="589"/>
      <c r="IJ65" s="589"/>
      <c r="IK65" s="589"/>
      <c r="IL65" s="589"/>
      <c r="IM65" s="589"/>
      <c r="IN65" s="589"/>
      <c r="IO65" s="589"/>
      <c r="IP65" s="589"/>
    </row>
    <row r="66" spans="1:250" x14ac:dyDescent="0.25">
      <c r="A66" s="593" t="s">
        <v>822</v>
      </c>
      <c r="B66" s="594" t="s">
        <v>823</v>
      </c>
      <c r="C66" s="572">
        <f>SUM(C67:C174)</f>
        <v>15967</v>
      </c>
      <c r="D66" s="572">
        <f>SUM(D67:D174)</f>
        <v>15175</v>
      </c>
      <c r="E66" s="572">
        <f>SUM(E67:E174)</f>
        <v>18723</v>
      </c>
      <c r="F66" s="573"/>
      <c r="G66" s="575">
        <f>SUM(G67:G174)</f>
        <v>17336</v>
      </c>
      <c r="H66" s="1047">
        <f>SUM(H67:H174)</f>
        <v>24713</v>
      </c>
      <c r="I66" s="576"/>
    </row>
    <row r="67" spans="1:250" x14ac:dyDescent="0.25">
      <c r="A67" s="2263" t="s">
        <v>824</v>
      </c>
      <c r="B67" s="2250" t="s">
        <v>825</v>
      </c>
      <c r="C67" s="577">
        <v>150</v>
      </c>
      <c r="D67" s="577">
        <v>150</v>
      </c>
      <c r="E67" s="578">
        <v>200</v>
      </c>
      <c r="F67" s="579">
        <v>2363</v>
      </c>
      <c r="G67" s="580">
        <v>200</v>
      </c>
      <c r="H67" s="1048">
        <f t="shared" si="2"/>
        <v>285</v>
      </c>
      <c r="I67" s="595"/>
    </row>
    <row r="68" spans="1:250" x14ac:dyDescent="0.25">
      <c r="A68" s="2260"/>
      <c r="B68" s="2256"/>
      <c r="C68" s="556">
        <v>350</v>
      </c>
      <c r="D68" s="556">
        <v>350</v>
      </c>
      <c r="E68" s="557">
        <v>400</v>
      </c>
      <c r="F68" s="582">
        <v>2390</v>
      </c>
      <c r="G68" s="583">
        <v>400</v>
      </c>
      <c r="H68" s="1048">
        <f t="shared" si="2"/>
        <v>570</v>
      </c>
      <c r="I68" s="563"/>
    </row>
    <row r="69" spans="1:250" x14ac:dyDescent="0.25">
      <c r="A69" s="2260"/>
      <c r="B69" s="2256"/>
      <c r="C69" s="556">
        <v>100</v>
      </c>
      <c r="D69" s="556">
        <v>100</v>
      </c>
      <c r="E69" s="557">
        <v>150</v>
      </c>
      <c r="F69" s="582">
        <v>2264</v>
      </c>
      <c r="G69" s="583">
        <v>150</v>
      </c>
      <c r="H69" s="1048">
        <f t="shared" si="2"/>
        <v>214</v>
      </c>
      <c r="I69" s="563"/>
    </row>
    <row r="70" spans="1:250" x14ac:dyDescent="0.25">
      <c r="A70" s="2260" t="s">
        <v>826</v>
      </c>
      <c r="B70" s="2256" t="s">
        <v>827</v>
      </c>
      <c r="C70" s="556">
        <v>80</v>
      </c>
      <c r="D70" s="556">
        <v>70</v>
      </c>
      <c r="E70" s="557">
        <v>80</v>
      </c>
      <c r="F70" s="582">
        <v>2390</v>
      </c>
      <c r="G70" s="583">
        <v>80</v>
      </c>
      <c r="H70" s="1048">
        <f t="shared" si="2"/>
        <v>114</v>
      </c>
      <c r="I70" s="563"/>
    </row>
    <row r="71" spans="1:250" x14ac:dyDescent="0.25">
      <c r="A71" s="2260"/>
      <c r="B71" s="2256"/>
      <c r="C71" s="556">
        <v>100</v>
      </c>
      <c r="D71" s="556">
        <v>100</v>
      </c>
      <c r="E71" s="557">
        <v>100</v>
      </c>
      <c r="F71" s="582">
        <v>2363</v>
      </c>
      <c r="G71" s="583">
        <v>100</v>
      </c>
      <c r="H71" s="1048">
        <f t="shared" si="2"/>
        <v>143</v>
      </c>
      <c r="I71" s="563"/>
    </row>
    <row r="72" spans="1:250" ht="48.75" x14ac:dyDescent="0.25">
      <c r="A72" s="584" t="s">
        <v>828</v>
      </c>
      <c r="B72" s="587" t="s">
        <v>829</v>
      </c>
      <c r="C72" s="556">
        <v>50</v>
      </c>
      <c r="D72" s="556">
        <v>50</v>
      </c>
      <c r="E72" s="557">
        <v>50</v>
      </c>
      <c r="F72" s="582">
        <v>2390</v>
      </c>
      <c r="G72" s="583">
        <v>50</v>
      </c>
      <c r="H72" s="1048">
        <f t="shared" si="2"/>
        <v>72</v>
      </c>
      <c r="I72" s="563"/>
    </row>
    <row r="73" spans="1:250" ht="24.75" x14ac:dyDescent="0.25">
      <c r="A73" s="584" t="s">
        <v>830</v>
      </c>
      <c r="B73" s="587" t="s">
        <v>831</v>
      </c>
      <c r="C73" s="556">
        <v>50</v>
      </c>
      <c r="D73" s="556">
        <v>49</v>
      </c>
      <c r="E73" s="557">
        <v>50</v>
      </c>
      <c r="F73" s="582">
        <v>2390</v>
      </c>
      <c r="G73" s="583">
        <v>50</v>
      </c>
      <c r="H73" s="1048">
        <f t="shared" si="2"/>
        <v>72</v>
      </c>
      <c r="I73" s="563"/>
    </row>
    <row r="74" spans="1:250" ht="24" x14ac:dyDescent="0.25">
      <c r="A74" s="584" t="s">
        <v>832</v>
      </c>
      <c r="B74" s="588" t="s">
        <v>833</v>
      </c>
      <c r="C74" s="556">
        <f>80+70</f>
        <v>150</v>
      </c>
      <c r="D74" s="556">
        <v>150</v>
      </c>
      <c r="E74" s="557">
        <v>150</v>
      </c>
      <c r="F74" s="558">
        <v>2390</v>
      </c>
      <c r="G74" s="559">
        <v>150</v>
      </c>
      <c r="H74" s="1048">
        <f t="shared" si="2"/>
        <v>214</v>
      </c>
      <c r="I74" s="563"/>
    </row>
    <row r="75" spans="1:250" ht="24.75" x14ac:dyDescent="0.25">
      <c r="A75" s="584" t="s">
        <v>834</v>
      </c>
      <c r="B75" s="585" t="s">
        <v>835</v>
      </c>
      <c r="C75" s="556">
        <v>0</v>
      </c>
      <c r="D75" s="556">
        <v>0</v>
      </c>
      <c r="E75" s="557">
        <v>100</v>
      </c>
      <c r="F75" s="558">
        <v>2390</v>
      </c>
      <c r="G75" s="559">
        <v>100</v>
      </c>
      <c r="H75" s="1048">
        <f t="shared" si="2"/>
        <v>143</v>
      </c>
      <c r="I75" s="563"/>
    </row>
    <row r="76" spans="1:250" ht="24" x14ac:dyDescent="0.25">
      <c r="A76" s="584" t="s">
        <v>836</v>
      </c>
      <c r="B76" s="588" t="s">
        <v>837</v>
      </c>
      <c r="C76" s="556">
        <f>50+50</f>
        <v>100</v>
      </c>
      <c r="D76" s="556">
        <v>100</v>
      </c>
      <c r="E76" s="557">
        <v>0</v>
      </c>
      <c r="F76" s="558">
        <v>2311</v>
      </c>
      <c r="G76" s="559"/>
      <c r="H76" s="1048">
        <f t="shared" si="2"/>
        <v>0</v>
      </c>
      <c r="I76" s="563"/>
    </row>
    <row r="77" spans="1:250" x14ac:dyDescent="0.25">
      <c r="A77" s="2262" t="s">
        <v>838</v>
      </c>
      <c r="B77" s="2264" t="s">
        <v>839</v>
      </c>
      <c r="C77" s="556">
        <v>1020</v>
      </c>
      <c r="D77" s="556">
        <v>1020</v>
      </c>
      <c r="E77" s="557">
        <v>0</v>
      </c>
      <c r="F77" s="558">
        <v>2262</v>
      </c>
      <c r="G77" s="559"/>
      <c r="H77" s="1048">
        <f t="shared" si="2"/>
        <v>0</v>
      </c>
      <c r="I77" s="563"/>
    </row>
    <row r="78" spans="1:250" x14ac:dyDescent="0.25">
      <c r="A78" s="2272"/>
      <c r="B78" s="2265"/>
      <c r="C78" s="556">
        <v>1000</v>
      </c>
      <c r="D78" s="556">
        <v>838</v>
      </c>
      <c r="E78" s="557">
        <v>0</v>
      </c>
      <c r="F78" s="558">
        <v>2279</v>
      </c>
      <c r="G78" s="559"/>
      <c r="H78" s="1048">
        <f t="shared" si="2"/>
        <v>0</v>
      </c>
      <c r="I78" s="563"/>
    </row>
    <row r="79" spans="1:250" x14ac:dyDescent="0.25">
      <c r="A79" s="2263"/>
      <c r="B79" s="2292"/>
      <c r="C79" s="556">
        <v>180</v>
      </c>
      <c r="D79" s="556">
        <v>177</v>
      </c>
      <c r="E79" s="557">
        <v>0</v>
      </c>
      <c r="F79" s="558">
        <v>2390</v>
      </c>
      <c r="G79" s="559"/>
      <c r="H79" s="1048">
        <f t="shared" si="2"/>
        <v>0</v>
      </c>
      <c r="I79" s="563"/>
    </row>
    <row r="80" spans="1:250" ht="24.75" x14ac:dyDescent="0.25">
      <c r="A80" s="584" t="s">
        <v>840</v>
      </c>
      <c r="B80" s="585" t="s">
        <v>841</v>
      </c>
      <c r="C80" s="556">
        <v>0</v>
      </c>
      <c r="D80" s="556">
        <v>0</v>
      </c>
      <c r="E80" s="557">
        <v>100</v>
      </c>
      <c r="F80" s="558">
        <v>2390</v>
      </c>
      <c r="G80" s="559">
        <v>100</v>
      </c>
      <c r="H80" s="1048">
        <f t="shared" si="2"/>
        <v>143</v>
      </c>
      <c r="I80" s="563"/>
    </row>
    <row r="81" spans="1:9" x14ac:dyDescent="0.25">
      <c r="A81" s="584" t="s">
        <v>842</v>
      </c>
      <c r="B81" s="585" t="s">
        <v>843</v>
      </c>
      <c r="C81" s="556">
        <v>0</v>
      </c>
      <c r="D81" s="556">
        <v>0</v>
      </c>
      <c r="E81" s="557">
        <v>70</v>
      </c>
      <c r="F81" s="558">
        <v>2390</v>
      </c>
      <c r="G81" s="559">
        <v>70</v>
      </c>
      <c r="H81" s="1048">
        <f t="shared" si="2"/>
        <v>100</v>
      </c>
      <c r="I81" s="560" t="s">
        <v>201</v>
      </c>
    </row>
    <row r="82" spans="1:9" ht="24.75" x14ac:dyDescent="0.25">
      <c r="A82" s="596" t="s">
        <v>844</v>
      </c>
      <c r="B82" s="591" t="s">
        <v>845</v>
      </c>
      <c r="C82" s="556">
        <v>0</v>
      </c>
      <c r="D82" s="556">
        <v>0</v>
      </c>
      <c r="E82" s="557">
        <v>800</v>
      </c>
      <c r="F82" s="558">
        <v>2275</v>
      </c>
      <c r="G82" s="559">
        <v>800</v>
      </c>
      <c r="H82" s="1048">
        <f t="shared" si="2"/>
        <v>1139</v>
      </c>
      <c r="I82" s="563"/>
    </row>
    <row r="83" spans="1:9" x14ac:dyDescent="0.25">
      <c r="A83" s="2260" t="s">
        <v>846</v>
      </c>
      <c r="B83" s="2266" t="s">
        <v>847</v>
      </c>
      <c r="C83" s="556">
        <f>600</f>
        <v>600</v>
      </c>
      <c r="D83" s="556">
        <v>442</v>
      </c>
      <c r="E83" s="557">
        <v>1000</v>
      </c>
      <c r="F83" s="558">
        <v>2363</v>
      </c>
      <c r="G83" s="559"/>
      <c r="H83" s="1048">
        <f t="shared" si="2"/>
        <v>0</v>
      </c>
      <c r="I83" s="560" t="s">
        <v>204</v>
      </c>
    </row>
    <row r="84" spans="1:9" x14ac:dyDescent="0.25">
      <c r="A84" s="2260"/>
      <c r="B84" s="2266"/>
      <c r="C84" s="556">
        <v>500</v>
      </c>
      <c r="D84" s="556">
        <v>422</v>
      </c>
      <c r="E84" s="557">
        <v>1000</v>
      </c>
      <c r="F84" s="558">
        <v>2279</v>
      </c>
      <c r="G84" s="559">
        <v>1000</v>
      </c>
      <c r="H84" s="1048">
        <f t="shared" si="2"/>
        <v>1423</v>
      </c>
      <c r="I84" s="560" t="s">
        <v>848</v>
      </c>
    </row>
    <row r="85" spans="1:9" x14ac:dyDescent="0.25">
      <c r="A85" s="2260"/>
      <c r="B85" s="2266"/>
      <c r="C85" s="556">
        <v>200</v>
      </c>
      <c r="D85" s="556">
        <v>185</v>
      </c>
      <c r="E85" s="557">
        <v>200</v>
      </c>
      <c r="F85" s="558">
        <v>2370</v>
      </c>
      <c r="G85" s="559">
        <v>200</v>
      </c>
      <c r="H85" s="1048">
        <f t="shared" si="2"/>
        <v>285</v>
      </c>
      <c r="I85" s="560"/>
    </row>
    <row r="86" spans="1:9" x14ac:dyDescent="0.25">
      <c r="A86" s="2260"/>
      <c r="B86" s="2266"/>
      <c r="C86" s="556">
        <v>200</v>
      </c>
      <c r="D86" s="556">
        <v>200</v>
      </c>
      <c r="E86" s="557">
        <v>200</v>
      </c>
      <c r="F86" s="558">
        <v>2390</v>
      </c>
      <c r="G86" s="559">
        <v>200</v>
      </c>
      <c r="H86" s="1048">
        <f t="shared" si="2"/>
        <v>285</v>
      </c>
      <c r="I86" s="560"/>
    </row>
    <row r="87" spans="1:9" x14ac:dyDescent="0.25">
      <c r="A87" s="2260"/>
      <c r="B87" s="2266"/>
      <c r="C87" s="556">
        <v>1500</v>
      </c>
      <c r="D87" s="556">
        <v>1500</v>
      </c>
      <c r="E87" s="557">
        <v>1800</v>
      </c>
      <c r="F87" s="558">
        <v>1150</v>
      </c>
      <c r="G87" s="559">
        <v>1800</v>
      </c>
      <c r="H87" s="1048">
        <f t="shared" si="2"/>
        <v>2562</v>
      </c>
      <c r="I87" s="560" t="s">
        <v>849</v>
      </c>
    </row>
    <row r="88" spans="1:9" x14ac:dyDescent="0.25">
      <c r="A88" s="2262"/>
      <c r="B88" s="2279"/>
      <c r="C88" s="566">
        <v>360</v>
      </c>
      <c r="D88" s="566">
        <v>360</v>
      </c>
      <c r="E88" s="567">
        <v>434</v>
      </c>
      <c r="F88" s="1771">
        <v>1210</v>
      </c>
      <c r="G88" s="592">
        <v>434</v>
      </c>
      <c r="H88" s="1048">
        <f t="shared" si="2"/>
        <v>618</v>
      </c>
      <c r="I88" s="597"/>
    </row>
    <row r="89" spans="1:9" ht="36" x14ac:dyDescent="0.25">
      <c r="A89" s="1241" t="s">
        <v>851</v>
      </c>
      <c r="B89" s="1242" t="s">
        <v>1964</v>
      </c>
      <c r="C89" s="1234">
        <v>0</v>
      </c>
      <c r="D89" s="1234">
        <v>0</v>
      </c>
      <c r="E89" s="1235">
        <v>1000</v>
      </c>
      <c r="F89" s="1051">
        <v>2279</v>
      </c>
      <c r="G89" s="1250">
        <v>1000</v>
      </c>
      <c r="H89" s="1251">
        <f t="shared" si="2"/>
        <v>1423</v>
      </c>
      <c r="I89" s="1252"/>
    </row>
    <row r="90" spans="1:9" x14ac:dyDescent="0.25">
      <c r="A90" s="598"/>
      <c r="B90" s="543" t="s">
        <v>850</v>
      </c>
      <c r="C90" s="599"/>
      <c r="D90" s="599"/>
      <c r="E90" s="600"/>
      <c r="F90" s="573"/>
      <c r="G90" s="575"/>
      <c r="H90" s="1047"/>
      <c r="I90" s="576"/>
    </row>
    <row r="91" spans="1:9" x14ac:dyDescent="0.25">
      <c r="A91" s="2263" t="s">
        <v>851</v>
      </c>
      <c r="B91" s="2250" t="s">
        <v>852</v>
      </c>
      <c r="C91" s="577">
        <v>10</v>
      </c>
      <c r="D91" s="577">
        <v>10</v>
      </c>
      <c r="E91" s="578">
        <v>10</v>
      </c>
      <c r="F91" s="579">
        <v>2311</v>
      </c>
      <c r="G91" s="580">
        <v>10</v>
      </c>
      <c r="H91" s="1048">
        <f t="shared" si="2"/>
        <v>15</v>
      </c>
      <c r="I91" s="595"/>
    </row>
    <row r="92" spans="1:9" x14ac:dyDescent="0.25">
      <c r="A92" s="2260"/>
      <c r="B92" s="2256"/>
      <c r="C92" s="556">
        <v>100</v>
      </c>
      <c r="D92" s="556">
        <v>98</v>
      </c>
      <c r="E92" s="557">
        <v>100</v>
      </c>
      <c r="F92" s="582">
        <v>2390</v>
      </c>
      <c r="G92" s="583">
        <v>100</v>
      </c>
      <c r="H92" s="1048">
        <f t="shared" si="2"/>
        <v>143</v>
      </c>
      <c r="I92" s="563"/>
    </row>
    <row r="93" spans="1:9" x14ac:dyDescent="0.25">
      <c r="A93" s="2260"/>
      <c r="B93" s="2256"/>
      <c r="C93" s="556">
        <v>87</v>
      </c>
      <c r="D93" s="556">
        <v>86</v>
      </c>
      <c r="E93" s="557">
        <v>200</v>
      </c>
      <c r="F93" s="582">
        <v>2264</v>
      </c>
      <c r="G93" s="583">
        <v>200</v>
      </c>
      <c r="H93" s="1048">
        <f t="shared" si="2"/>
        <v>285</v>
      </c>
      <c r="I93" s="563"/>
    </row>
    <row r="94" spans="1:9" x14ac:dyDescent="0.25">
      <c r="A94" s="2260"/>
      <c r="B94" s="2256"/>
      <c r="C94" s="556">
        <v>30</v>
      </c>
      <c r="D94" s="556">
        <v>30</v>
      </c>
      <c r="E94" s="557">
        <v>30</v>
      </c>
      <c r="F94" s="582">
        <v>2352</v>
      </c>
      <c r="G94" s="583">
        <v>30</v>
      </c>
      <c r="H94" s="1048">
        <f t="shared" ref="H94:H160" si="3">ROUNDUP(G94/0.702804,0)</f>
        <v>43</v>
      </c>
      <c r="I94" s="563"/>
    </row>
    <row r="95" spans="1:9" x14ac:dyDescent="0.25">
      <c r="A95" s="2262"/>
      <c r="B95" s="2249"/>
      <c r="C95" s="566">
        <v>734</v>
      </c>
      <c r="D95" s="566">
        <v>732</v>
      </c>
      <c r="E95" s="567">
        <v>900</v>
      </c>
      <c r="F95" s="601">
        <v>1150</v>
      </c>
      <c r="G95" s="602">
        <v>800</v>
      </c>
      <c r="H95" s="1048">
        <f t="shared" si="3"/>
        <v>1139</v>
      </c>
      <c r="I95" s="569"/>
    </row>
    <row r="96" spans="1:9" x14ac:dyDescent="0.25">
      <c r="A96" s="603"/>
      <c r="B96" s="543" t="s">
        <v>853</v>
      </c>
      <c r="C96" s="599"/>
      <c r="D96" s="599"/>
      <c r="E96" s="600"/>
      <c r="F96" s="604"/>
      <c r="G96" s="605"/>
      <c r="H96" s="599"/>
      <c r="I96" s="576"/>
    </row>
    <row r="97" spans="1:9" x14ac:dyDescent="0.25">
      <c r="A97" s="2263" t="s">
        <v>854</v>
      </c>
      <c r="B97" s="2269" t="s">
        <v>855</v>
      </c>
      <c r="C97" s="577">
        <v>0</v>
      </c>
      <c r="D97" s="577">
        <v>0</v>
      </c>
      <c r="E97" s="578">
        <v>200</v>
      </c>
      <c r="F97" s="579">
        <v>2390</v>
      </c>
      <c r="G97" s="580">
        <v>200</v>
      </c>
      <c r="H97" s="1048">
        <f t="shared" si="3"/>
        <v>285</v>
      </c>
      <c r="I97" s="581" t="s">
        <v>201</v>
      </c>
    </row>
    <row r="98" spans="1:9" x14ac:dyDescent="0.25">
      <c r="A98" s="2260"/>
      <c r="B98" s="2261"/>
      <c r="C98" s="556">
        <v>0</v>
      </c>
      <c r="D98" s="556">
        <v>0</v>
      </c>
      <c r="E98" s="557">
        <v>400</v>
      </c>
      <c r="F98" s="582">
        <v>2370</v>
      </c>
      <c r="G98" s="583">
        <v>400</v>
      </c>
      <c r="H98" s="1048">
        <f t="shared" si="3"/>
        <v>570</v>
      </c>
      <c r="I98" s="560" t="s">
        <v>804</v>
      </c>
    </row>
    <row r="99" spans="1:9" ht="24.75" x14ac:dyDescent="0.25">
      <c r="A99" s="2260" t="s">
        <v>856</v>
      </c>
      <c r="B99" s="2261" t="s">
        <v>857</v>
      </c>
      <c r="C99" s="556">
        <v>0</v>
      </c>
      <c r="D99" s="556">
        <v>0</v>
      </c>
      <c r="E99" s="557">
        <v>600</v>
      </c>
      <c r="F99" s="582">
        <v>2370</v>
      </c>
      <c r="G99" s="583">
        <v>600</v>
      </c>
      <c r="H99" s="1048">
        <f t="shared" si="3"/>
        <v>854</v>
      </c>
      <c r="I99" s="560" t="s">
        <v>858</v>
      </c>
    </row>
    <row r="100" spans="1:9" x14ac:dyDescent="0.25">
      <c r="A100" s="2260"/>
      <c r="B100" s="2261"/>
      <c r="C100" s="556">
        <v>400</v>
      </c>
      <c r="D100" s="556">
        <v>400</v>
      </c>
      <c r="E100" s="557">
        <v>150</v>
      </c>
      <c r="F100" s="582">
        <v>2390</v>
      </c>
      <c r="G100" s="583">
        <v>150</v>
      </c>
      <c r="H100" s="1048">
        <f t="shared" si="3"/>
        <v>214</v>
      </c>
      <c r="I100" s="560" t="s">
        <v>201</v>
      </c>
    </row>
    <row r="101" spans="1:9" x14ac:dyDescent="0.25">
      <c r="A101" s="2260" t="s">
        <v>859</v>
      </c>
      <c r="B101" s="2261" t="s">
        <v>860</v>
      </c>
      <c r="C101" s="556">
        <v>200</v>
      </c>
      <c r="D101" s="556">
        <v>199</v>
      </c>
      <c r="E101" s="557">
        <v>0</v>
      </c>
      <c r="F101" s="582">
        <v>2370</v>
      </c>
      <c r="G101" s="583"/>
      <c r="H101" s="1048">
        <f t="shared" si="3"/>
        <v>0</v>
      </c>
      <c r="I101" s="563"/>
    </row>
    <row r="102" spans="1:9" x14ac:dyDescent="0.25">
      <c r="A102" s="2262"/>
      <c r="B102" s="2291"/>
      <c r="C102" s="566">
        <v>70</v>
      </c>
      <c r="D102" s="566">
        <v>69</v>
      </c>
      <c r="E102" s="567">
        <v>0</v>
      </c>
      <c r="F102" s="601">
        <v>2311</v>
      </c>
      <c r="G102" s="602"/>
      <c r="H102" s="1048">
        <f t="shared" si="3"/>
        <v>0</v>
      </c>
      <c r="I102" s="569"/>
    </row>
    <row r="103" spans="1:9" x14ac:dyDescent="0.25">
      <c r="A103" s="603"/>
      <c r="B103" s="606" t="s">
        <v>861</v>
      </c>
      <c r="C103" s="599"/>
      <c r="D103" s="599"/>
      <c r="E103" s="600"/>
      <c r="F103" s="604"/>
      <c r="G103" s="605"/>
      <c r="H103" s="599"/>
      <c r="I103" s="576"/>
    </row>
    <row r="104" spans="1:9" ht="24.75" x14ac:dyDescent="0.25">
      <c r="A104" s="607" t="s">
        <v>862</v>
      </c>
      <c r="B104" s="608" t="s">
        <v>863</v>
      </c>
      <c r="C104" s="577">
        <v>70</v>
      </c>
      <c r="D104" s="577">
        <v>70</v>
      </c>
      <c r="E104" s="578">
        <v>80</v>
      </c>
      <c r="F104" s="579">
        <v>2390</v>
      </c>
      <c r="G104" s="580">
        <v>80</v>
      </c>
      <c r="H104" s="1048">
        <f t="shared" si="3"/>
        <v>114</v>
      </c>
      <c r="I104" s="595"/>
    </row>
    <row r="105" spans="1:9" x14ac:dyDescent="0.25">
      <c r="A105" s="2260" t="s">
        <v>864</v>
      </c>
      <c r="B105" s="2268" t="s">
        <v>865</v>
      </c>
      <c r="C105" s="556">
        <v>60</v>
      </c>
      <c r="D105" s="556">
        <v>60</v>
      </c>
      <c r="E105" s="557">
        <v>80</v>
      </c>
      <c r="F105" s="582">
        <v>2390</v>
      </c>
      <c r="G105" s="583">
        <v>80</v>
      </c>
      <c r="H105" s="1048">
        <f t="shared" si="3"/>
        <v>114</v>
      </c>
      <c r="I105" s="563"/>
    </row>
    <row r="106" spans="1:9" x14ac:dyDescent="0.25">
      <c r="A106" s="2260"/>
      <c r="B106" s="2268"/>
      <c r="C106" s="556">
        <v>99</v>
      </c>
      <c r="D106" s="556">
        <v>99</v>
      </c>
      <c r="E106" s="557">
        <v>100</v>
      </c>
      <c r="F106" s="582">
        <v>1150</v>
      </c>
      <c r="G106" s="583">
        <v>100</v>
      </c>
      <c r="H106" s="1048">
        <f t="shared" si="3"/>
        <v>143</v>
      </c>
      <c r="I106" s="563"/>
    </row>
    <row r="107" spans="1:9" x14ac:dyDescent="0.25">
      <c r="A107" s="2260"/>
      <c r="B107" s="2268"/>
      <c r="C107" s="556">
        <v>21</v>
      </c>
      <c r="D107" s="556">
        <v>21</v>
      </c>
      <c r="E107" s="557">
        <v>25</v>
      </c>
      <c r="F107" s="582">
        <v>1210</v>
      </c>
      <c r="G107" s="583">
        <v>25</v>
      </c>
      <c r="H107" s="1048">
        <f t="shared" si="3"/>
        <v>36</v>
      </c>
      <c r="I107" s="563"/>
    </row>
    <row r="108" spans="1:9" x14ac:dyDescent="0.25">
      <c r="A108" s="2285" t="s">
        <v>866</v>
      </c>
      <c r="B108" s="2288" t="s">
        <v>867</v>
      </c>
      <c r="C108" s="556">
        <v>0</v>
      </c>
      <c r="D108" s="556">
        <v>0</v>
      </c>
      <c r="E108" s="557">
        <v>70</v>
      </c>
      <c r="F108" s="582">
        <v>1150</v>
      </c>
      <c r="G108" s="583"/>
      <c r="H108" s="1048">
        <f t="shared" si="3"/>
        <v>0</v>
      </c>
      <c r="I108" s="563"/>
    </row>
    <row r="109" spans="1:9" x14ac:dyDescent="0.25">
      <c r="A109" s="2286"/>
      <c r="B109" s="2289"/>
      <c r="C109" s="556">
        <v>0</v>
      </c>
      <c r="D109" s="556">
        <v>0</v>
      </c>
      <c r="E109" s="557">
        <v>17</v>
      </c>
      <c r="F109" s="582">
        <v>1210</v>
      </c>
      <c r="G109" s="583"/>
      <c r="H109" s="1048">
        <f t="shared" si="3"/>
        <v>0</v>
      </c>
      <c r="I109" s="563"/>
    </row>
    <row r="110" spans="1:9" x14ac:dyDescent="0.25">
      <c r="A110" s="2287"/>
      <c r="B110" s="2290"/>
      <c r="C110" s="556">
        <v>100</v>
      </c>
      <c r="D110" s="556">
        <v>100</v>
      </c>
      <c r="E110" s="557">
        <v>100</v>
      </c>
      <c r="F110" s="582">
        <v>2390</v>
      </c>
      <c r="G110" s="583">
        <v>100</v>
      </c>
      <c r="H110" s="1048">
        <f t="shared" si="3"/>
        <v>143</v>
      </c>
      <c r="I110" s="563"/>
    </row>
    <row r="111" spans="1:9" x14ac:dyDescent="0.25">
      <c r="A111" s="586" t="s">
        <v>868</v>
      </c>
      <c r="B111" s="562" t="s">
        <v>869</v>
      </c>
      <c r="C111" s="556">
        <v>100</v>
      </c>
      <c r="D111" s="556">
        <v>100</v>
      </c>
      <c r="E111" s="557">
        <v>100</v>
      </c>
      <c r="F111" s="582">
        <v>2390</v>
      </c>
      <c r="G111" s="583">
        <v>100</v>
      </c>
      <c r="H111" s="1048">
        <f t="shared" si="3"/>
        <v>143</v>
      </c>
      <c r="I111" s="563"/>
    </row>
    <row r="112" spans="1:9" ht="24" x14ac:dyDescent="0.25">
      <c r="A112" s="584" t="s">
        <v>870</v>
      </c>
      <c r="B112" s="349" t="s">
        <v>871</v>
      </c>
      <c r="C112" s="556">
        <f>100+112</f>
        <v>212</v>
      </c>
      <c r="D112" s="556">
        <v>212</v>
      </c>
      <c r="E112" s="557">
        <v>0</v>
      </c>
      <c r="F112" s="582">
        <v>2390</v>
      </c>
      <c r="G112" s="583"/>
      <c r="H112" s="1048">
        <f t="shared" si="3"/>
        <v>0</v>
      </c>
      <c r="I112" s="563"/>
    </row>
    <row r="113" spans="1:9" ht="24" x14ac:dyDescent="0.25">
      <c r="A113" s="584" t="s">
        <v>872</v>
      </c>
      <c r="B113" s="349" t="s">
        <v>873</v>
      </c>
      <c r="C113" s="556">
        <v>0</v>
      </c>
      <c r="D113" s="556">
        <v>0</v>
      </c>
      <c r="E113" s="557">
        <v>200</v>
      </c>
      <c r="F113" s="582">
        <v>2390</v>
      </c>
      <c r="G113" s="583">
        <v>200</v>
      </c>
      <c r="H113" s="1048">
        <f t="shared" si="3"/>
        <v>285</v>
      </c>
      <c r="I113" s="563"/>
    </row>
    <row r="114" spans="1:9" ht="24.75" x14ac:dyDescent="0.25">
      <c r="A114" s="584" t="s">
        <v>874</v>
      </c>
      <c r="B114" s="562" t="s">
        <v>875</v>
      </c>
      <c r="C114" s="556">
        <v>0</v>
      </c>
      <c r="D114" s="556">
        <v>0</v>
      </c>
      <c r="E114" s="557">
        <v>80</v>
      </c>
      <c r="F114" s="582">
        <v>2390</v>
      </c>
      <c r="G114" s="583">
        <v>80</v>
      </c>
      <c r="H114" s="1048">
        <f t="shared" si="3"/>
        <v>114</v>
      </c>
      <c r="I114" s="563"/>
    </row>
    <row r="115" spans="1:9" ht="24.75" x14ac:dyDescent="0.25">
      <c r="A115" s="586" t="s">
        <v>876</v>
      </c>
      <c r="B115" s="562" t="s">
        <v>877</v>
      </c>
      <c r="C115" s="556">
        <v>80</v>
      </c>
      <c r="D115" s="556">
        <v>80</v>
      </c>
      <c r="E115" s="557">
        <v>0</v>
      </c>
      <c r="F115" s="582">
        <v>2390</v>
      </c>
      <c r="G115" s="583"/>
      <c r="H115" s="1048">
        <f t="shared" si="3"/>
        <v>0</v>
      </c>
      <c r="I115" s="563"/>
    </row>
    <row r="116" spans="1:9" x14ac:dyDescent="0.25">
      <c r="A116" s="586" t="s">
        <v>878</v>
      </c>
      <c r="B116" s="562" t="s">
        <v>879</v>
      </c>
      <c r="C116" s="556">
        <v>0</v>
      </c>
      <c r="D116" s="556">
        <v>0</v>
      </c>
      <c r="E116" s="557">
        <v>100</v>
      </c>
      <c r="F116" s="582">
        <v>2390</v>
      </c>
      <c r="G116" s="583">
        <v>100</v>
      </c>
      <c r="H116" s="1048">
        <f t="shared" si="3"/>
        <v>143</v>
      </c>
      <c r="I116" s="563"/>
    </row>
    <row r="117" spans="1:9" x14ac:dyDescent="0.25">
      <c r="A117" s="586" t="s">
        <v>880</v>
      </c>
      <c r="B117" s="562" t="s">
        <v>881</v>
      </c>
      <c r="C117" s="556">
        <v>80</v>
      </c>
      <c r="D117" s="556">
        <v>80</v>
      </c>
      <c r="E117" s="557">
        <v>0</v>
      </c>
      <c r="F117" s="582">
        <v>2390</v>
      </c>
      <c r="G117" s="583"/>
      <c r="H117" s="1048">
        <f t="shared" si="3"/>
        <v>0</v>
      </c>
      <c r="I117" s="563"/>
    </row>
    <row r="118" spans="1:9" x14ac:dyDescent="0.25">
      <c r="A118" s="586" t="s">
        <v>882</v>
      </c>
      <c r="B118" s="562" t="s">
        <v>883</v>
      </c>
      <c r="C118" s="556">
        <v>100</v>
      </c>
      <c r="D118" s="556">
        <v>0</v>
      </c>
      <c r="E118" s="557">
        <v>100</v>
      </c>
      <c r="F118" s="582">
        <v>2390</v>
      </c>
      <c r="G118" s="583">
        <v>100</v>
      </c>
      <c r="H118" s="1048">
        <f t="shared" si="3"/>
        <v>143</v>
      </c>
      <c r="I118" s="563"/>
    </row>
    <row r="119" spans="1:9" x14ac:dyDescent="0.25">
      <c r="A119" s="2260" t="s">
        <v>884</v>
      </c>
      <c r="B119" s="2284" t="s">
        <v>885</v>
      </c>
      <c r="C119" s="556">
        <v>60</v>
      </c>
      <c r="D119" s="556">
        <v>60</v>
      </c>
      <c r="E119" s="557">
        <v>60</v>
      </c>
      <c r="F119" s="582">
        <v>1150</v>
      </c>
      <c r="G119" s="583">
        <v>60</v>
      </c>
      <c r="H119" s="1048">
        <f t="shared" si="3"/>
        <v>86</v>
      </c>
      <c r="I119" s="563"/>
    </row>
    <row r="120" spans="1:9" x14ac:dyDescent="0.25">
      <c r="A120" s="2260"/>
      <c r="B120" s="2284"/>
      <c r="C120" s="556">
        <v>14</v>
      </c>
      <c r="D120" s="556">
        <v>14</v>
      </c>
      <c r="E120" s="557">
        <v>14</v>
      </c>
      <c r="F120" s="582">
        <v>1210</v>
      </c>
      <c r="G120" s="583">
        <v>14</v>
      </c>
      <c r="H120" s="1048">
        <f t="shared" si="3"/>
        <v>20</v>
      </c>
      <c r="I120" s="563"/>
    </row>
    <row r="121" spans="1:9" x14ac:dyDescent="0.25">
      <c r="A121" s="2260"/>
      <c r="B121" s="2284"/>
      <c r="C121" s="556">
        <v>69</v>
      </c>
      <c r="D121" s="556">
        <v>69</v>
      </c>
      <c r="E121" s="557">
        <v>70</v>
      </c>
      <c r="F121" s="582">
        <v>2390</v>
      </c>
      <c r="G121" s="583">
        <v>70</v>
      </c>
      <c r="H121" s="1048">
        <f t="shared" si="3"/>
        <v>100</v>
      </c>
      <c r="I121" s="563"/>
    </row>
    <row r="122" spans="1:9" x14ac:dyDescent="0.25">
      <c r="A122" s="2260" t="s">
        <v>886</v>
      </c>
      <c r="B122" s="2284" t="s">
        <v>887</v>
      </c>
      <c r="C122" s="556">
        <v>70</v>
      </c>
      <c r="D122" s="556">
        <v>70</v>
      </c>
      <c r="E122" s="557">
        <v>70</v>
      </c>
      <c r="F122" s="582">
        <v>1150</v>
      </c>
      <c r="G122" s="583">
        <v>70</v>
      </c>
      <c r="H122" s="1048">
        <f t="shared" si="3"/>
        <v>100</v>
      </c>
      <c r="I122" s="563"/>
    </row>
    <row r="123" spans="1:9" x14ac:dyDescent="0.25">
      <c r="A123" s="2260"/>
      <c r="B123" s="2284"/>
      <c r="C123" s="556">
        <v>17</v>
      </c>
      <c r="D123" s="556">
        <v>17</v>
      </c>
      <c r="E123" s="557">
        <v>17</v>
      </c>
      <c r="F123" s="582">
        <v>1210</v>
      </c>
      <c r="G123" s="583">
        <v>17</v>
      </c>
      <c r="H123" s="1048">
        <f t="shared" si="3"/>
        <v>25</v>
      </c>
      <c r="I123" s="563"/>
    </row>
    <row r="124" spans="1:9" x14ac:dyDescent="0.25">
      <c r="A124" s="2260"/>
      <c r="B124" s="2284"/>
      <c r="C124" s="556">
        <v>100</v>
      </c>
      <c r="D124" s="556">
        <v>100</v>
      </c>
      <c r="E124" s="557">
        <v>100</v>
      </c>
      <c r="F124" s="582">
        <v>2390</v>
      </c>
      <c r="G124" s="583">
        <v>100</v>
      </c>
      <c r="H124" s="1048">
        <f t="shared" si="3"/>
        <v>143</v>
      </c>
      <c r="I124" s="563"/>
    </row>
    <row r="125" spans="1:9" x14ac:dyDescent="0.25">
      <c r="A125" s="2260" t="s">
        <v>888</v>
      </c>
      <c r="B125" s="2283" t="s">
        <v>889</v>
      </c>
      <c r="C125" s="556">
        <v>73</v>
      </c>
      <c r="D125" s="556">
        <v>73</v>
      </c>
      <c r="E125" s="557">
        <v>0</v>
      </c>
      <c r="F125" s="582">
        <v>1150</v>
      </c>
      <c r="G125" s="583"/>
      <c r="H125" s="1048">
        <f t="shared" si="3"/>
        <v>0</v>
      </c>
      <c r="I125" s="563"/>
    </row>
    <row r="126" spans="1:9" x14ac:dyDescent="0.25">
      <c r="A126" s="2260"/>
      <c r="B126" s="2283"/>
      <c r="C126" s="556">
        <v>17</v>
      </c>
      <c r="D126" s="556">
        <v>6</v>
      </c>
      <c r="E126" s="557">
        <v>0</v>
      </c>
      <c r="F126" s="582">
        <v>1210</v>
      </c>
      <c r="G126" s="583"/>
      <c r="H126" s="1048">
        <f t="shared" si="3"/>
        <v>0</v>
      </c>
      <c r="I126" s="563"/>
    </row>
    <row r="127" spans="1:9" x14ac:dyDescent="0.25">
      <c r="A127" s="2260"/>
      <c r="B127" s="2283"/>
      <c r="C127" s="556">
        <v>70</v>
      </c>
      <c r="D127" s="556">
        <v>70</v>
      </c>
      <c r="E127" s="557">
        <v>0</v>
      </c>
      <c r="F127" s="582">
        <v>2390</v>
      </c>
      <c r="G127" s="583"/>
      <c r="H127" s="1048">
        <f t="shared" si="3"/>
        <v>0</v>
      </c>
      <c r="I127" s="563"/>
    </row>
    <row r="128" spans="1:9" x14ac:dyDescent="0.25">
      <c r="A128" s="2260" t="s">
        <v>890</v>
      </c>
      <c r="B128" s="2284" t="s">
        <v>891</v>
      </c>
      <c r="C128" s="556">
        <v>40</v>
      </c>
      <c r="D128" s="556">
        <v>40</v>
      </c>
      <c r="E128" s="557">
        <v>40</v>
      </c>
      <c r="F128" s="582">
        <v>1150</v>
      </c>
      <c r="G128" s="583">
        <v>40</v>
      </c>
      <c r="H128" s="1048">
        <f t="shared" si="3"/>
        <v>57</v>
      </c>
      <c r="I128" s="563"/>
    </row>
    <row r="129" spans="1:9" x14ac:dyDescent="0.25">
      <c r="A129" s="2260"/>
      <c r="B129" s="2284"/>
      <c r="C129" s="556">
        <v>10</v>
      </c>
      <c r="D129" s="556">
        <v>10</v>
      </c>
      <c r="E129" s="557">
        <v>10</v>
      </c>
      <c r="F129" s="582">
        <v>1210</v>
      </c>
      <c r="G129" s="583">
        <v>10</v>
      </c>
      <c r="H129" s="1048">
        <f t="shared" si="3"/>
        <v>15</v>
      </c>
      <c r="I129" s="563"/>
    </row>
    <row r="130" spans="1:9" x14ac:dyDescent="0.25">
      <c r="A130" s="2260"/>
      <c r="B130" s="2284"/>
      <c r="C130" s="556">
        <v>80</v>
      </c>
      <c r="D130" s="556">
        <v>80</v>
      </c>
      <c r="E130" s="557">
        <v>100</v>
      </c>
      <c r="F130" s="582">
        <v>2390</v>
      </c>
      <c r="G130" s="583">
        <v>100</v>
      </c>
      <c r="H130" s="1048">
        <f t="shared" si="3"/>
        <v>143</v>
      </c>
      <c r="I130" s="563"/>
    </row>
    <row r="131" spans="1:9" x14ac:dyDescent="0.25">
      <c r="A131" s="2260" t="s">
        <v>892</v>
      </c>
      <c r="B131" s="2284" t="s">
        <v>893</v>
      </c>
      <c r="C131" s="556">
        <v>40</v>
      </c>
      <c r="D131" s="556">
        <v>40</v>
      </c>
      <c r="E131" s="557">
        <v>40</v>
      </c>
      <c r="F131" s="582">
        <v>1150</v>
      </c>
      <c r="G131" s="583">
        <v>40</v>
      </c>
      <c r="H131" s="1048">
        <f t="shared" si="3"/>
        <v>57</v>
      </c>
      <c r="I131" s="563"/>
    </row>
    <row r="132" spans="1:9" x14ac:dyDescent="0.25">
      <c r="A132" s="2260"/>
      <c r="B132" s="2284"/>
      <c r="C132" s="556">
        <v>10</v>
      </c>
      <c r="D132" s="556">
        <v>10</v>
      </c>
      <c r="E132" s="557">
        <v>10</v>
      </c>
      <c r="F132" s="582">
        <v>1210</v>
      </c>
      <c r="G132" s="583">
        <v>10</v>
      </c>
      <c r="H132" s="1048">
        <f t="shared" si="3"/>
        <v>15</v>
      </c>
      <c r="I132" s="563"/>
    </row>
    <row r="133" spans="1:9" x14ac:dyDescent="0.25">
      <c r="A133" s="2260"/>
      <c r="B133" s="2284"/>
      <c r="C133" s="556">
        <v>100</v>
      </c>
      <c r="D133" s="556">
        <v>100</v>
      </c>
      <c r="E133" s="557">
        <v>100</v>
      </c>
      <c r="F133" s="582">
        <v>2390</v>
      </c>
      <c r="G133" s="583">
        <v>100</v>
      </c>
      <c r="H133" s="1048">
        <f t="shared" si="3"/>
        <v>143</v>
      </c>
      <c r="I133" s="563"/>
    </row>
    <row r="134" spans="1:9" x14ac:dyDescent="0.25">
      <c r="A134" s="2260" t="s">
        <v>894</v>
      </c>
      <c r="B134" s="2284" t="s">
        <v>895</v>
      </c>
      <c r="C134" s="556">
        <v>100</v>
      </c>
      <c r="D134" s="556">
        <v>100</v>
      </c>
      <c r="E134" s="557">
        <v>100</v>
      </c>
      <c r="F134" s="582">
        <v>1150</v>
      </c>
      <c r="G134" s="583">
        <v>100</v>
      </c>
      <c r="H134" s="1048">
        <f t="shared" si="3"/>
        <v>143</v>
      </c>
      <c r="I134" s="563"/>
    </row>
    <row r="135" spans="1:9" x14ac:dyDescent="0.25">
      <c r="A135" s="2260"/>
      <c r="B135" s="2284"/>
      <c r="C135" s="556">
        <v>29</v>
      </c>
      <c r="D135" s="556">
        <v>29</v>
      </c>
      <c r="E135" s="557">
        <v>25</v>
      </c>
      <c r="F135" s="582">
        <v>1210</v>
      </c>
      <c r="G135" s="583">
        <v>25</v>
      </c>
      <c r="H135" s="1048">
        <f t="shared" si="3"/>
        <v>36</v>
      </c>
      <c r="I135" s="563"/>
    </row>
    <row r="136" spans="1:9" x14ac:dyDescent="0.25">
      <c r="A136" s="2260"/>
      <c r="B136" s="2284"/>
      <c r="C136" s="556">
        <v>100</v>
      </c>
      <c r="D136" s="556">
        <v>100</v>
      </c>
      <c r="E136" s="557">
        <v>100</v>
      </c>
      <c r="F136" s="582">
        <v>2390</v>
      </c>
      <c r="G136" s="583">
        <v>100</v>
      </c>
      <c r="H136" s="1048">
        <f t="shared" si="3"/>
        <v>143</v>
      </c>
      <c r="I136" s="563"/>
    </row>
    <row r="137" spans="1:9" x14ac:dyDescent="0.25">
      <c r="A137" s="2260" t="s">
        <v>896</v>
      </c>
      <c r="B137" s="2284" t="s">
        <v>897</v>
      </c>
      <c r="C137" s="556">
        <v>50</v>
      </c>
      <c r="D137" s="556">
        <v>50</v>
      </c>
      <c r="E137" s="557">
        <v>50</v>
      </c>
      <c r="F137" s="582">
        <v>1150</v>
      </c>
      <c r="G137" s="583">
        <v>50</v>
      </c>
      <c r="H137" s="1048">
        <f t="shared" si="3"/>
        <v>72</v>
      </c>
      <c r="I137" s="563"/>
    </row>
    <row r="138" spans="1:9" x14ac:dyDescent="0.25">
      <c r="A138" s="2260"/>
      <c r="B138" s="2284"/>
      <c r="C138" s="556">
        <v>12</v>
      </c>
      <c r="D138" s="556">
        <v>12</v>
      </c>
      <c r="E138" s="557">
        <v>12</v>
      </c>
      <c r="F138" s="582">
        <v>1210</v>
      </c>
      <c r="G138" s="583">
        <v>12</v>
      </c>
      <c r="H138" s="1048">
        <f t="shared" si="3"/>
        <v>18</v>
      </c>
      <c r="I138" s="563"/>
    </row>
    <row r="139" spans="1:9" x14ac:dyDescent="0.25">
      <c r="A139" s="2260"/>
      <c r="B139" s="2284"/>
      <c r="C139" s="556">
        <v>70</v>
      </c>
      <c r="D139" s="556">
        <v>70</v>
      </c>
      <c r="E139" s="557">
        <v>70</v>
      </c>
      <c r="F139" s="582">
        <v>2390</v>
      </c>
      <c r="G139" s="583">
        <v>70</v>
      </c>
      <c r="H139" s="1048">
        <f t="shared" si="3"/>
        <v>100</v>
      </c>
      <c r="I139" s="563"/>
    </row>
    <row r="140" spans="1:9" x14ac:dyDescent="0.25">
      <c r="A140" s="2260" t="s">
        <v>898</v>
      </c>
      <c r="B140" s="2284" t="s">
        <v>899</v>
      </c>
      <c r="C140" s="556">
        <v>40</v>
      </c>
      <c r="D140" s="556">
        <v>40</v>
      </c>
      <c r="E140" s="557">
        <v>40</v>
      </c>
      <c r="F140" s="582">
        <v>1150</v>
      </c>
      <c r="G140" s="583">
        <v>40</v>
      </c>
      <c r="H140" s="1048">
        <f t="shared" si="3"/>
        <v>57</v>
      </c>
      <c r="I140" s="563"/>
    </row>
    <row r="141" spans="1:9" x14ac:dyDescent="0.25">
      <c r="A141" s="2260"/>
      <c r="B141" s="2284"/>
      <c r="C141" s="556">
        <v>10</v>
      </c>
      <c r="D141" s="556">
        <v>10</v>
      </c>
      <c r="E141" s="557">
        <v>10</v>
      </c>
      <c r="F141" s="582">
        <v>1210</v>
      </c>
      <c r="G141" s="583">
        <v>10</v>
      </c>
      <c r="H141" s="1048">
        <f t="shared" si="3"/>
        <v>15</v>
      </c>
      <c r="I141" s="563"/>
    </row>
    <row r="142" spans="1:9" x14ac:dyDescent="0.25">
      <c r="A142" s="2260"/>
      <c r="B142" s="2284"/>
      <c r="C142" s="556">
        <v>100</v>
      </c>
      <c r="D142" s="556">
        <v>100</v>
      </c>
      <c r="E142" s="557">
        <v>100</v>
      </c>
      <c r="F142" s="582">
        <v>2390</v>
      </c>
      <c r="G142" s="583">
        <v>100</v>
      </c>
      <c r="H142" s="1048">
        <f t="shared" si="3"/>
        <v>143</v>
      </c>
      <c r="I142" s="563"/>
    </row>
    <row r="143" spans="1:9" x14ac:dyDescent="0.25">
      <c r="A143" s="2260" t="s">
        <v>900</v>
      </c>
      <c r="B143" s="2284" t="s">
        <v>901</v>
      </c>
      <c r="C143" s="556">
        <v>0</v>
      </c>
      <c r="D143" s="556">
        <v>0</v>
      </c>
      <c r="E143" s="557">
        <v>70</v>
      </c>
      <c r="F143" s="582">
        <v>1150</v>
      </c>
      <c r="G143" s="583">
        <v>70</v>
      </c>
      <c r="H143" s="1048">
        <f t="shared" si="3"/>
        <v>100</v>
      </c>
      <c r="I143" s="563"/>
    </row>
    <row r="144" spans="1:9" x14ac:dyDescent="0.25">
      <c r="A144" s="2260"/>
      <c r="B144" s="2284"/>
      <c r="C144" s="556">
        <v>0</v>
      </c>
      <c r="D144" s="556">
        <v>0</v>
      </c>
      <c r="E144" s="557">
        <v>17</v>
      </c>
      <c r="F144" s="582">
        <v>1210</v>
      </c>
      <c r="G144" s="583">
        <v>17</v>
      </c>
      <c r="H144" s="1048">
        <f t="shared" si="3"/>
        <v>25</v>
      </c>
      <c r="I144" s="563"/>
    </row>
    <row r="145" spans="1:250" x14ac:dyDescent="0.25">
      <c r="A145" s="2260"/>
      <c r="B145" s="2284"/>
      <c r="C145" s="556">
        <v>0</v>
      </c>
      <c r="D145" s="556">
        <v>0</v>
      </c>
      <c r="E145" s="557">
        <v>70</v>
      </c>
      <c r="F145" s="582">
        <v>2390</v>
      </c>
      <c r="G145" s="583">
        <v>70</v>
      </c>
      <c r="H145" s="1048">
        <f t="shared" si="3"/>
        <v>100</v>
      </c>
      <c r="I145" s="563"/>
    </row>
    <row r="146" spans="1:250" x14ac:dyDescent="0.25">
      <c r="A146" s="2260" t="s">
        <v>902</v>
      </c>
      <c r="B146" s="2284" t="s">
        <v>903</v>
      </c>
      <c r="C146" s="556">
        <v>40</v>
      </c>
      <c r="D146" s="556">
        <v>40</v>
      </c>
      <c r="E146" s="557">
        <v>70</v>
      </c>
      <c r="F146" s="582">
        <v>1150</v>
      </c>
      <c r="G146" s="583">
        <v>70</v>
      </c>
      <c r="H146" s="1048">
        <f t="shared" si="3"/>
        <v>100</v>
      </c>
      <c r="I146" s="563"/>
    </row>
    <row r="147" spans="1:250" x14ac:dyDescent="0.25">
      <c r="A147" s="2260"/>
      <c r="B147" s="2284"/>
      <c r="C147" s="556">
        <v>10</v>
      </c>
      <c r="D147" s="556">
        <v>10</v>
      </c>
      <c r="E147" s="557">
        <v>17</v>
      </c>
      <c r="F147" s="582">
        <v>1210</v>
      </c>
      <c r="G147" s="583">
        <v>17</v>
      </c>
      <c r="H147" s="1048">
        <f t="shared" si="3"/>
        <v>25</v>
      </c>
      <c r="I147" s="563"/>
    </row>
    <row r="148" spans="1:250" x14ac:dyDescent="0.25">
      <c r="A148" s="2260"/>
      <c r="B148" s="2284"/>
      <c r="C148" s="556">
        <v>70</v>
      </c>
      <c r="D148" s="556">
        <v>70</v>
      </c>
      <c r="E148" s="557">
        <v>100</v>
      </c>
      <c r="F148" s="582">
        <v>2390</v>
      </c>
      <c r="G148" s="583">
        <v>100</v>
      </c>
      <c r="H148" s="1048">
        <f t="shared" si="3"/>
        <v>143</v>
      </c>
      <c r="I148" s="563"/>
    </row>
    <row r="149" spans="1:250" ht="24.75" x14ac:dyDescent="0.25">
      <c r="A149" s="586" t="s">
        <v>904</v>
      </c>
      <c r="B149" s="562" t="s">
        <v>905</v>
      </c>
      <c r="C149" s="556">
        <v>90</v>
      </c>
      <c r="D149" s="556">
        <v>90</v>
      </c>
      <c r="E149" s="557">
        <v>90</v>
      </c>
      <c r="F149" s="582">
        <v>2390</v>
      </c>
      <c r="G149" s="583">
        <v>90</v>
      </c>
      <c r="H149" s="1048">
        <f t="shared" si="3"/>
        <v>129</v>
      </c>
      <c r="I149" s="563"/>
    </row>
    <row r="150" spans="1:250" x14ac:dyDescent="0.25">
      <c r="A150" s="2260" t="s">
        <v>906</v>
      </c>
      <c r="B150" s="2283" t="s">
        <v>907</v>
      </c>
      <c r="C150" s="556">
        <v>0</v>
      </c>
      <c r="D150" s="556">
        <v>0</v>
      </c>
      <c r="E150" s="557">
        <v>100</v>
      </c>
      <c r="F150" s="582">
        <v>2390</v>
      </c>
      <c r="G150" s="583">
        <v>100</v>
      </c>
      <c r="H150" s="1048">
        <f t="shared" si="3"/>
        <v>143</v>
      </c>
      <c r="I150" s="563"/>
    </row>
    <row r="151" spans="1:250" x14ac:dyDescent="0.25">
      <c r="A151" s="2260"/>
      <c r="B151" s="2283"/>
      <c r="C151" s="556">
        <v>0</v>
      </c>
      <c r="D151" s="556">
        <v>0</v>
      </c>
      <c r="E151" s="557">
        <v>40</v>
      </c>
      <c r="F151" s="582">
        <v>1150</v>
      </c>
      <c r="G151" s="583">
        <v>40</v>
      </c>
      <c r="H151" s="1048">
        <f t="shared" si="3"/>
        <v>57</v>
      </c>
      <c r="I151" s="563"/>
    </row>
    <row r="152" spans="1:250" x14ac:dyDescent="0.25">
      <c r="A152" s="2260"/>
      <c r="B152" s="2283"/>
      <c r="C152" s="556">
        <v>0</v>
      </c>
      <c r="D152" s="556">
        <v>0</v>
      </c>
      <c r="E152" s="557">
        <v>10</v>
      </c>
      <c r="F152" s="582">
        <v>1210</v>
      </c>
      <c r="G152" s="583">
        <v>10</v>
      </c>
      <c r="H152" s="1048">
        <f t="shared" si="3"/>
        <v>15</v>
      </c>
      <c r="I152" s="563"/>
    </row>
    <row r="153" spans="1:250" x14ac:dyDescent="0.25">
      <c r="A153" s="2260" t="s">
        <v>908</v>
      </c>
      <c r="B153" s="2283" t="s">
        <v>909</v>
      </c>
      <c r="C153" s="556">
        <v>90</v>
      </c>
      <c r="D153" s="556">
        <v>90</v>
      </c>
      <c r="E153" s="557">
        <v>90</v>
      </c>
      <c r="F153" s="582">
        <v>2390</v>
      </c>
      <c r="G153" s="583">
        <v>90</v>
      </c>
      <c r="H153" s="1048">
        <f t="shared" si="3"/>
        <v>129</v>
      </c>
      <c r="I153" s="563"/>
    </row>
    <row r="154" spans="1:250" s="589" customFormat="1" x14ac:dyDescent="0.25">
      <c r="A154" s="2260"/>
      <c r="B154" s="2283"/>
      <c r="C154" s="556">
        <v>60</v>
      </c>
      <c r="D154" s="556">
        <v>60</v>
      </c>
      <c r="E154" s="557">
        <v>60</v>
      </c>
      <c r="F154" s="582">
        <v>1150</v>
      </c>
      <c r="G154" s="583">
        <v>60</v>
      </c>
      <c r="H154" s="1048">
        <f t="shared" si="3"/>
        <v>86</v>
      </c>
      <c r="I154" s="563"/>
      <c r="J154" s="330"/>
      <c r="K154" s="330"/>
      <c r="L154" s="330"/>
      <c r="M154" s="330"/>
      <c r="N154" s="330"/>
      <c r="O154" s="330"/>
      <c r="P154" s="330"/>
      <c r="Q154" s="330"/>
      <c r="R154" s="330"/>
      <c r="S154" s="330"/>
      <c r="T154" s="330"/>
      <c r="U154" s="330"/>
      <c r="V154" s="330"/>
      <c r="W154" s="330"/>
      <c r="X154" s="330"/>
      <c r="Y154" s="330"/>
      <c r="Z154" s="330"/>
      <c r="AA154" s="330"/>
      <c r="AB154" s="330"/>
      <c r="AC154" s="330"/>
      <c r="AD154" s="330"/>
      <c r="AE154" s="330"/>
      <c r="AF154" s="330"/>
      <c r="AG154" s="330"/>
      <c r="AH154" s="330"/>
      <c r="AI154" s="330"/>
      <c r="AJ154" s="330"/>
      <c r="AK154" s="330"/>
      <c r="AL154" s="330"/>
      <c r="AM154" s="330"/>
      <c r="AN154" s="330"/>
      <c r="AO154" s="330"/>
      <c r="AP154" s="330"/>
      <c r="AQ154" s="330"/>
      <c r="AR154" s="330"/>
      <c r="AS154" s="330"/>
      <c r="AT154" s="330"/>
      <c r="AU154" s="330"/>
      <c r="AV154" s="330"/>
      <c r="AW154" s="330"/>
      <c r="AX154" s="330"/>
      <c r="AY154" s="330"/>
      <c r="AZ154" s="330"/>
      <c r="BA154" s="330"/>
      <c r="BB154" s="330"/>
      <c r="BC154" s="330"/>
      <c r="BD154" s="330"/>
      <c r="BE154" s="330"/>
      <c r="BF154" s="330"/>
      <c r="BG154" s="330"/>
      <c r="BH154" s="330"/>
      <c r="BI154" s="330"/>
      <c r="BJ154" s="330"/>
      <c r="BK154" s="330"/>
      <c r="BL154" s="330"/>
      <c r="BM154" s="330"/>
      <c r="BN154" s="330"/>
      <c r="BO154" s="330"/>
      <c r="BP154" s="330"/>
      <c r="BQ154" s="330"/>
      <c r="BR154" s="330"/>
      <c r="BS154" s="330"/>
      <c r="BT154" s="330"/>
      <c r="BU154" s="330"/>
      <c r="BV154" s="330"/>
      <c r="BW154" s="330"/>
      <c r="BX154" s="330"/>
      <c r="BY154" s="330"/>
      <c r="BZ154" s="330"/>
      <c r="CA154" s="330"/>
      <c r="CB154" s="330"/>
      <c r="CC154" s="330"/>
      <c r="CD154" s="330"/>
      <c r="CE154" s="330"/>
      <c r="CF154" s="330"/>
      <c r="CG154" s="330"/>
      <c r="CH154" s="330"/>
      <c r="CI154" s="330"/>
      <c r="CJ154" s="330"/>
      <c r="CK154" s="330"/>
      <c r="CL154" s="330"/>
      <c r="CM154" s="330"/>
      <c r="CN154" s="330"/>
      <c r="CO154" s="330"/>
      <c r="CP154" s="330"/>
      <c r="CQ154" s="330"/>
      <c r="CR154" s="330"/>
      <c r="CS154" s="330"/>
      <c r="CT154" s="330"/>
      <c r="CU154" s="330"/>
      <c r="CV154" s="330"/>
      <c r="CW154" s="330"/>
      <c r="CX154" s="330"/>
      <c r="CY154" s="330"/>
      <c r="CZ154" s="330"/>
      <c r="DA154" s="330"/>
      <c r="DB154" s="330"/>
      <c r="DC154" s="330"/>
      <c r="DD154" s="330"/>
      <c r="DE154" s="330"/>
      <c r="DF154" s="330"/>
      <c r="DG154" s="330"/>
      <c r="DH154" s="330"/>
      <c r="DI154" s="330"/>
      <c r="DJ154" s="330"/>
      <c r="DK154" s="330"/>
      <c r="DL154" s="330"/>
      <c r="DM154" s="330"/>
      <c r="DN154" s="330"/>
      <c r="DO154" s="330"/>
      <c r="DP154" s="330"/>
      <c r="DQ154" s="330"/>
      <c r="DR154" s="330"/>
      <c r="DS154" s="330"/>
      <c r="DT154" s="330"/>
      <c r="DU154" s="330"/>
      <c r="DV154" s="330"/>
      <c r="DW154" s="330"/>
      <c r="DX154" s="330"/>
      <c r="DY154" s="330"/>
      <c r="DZ154" s="330"/>
      <c r="EA154" s="330"/>
      <c r="EB154" s="330"/>
      <c r="EC154" s="330"/>
      <c r="ED154" s="330"/>
      <c r="EE154" s="330"/>
      <c r="EF154" s="330"/>
      <c r="EG154" s="330"/>
      <c r="EH154" s="330"/>
      <c r="EI154" s="330"/>
      <c r="EJ154" s="330"/>
      <c r="EK154" s="330"/>
      <c r="EL154" s="330"/>
      <c r="EM154" s="330"/>
      <c r="EN154" s="330"/>
      <c r="EO154" s="330"/>
      <c r="EP154" s="330"/>
      <c r="EQ154" s="330"/>
      <c r="ER154" s="330"/>
      <c r="ES154" s="330"/>
      <c r="ET154" s="330"/>
      <c r="EU154" s="330"/>
      <c r="EV154" s="330"/>
      <c r="EW154" s="330"/>
      <c r="EX154" s="330"/>
      <c r="EY154" s="330"/>
      <c r="EZ154" s="330"/>
      <c r="FA154" s="330"/>
      <c r="FB154" s="330"/>
      <c r="FC154" s="330"/>
      <c r="FD154" s="330"/>
      <c r="FE154" s="330"/>
      <c r="FF154" s="330"/>
      <c r="FG154" s="330"/>
      <c r="FH154" s="330"/>
      <c r="FI154" s="330"/>
      <c r="FJ154" s="330"/>
      <c r="FK154" s="330"/>
      <c r="FL154" s="330"/>
      <c r="FM154" s="330"/>
      <c r="FN154" s="330"/>
      <c r="FO154" s="330"/>
      <c r="FP154" s="330"/>
      <c r="FQ154" s="330"/>
      <c r="FR154" s="330"/>
      <c r="FS154" s="330"/>
      <c r="FT154" s="330"/>
      <c r="FU154" s="330"/>
      <c r="FV154" s="330"/>
      <c r="FW154" s="330"/>
      <c r="FX154" s="330"/>
      <c r="FY154" s="330"/>
      <c r="FZ154" s="330"/>
      <c r="GA154" s="330"/>
      <c r="GB154" s="330"/>
      <c r="GC154" s="330"/>
      <c r="GD154" s="330"/>
      <c r="GE154" s="330"/>
      <c r="GF154" s="330"/>
      <c r="GG154" s="330"/>
      <c r="GH154" s="330"/>
      <c r="GI154" s="330"/>
      <c r="GJ154" s="330"/>
      <c r="GK154" s="330"/>
      <c r="GL154" s="330"/>
      <c r="GM154" s="330"/>
      <c r="GN154" s="330"/>
      <c r="GO154" s="330"/>
      <c r="GP154" s="330"/>
      <c r="GQ154" s="330"/>
      <c r="GR154" s="330"/>
      <c r="GS154" s="330"/>
      <c r="GT154" s="330"/>
      <c r="GU154" s="330"/>
      <c r="GV154" s="330"/>
      <c r="GW154" s="330"/>
      <c r="GX154" s="330"/>
      <c r="GY154" s="330"/>
      <c r="GZ154" s="330"/>
      <c r="HA154" s="330"/>
      <c r="HB154" s="330"/>
      <c r="HC154" s="330"/>
      <c r="HD154" s="330"/>
      <c r="HE154" s="330"/>
      <c r="HF154" s="330"/>
      <c r="HG154" s="330"/>
      <c r="HH154" s="330"/>
      <c r="HI154" s="330"/>
      <c r="HJ154" s="330"/>
      <c r="HK154" s="330"/>
      <c r="HL154" s="330"/>
      <c r="HM154" s="330"/>
      <c r="HN154" s="330"/>
      <c r="HO154" s="330"/>
      <c r="HP154" s="330"/>
      <c r="HQ154" s="330"/>
      <c r="HR154" s="330"/>
      <c r="HS154" s="330"/>
      <c r="HT154" s="330"/>
      <c r="HU154" s="330"/>
      <c r="HV154" s="330"/>
      <c r="HW154" s="330"/>
      <c r="HX154" s="330"/>
      <c r="HY154" s="330"/>
      <c r="HZ154" s="330"/>
      <c r="IA154" s="330"/>
      <c r="IB154" s="330"/>
      <c r="IC154" s="330"/>
      <c r="ID154" s="330"/>
      <c r="IE154" s="330"/>
      <c r="IF154" s="330"/>
      <c r="IG154" s="330"/>
      <c r="IH154" s="330"/>
      <c r="II154" s="330"/>
      <c r="IJ154" s="330"/>
      <c r="IK154" s="330"/>
      <c r="IL154" s="330"/>
      <c r="IM154" s="330"/>
      <c r="IN154" s="330"/>
      <c r="IO154" s="330"/>
      <c r="IP154" s="330"/>
    </row>
    <row r="155" spans="1:250" x14ac:dyDescent="0.25">
      <c r="A155" s="2260"/>
      <c r="B155" s="2283"/>
      <c r="C155" s="556">
        <v>15</v>
      </c>
      <c r="D155" s="556">
        <v>15</v>
      </c>
      <c r="E155" s="557">
        <v>15</v>
      </c>
      <c r="F155" s="582">
        <v>1210</v>
      </c>
      <c r="G155" s="583">
        <v>15</v>
      </c>
      <c r="H155" s="1048">
        <f t="shared" si="3"/>
        <v>22</v>
      </c>
      <c r="I155" s="563"/>
    </row>
    <row r="156" spans="1:250" ht="24" x14ac:dyDescent="0.25">
      <c r="A156" s="584" t="s">
        <v>910</v>
      </c>
      <c r="B156" s="609" t="s">
        <v>911</v>
      </c>
      <c r="C156" s="556">
        <v>100</v>
      </c>
      <c r="D156" s="556">
        <v>100</v>
      </c>
      <c r="E156" s="557">
        <v>0</v>
      </c>
      <c r="F156" s="582">
        <v>2390</v>
      </c>
      <c r="G156" s="583"/>
      <c r="H156" s="1048">
        <f t="shared" si="3"/>
        <v>0</v>
      </c>
      <c r="I156" s="563"/>
    </row>
    <row r="157" spans="1:250" x14ac:dyDescent="0.25">
      <c r="A157" s="590"/>
      <c r="B157" s="610"/>
      <c r="C157" s="566"/>
      <c r="D157" s="566"/>
      <c r="E157" s="567"/>
      <c r="F157" s="601"/>
      <c r="G157" s="602"/>
      <c r="H157" s="1048"/>
      <c r="I157" s="569"/>
      <c r="J157" s="589"/>
      <c r="K157" s="589"/>
      <c r="L157" s="589"/>
      <c r="M157" s="589"/>
      <c r="N157" s="589"/>
      <c r="O157" s="589"/>
      <c r="P157" s="589"/>
      <c r="Q157" s="589"/>
      <c r="R157" s="589"/>
      <c r="S157" s="589"/>
      <c r="T157" s="589"/>
      <c r="U157" s="589"/>
      <c r="V157" s="589"/>
      <c r="W157" s="589"/>
      <c r="X157" s="589"/>
      <c r="Y157" s="589"/>
      <c r="Z157" s="589"/>
      <c r="AA157" s="589"/>
      <c r="AB157" s="589"/>
      <c r="AC157" s="589"/>
      <c r="AD157" s="589"/>
      <c r="AE157" s="589"/>
      <c r="AF157" s="589"/>
      <c r="AG157" s="589"/>
      <c r="AH157" s="589"/>
      <c r="AI157" s="589"/>
      <c r="AJ157" s="589"/>
      <c r="AK157" s="589"/>
      <c r="AL157" s="589"/>
      <c r="AM157" s="589"/>
      <c r="AN157" s="589"/>
      <c r="AO157" s="589"/>
      <c r="AP157" s="589"/>
      <c r="AQ157" s="589"/>
      <c r="AR157" s="589"/>
      <c r="AS157" s="589"/>
      <c r="AT157" s="589"/>
      <c r="AU157" s="589"/>
      <c r="AV157" s="589"/>
      <c r="AW157" s="589"/>
      <c r="AX157" s="589"/>
      <c r="AY157" s="589"/>
      <c r="AZ157" s="589"/>
      <c r="BA157" s="589"/>
      <c r="BB157" s="589"/>
      <c r="BC157" s="589"/>
      <c r="BD157" s="589"/>
      <c r="BE157" s="589"/>
      <c r="BF157" s="589"/>
      <c r="BG157" s="589"/>
      <c r="BH157" s="589"/>
      <c r="BI157" s="589"/>
      <c r="BJ157" s="589"/>
      <c r="BK157" s="589"/>
      <c r="BL157" s="589"/>
      <c r="BM157" s="589"/>
      <c r="BN157" s="589"/>
      <c r="BO157" s="589"/>
      <c r="BP157" s="589"/>
      <c r="BQ157" s="589"/>
      <c r="BR157" s="589"/>
      <c r="BS157" s="589"/>
      <c r="BT157" s="589"/>
      <c r="BU157" s="589"/>
      <c r="BV157" s="589"/>
      <c r="BW157" s="589"/>
      <c r="BX157" s="589"/>
      <c r="BY157" s="589"/>
      <c r="BZ157" s="589"/>
      <c r="CA157" s="589"/>
      <c r="CB157" s="589"/>
      <c r="CC157" s="589"/>
      <c r="CD157" s="589"/>
      <c r="CE157" s="589"/>
      <c r="CF157" s="589"/>
      <c r="CG157" s="589"/>
      <c r="CH157" s="589"/>
      <c r="CI157" s="589"/>
      <c r="CJ157" s="589"/>
      <c r="CK157" s="589"/>
      <c r="CL157" s="589"/>
      <c r="CM157" s="589"/>
      <c r="CN157" s="589"/>
      <c r="CO157" s="589"/>
      <c r="CP157" s="589"/>
      <c r="CQ157" s="589"/>
      <c r="CR157" s="589"/>
      <c r="CS157" s="589"/>
      <c r="CT157" s="589"/>
      <c r="CU157" s="589"/>
      <c r="CV157" s="589"/>
      <c r="CW157" s="589"/>
      <c r="CX157" s="589"/>
      <c r="CY157" s="589"/>
      <c r="CZ157" s="589"/>
      <c r="DA157" s="589"/>
      <c r="DB157" s="589"/>
      <c r="DC157" s="589"/>
      <c r="DD157" s="589"/>
      <c r="DE157" s="589"/>
      <c r="DF157" s="589"/>
      <c r="DG157" s="589"/>
      <c r="DH157" s="589"/>
      <c r="DI157" s="589"/>
      <c r="DJ157" s="589"/>
      <c r="DK157" s="589"/>
      <c r="DL157" s="589"/>
      <c r="DM157" s="589"/>
      <c r="DN157" s="589"/>
      <c r="DO157" s="589"/>
      <c r="DP157" s="589"/>
      <c r="DQ157" s="589"/>
      <c r="DR157" s="589"/>
      <c r="DS157" s="589"/>
      <c r="DT157" s="589"/>
      <c r="DU157" s="589"/>
      <c r="DV157" s="589"/>
      <c r="DW157" s="589"/>
      <c r="DX157" s="589"/>
      <c r="DY157" s="589"/>
      <c r="DZ157" s="589"/>
      <c r="EA157" s="589"/>
      <c r="EB157" s="589"/>
      <c r="EC157" s="589"/>
      <c r="ED157" s="589"/>
      <c r="EE157" s="589"/>
      <c r="EF157" s="589"/>
      <c r="EG157" s="589"/>
      <c r="EH157" s="589"/>
      <c r="EI157" s="589"/>
      <c r="EJ157" s="589"/>
      <c r="EK157" s="589"/>
      <c r="EL157" s="589"/>
      <c r="EM157" s="589"/>
      <c r="EN157" s="589"/>
      <c r="EO157" s="589"/>
      <c r="EP157" s="589"/>
      <c r="EQ157" s="589"/>
      <c r="ER157" s="589"/>
      <c r="ES157" s="589"/>
      <c r="ET157" s="589"/>
      <c r="EU157" s="589"/>
      <c r="EV157" s="589"/>
      <c r="EW157" s="589"/>
      <c r="EX157" s="589"/>
      <c r="EY157" s="589"/>
      <c r="EZ157" s="589"/>
      <c r="FA157" s="589"/>
      <c r="FB157" s="589"/>
      <c r="FC157" s="589"/>
      <c r="FD157" s="589"/>
      <c r="FE157" s="589"/>
      <c r="FF157" s="589"/>
      <c r="FG157" s="589"/>
      <c r="FH157" s="589"/>
      <c r="FI157" s="589"/>
      <c r="FJ157" s="589"/>
      <c r="FK157" s="589"/>
      <c r="FL157" s="589"/>
      <c r="FM157" s="589"/>
      <c r="FN157" s="589"/>
      <c r="FO157" s="589"/>
      <c r="FP157" s="589"/>
      <c r="FQ157" s="589"/>
      <c r="FR157" s="589"/>
      <c r="FS157" s="589"/>
      <c r="FT157" s="589"/>
      <c r="FU157" s="589"/>
      <c r="FV157" s="589"/>
      <c r="FW157" s="589"/>
      <c r="FX157" s="589"/>
      <c r="FY157" s="589"/>
      <c r="FZ157" s="589"/>
      <c r="GA157" s="589"/>
      <c r="GB157" s="589"/>
      <c r="GC157" s="589"/>
      <c r="GD157" s="589"/>
      <c r="GE157" s="589"/>
      <c r="GF157" s="589"/>
      <c r="GG157" s="589"/>
      <c r="GH157" s="589"/>
      <c r="GI157" s="589"/>
      <c r="GJ157" s="589"/>
      <c r="GK157" s="589"/>
      <c r="GL157" s="589"/>
      <c r="GM157" s="589"/>
      <c r="GN157" s="589"/>
      <c r="GO157" s="589"/>
      <c r="GP157" s="589"/>
      <c r="GQ157" s="589"/>
      <c r="GR157" s="589"/>
      <c r="GS157" s="589"/>
      <c r="GT157" s="589"/>
      <c r="GU157" s="589"/>
      <c r="GV157" s="589"/>
      <c r="GW157" s="589"/>
      <c r="GX157" s="589"/>
      <c r="GY157" s="589"/>
      <c r="GZ157" s="589"/>
      <c r="HA157" s="589"/>
      <c r="HB157" s="589"/>
      <c r="HC157" s="589"/>
      <c r="HD157" s="589"/>
      <c r="HE157" s="589"/>
      <c r="HF157" s="589"/>
      <c r="HG157" s="589"/>
      <c r="HH157" s="589"/>
      <c r="HI157" s="589"/>
      <c r="HJ157" s="589"/>
      <c r="HK157" s="589"/>
      <c r="HL157" s="589"/>
      <c r="HM157" s="589"/>
      <c r="HN157" s="589"/>
      <c r="HO157" s="589"/>
      <c r="HP157" s="589"/>
      <c r="HQ157" s="589"/>
      <c r="HR157" s="589"/>
      <c r="HS157" s="589"/>
      <c r="HT157" s="589"/>
      <c r="HU157" s="589"/>
      <c r="HV157" s="589"/>
      <c r="HW157" s="589"/>
      <c r="HX157" s="589"/>
      <c r="HY157" s="589"/>
      <c r="HZ157" s="589"/>
      <c r="IA157" s="589"/>
      <c r="IB157" s="589"/>
      <c r="IC157" s="589"/>
      <c r="ID157" s="589"/>
      <c r="IE157" s="589"/>
      <c r="IF157" s="589"/>
      <c r="IG157" s="589"/>
      <c r="IH157" s="589"/>
      <c r="II157" s="589"/>
      <c r="IJ157" s="589"/>
      <c r="IK157" s="589"/>
      <c r="IL157" s="589"/>
      <c r="IM157" s="589"/>
      <c r="IN157" s="589"/>
      <c r="IO157" s="589"/>
      <c r="IP157" s="589"/>
    </row>
    <row r="158" spans="1:250" x14ac:dyDescent="0.25">
      <c r="A158" s="598"/>
      <c r="B158" s="606" t="s">
        <v>912</v>
      </c>
      <c r="C158" s="599"/>
      <c r="D158" s="599"/>
      <c r="E158" s="600"/>
      <c r="F158" s="604"/>
      <c r="G158" s="605"/>
      <c r="H158" s="599"/>
      <c r="I158" s="576"/>
    </row>
    <row r="159" spans="1:250" ht="24.75" x14ac:dyDescent="0.25">
      <c r="A159" s="607" t="s">
        <v>913</v>
      </c>
      <c r="B159" s="608" t="s">
        <v>914</v>
      </c>
      <c r="C159" s="577">
        <v>120</v>
      </c>
      <c r="D159" s="577">
        <v>0</v>
      </c>
      <c r="E159" s="578">
        <v>120</v>
      </c>
      <c r="F159" s="579">
        <v>2390</v>
      </c>
      <c r="G159" s="580">
        <v>120</v>
      </c>
      <c r="H159" s="1048">
        <f t="shared" si="3"/>
        <v>171</v>
      </c>
      <c r="I159" s="595"/>
    </row>
    <row r="160" spans="1:250" x14ac:dyDescent="0.25">
      <c r="A160" s="586" t="s">
        <v>915</v>
      </c>
      <c r="B160" s="562" t="s">
        <v>916</v>
      </c>
      <c r="C160" s="556">
        <v>0</v>
      </c>
      <c r="D160" s="556">
        <v>0</v>
      </c>
      <c r="E160" s="557">
        <v>100</v>
      </c>
      <c r="F160" s="582">
        <v>2390</v>
      </c>
      <c r="G160" s="583">
        <v>100</v>
      </c>
      <c r="H160" s="1048">
        <f t="shared" si="3"/>
        <v>143</v>
      </c>
      <c r="I160" s="563"/>
    </row>
    <row r="161" spans="1:9" x14ac:dyDescent="0.25">
      <c r="A161" s="586" t="s">
        <v>917</v>
      </c>
      <c r="B161" s="562" t="s">
        <v>918</v>
      </c>
      <c r="C161" s="556">
        <v>0</v>
      </c>
      <c r="D161" s="556">
        <v>0</v>
      </c>
      <c r="E161" s="557">
        <v>120</v>
      </c>
      <c r="F161" s="582">
        <v>2390</v>
      </c>
      <c r="G161" s="583">
        <v>120</v>
      </c>
      <c r="H161" s="1048">
        <f t="shared" ref="H161:H178" si="4">ROUNDUP(G161/0.702804,0)</f>
        <v>171</v>
      </c>
      <c r="I161" s="563"/>
    </row>
    <row r="162" spans="1:9" x14ac:dyDescent="0.25">
      <c r="A162" s="586" t="s">
        <v>919</v>
      </c>
      <c r="B162" s="562" t="s">
        <v>920</v>
      </c>
      <c r="C162" s="556">
        <v>0</v>
      </c>
      <c r="D162" s="556">
        <v>0</v>
      </c>
      <c r="E162" s="557">
        <v>100</v>
      </c>
      <c r="F162" s="582">
        <v>2390</v>
      </c>
      <c r="G162" s="583">
        <v>100</v>
      </c>
      <c r="H162" s="1048">
        <f t="shared" si="4"/>
        <v>143</v>
      </c>
      <c r="I162" s="563"/>
    </row>
    <row r="163" spans="1:9" x14ac:dyDescent="0.25">
      <c r="A163" s="586" t="s">
        <v>921</v>
      </c>
      <c r="B163" s="562" t="s">
        <v>922</v>
      </c>
      <c r="C163" s="556">
        <v>120</v>
      </c>
      <c r="D163" s="556">
        <v>120</v>
      </c>
      <c r="E163" s="557">
        <v>0</v>
      </c>
      <c r="F163" s="582">
        <v>2390</v>
      </c>
      <c r="G163" s="583"/>
      <c r="H163" s="1048">
        <f t="shared" si="4"/>
        <v>0</v>
      </c>
      <c r="I163" s="563"/>
    </row>
    <row r="164" spans="1:9" x14ac:dyDescent="0.25">
      <c r="A164" s="1099" t="s">
        <v>923</v>
      </c>
      <c r="B164" s="1100" t="s">
        <v>924</v>
      </c>
      <c r="C164" s="645">
        <f>120+500</f>
        <v>620</v>
      </c>
      <c r="D164" s="645">
        <v>620</v>
      </c>
      <c r="E164" s="646">
        <v>120</v>
      </c>
      <c r="F164" s="647">
        <v>2390</v>
      </c>
      <c r="G164" s="648">
        <v>120</v>
      </c>
      <c r="H164" s="1050">
        <f t="shared" si="4"/>
        <v>171</v>
      </c>
      <c r="I164" s="1101"/>
    </row>
    <row r="165" spans="1:9" x14ac:dyDescent="0.25">
      <c r="A165" s="2282" t="s">
        <v>925</v>
      </c>
      <c r="B165" s="2250" t="s">
        <v>926</v>
      </c>
      <c r="C165" s="577">
        <v>1200</v>
      </c>
      <c r="D165" s="577">
        <v>1199</v>
      </c>
      <c r="E165" s="578">
        <v>1000</v>
      </c>
      <c r="F165" s="579">
        <v>2390</v>
      </c>
      <c r="G165" s="580">
        <v>1000</v>
      </c>
      <c r="H165" s="1048">
        <f t="shared" si="4"/>
        <v>1423</v>
      </c>
      <c r="I165" s="581" t="s">
        <v>927</v>
      </c>
    </row>
    <row r="166" spans="1:9" x14ac:dyDescent="0.25">
      <c r="A166" s="2267"/>
      <c r="B166" s="2256"/>
      <c r="C166" s="556">
        <v>0</v>
      </c>
      <c r="D166" s="556">
        <v>0</v>
      </c>
      <c r="E166" s="557">
        <v>300</v>
      </c>
      <c r="F166" s="679">
        <v>2275</v>
      </c>
      <c r="G166" s="583">
        <v>300</v>
      </c>
      <c r="H166" s="1048">
        <f t="shared" si="4"/>
        <v>427</v>
      </c>
      <c r="I166" s="560" t="s">
        <v>928</v>
      </c>
    </row>
    <row r="167" spans="1:9" x14ac:dyDescent="0.25">
      <c r="A167" s="2267"/>
      <c r="B167" s="2256"/>
      <c r="C167" s="556">
        <v>0</v>
      </c>
      <c r="D167" s="556">
        <v>0</v>
      </c>
      <c r="E167" s="557">
        <v>400</v>
      </c>
      <c r="F167" s="582">
        <v>2231</v>
      </c>
      <c r="G167" s="583">
        <v>400</v>
      </c>
      <c r="H167" s="1048">
        <f t="shared" si="4"/>
        <v>570</v>
      </c>
      <c r="I167" s="560" t="s">
        <v>929</v>
      </c>
    </row>
    <row r="168" spans="1:9" x14ac:dyDescent="0.25">
      <c r="A168" s="2262" t="s">
        <v>930</v>
      </c>
      <c r="B168" s="2279" t="s">
        <v>931</v>
      </c>
      <c r="C168" s="556">
        <v>2343</v>
      </c>
      <c r="D168" s="556">
        <v>2282</v>
      </c>
      <c r="E168" s="557">
        <v>2500</v>
      </c>
      <c r="F168" s="582">
        <v>2390</v>
      </c>
      <c r="G168" s="583">
        <v>2300</v>
      </c>
      <c r="H168" s="1048">
        <f t="shared" si="4"/>
        <v>3273</v>
      </c>
      <c r="I168" s="563"/>
    </row>
    <row r="169" spans="1:9" x14ac:dyDescent="0.25">
      <c r="A169" s="2263"/>
      <c r="B169" s="2281"/>
      <c r="C169" s="556">
        <v>65</v>
      </c>
      <c r="D169" s="556">
        <v>0</v>
      </c>
      <c r="E169" s="557">
        <v>0</v>
      </c>
      <c r="F169" s="582">
        <v>2322</v>
      </c>
      <c r="G169" s="583"/>
      <c r="H169" s="1048">
        <f t="shared" si="4"/>
        <v>0</v>
      </c>
      <c r="I169" s="563"/>
    </row>
    <row r="170" spans="1:9" x14ac:dyDescent="0.25">
      <c r="A170" s="2260" t="s">
        <v>932</v>
      </c>
      <c r="B170" s="2268" t="s">
        <v>933</v>
      </c>
      <c r="C170" s="556">
        <v>100</v>
      </c>
      <c r="D170" s="556">
        <v>100</v>
      </c>
      <c r="E170" s="557">
        <v>100</v>
      </c>
      <c r="F170" s="582">
        <v>2390</v>
      </c>
      <c r="G170" s="583">
        <v>100</v>
      </c>
      <c r="H170" s="1048">
        <f t="shared" si="4"/>
        <v>143</v>
      </c>
      <c r="I170" s="611"/>
    </row>
    <row r="171" spans="1:9" x14ac:dyDescent="0.25">
      <c r="A171" s="2260"/>
      <c r="B171" s="2268"/>
      <c r="C171" s="556">
        <v>150</v>
      </c>
      <c r="D171" s="556">
        <v>150</v>
      </c>
      <c r="E171" s="557">
        <v>150</v>
      </c>
      <c r="F171" s="582">
        <v>2264</v>
      </c>
      <c r="G171" s="583">
        <v>150</v>
      </c>
      <c r="H171" s="1048">
        <f t="shared" si="4"/>
        <v>214</v>
      </c>
      <c r="I171" s="611"/>
    </row>
    <row r="172" spans="1:9" x14ac:dyDescent="0.25">
      <c r="A172" s="2260"/>
      <c r="B172" s="2268"/>
      <c r="C172" s="556">
        <v>150</v>
      </c>
      <c r="D172" s="556">
        <v>150</v>
      </c>
      <c r="E172" s="557">
        <v>150</v>
      </c>
      <c r="F172" s="582">
        <v>2363</v>
      </c>
      <c r="G172" s="583">
        <v>150</v>
      </c>
      <c r="H172" s="1048">
        <f t="shared" si="4"/>
        <v>214</v>
      </c>
      <c r="I172" s="611"/>
    </row>
    <row r="173" spans="1:9" x14ac:dyDescent="0.25">
      <c r="A173" s="2267" t="s">
        <v>934</v>
      </c>
      <c r="B173" s="2268" t="s">
        <v>1838</v>
      </c>
      <c r="C173" s="556">
        <v>100</v>
      </c>
      <c r="D173" s="556">
        <v>100</v>
      </c>
      <c r="E173" s="557">
        <v>150</v>
      </c>
      <c r="F173" s="582">
        <v>2390</v>
      </c>
      <c r="G173" s="583">
        <v>150</v>
      </c>
      <c r="H173" s="1048">
        <f t="shared" si="4"/>
        <v>214</v>
      </c>
      <c r="I173" s="560" t="s">
        <v>201</v>
      </c>
    </row>
    <row r="174" spans="1:9" x14ac:dyDescent="0.25">
      <c r="A174" s="2270"/>
      <c r="B174" s="2271"/>
      <c r="C174" s="566">
        <v>0</v>
      </c>
      <c r="D174" s="566">
        <v>0</v>
      </c>
      <c r="E174" s="567">
        <v>0</v>
      </c>
      <c r="F174" s="601">
        <v>2261</v>
      </c>
      <c r="G174" s="602"/>
      <c r="H174" s="1048">
        <f t="shared" si="4"/>
        <v>0</v>
      </c>
      <c r="I174" s="569"/>
    </row>
    <row r="175" spans="1:9" x14ac:dyDescent="0.25">
      <c r="A175" s="542" t="s">
        <v>935</v>
      </c>
      <c r="B175" s="571" t="s">
        <v>936</v>
      </c>
      <c r="C175" s="572">
        <f>SUM(C176:C178)</f>
        <v>579</v>
      </c>
      <c r="D175" s="572">
        <f t="shared" ref="D175" si="5">SUM(D176:D178)</f>
        <v>579</v>
      </c>
      <c r="E175" s="572">
        <f>SUM(E176:E178)</f>
        <v>1100</v>
      </c>
      <c r="F175" s="573"/>
      <c r="G175" s="573">
        <f>SUM(G176:G178)</f>
        <v>3600</v>
      </c>
      <c r="H175" s="1046">
        <f>SUM(H176:H178)</f>
        <v>5124</v>
      </c>
      <c r="I175" s="576"/>
    </row>
    <row r="176" spans="1:9" x14ac:dyDescent="0.25">
      <c r="A176" s="2282" t="s">
        <v>937</v>
      </c>
      <c r="B176" s="2250" t="s">
        <v>938</v>
      </c>
      <c r="C176" s="577">
        <v>200</v>
      </c>
      <c r="D176" s="577">
        <v>200</v>
      </c>
      <c r="E176" s="578">
        <v>200</v>
      </c>
      <c r="F176" s="579">
        <v>2264</v>
      </c>
      <c r="G176" s="580">
        <v>200</v>
      </c>
      <c r="H176" s="1048">
        <f t="shared" si="4"/>
        <v>285</v>
      </c>
      <c r="I176" s="581"/>
    </row>
    <row r="177" spans="1:9" x14ac:dyDescent="0.25">
      <c r="A177" s="2267"/>
      <c r="B177" s="2256"/>
      <c r="C177" s="556">
        <v>0</v>
      </c>
      <c r="D177" s="556">
        <v>0</v>
      </c>
      <c r="E177" s="557">
        <v>600</v>
      </c>
      <c r="F177" s="582">
        <v>2370</v>
      </c>
      <c r="G177" s="583">
        <v>600</v>
      </c>
      <c r="H177" s="1048">
        <f t="shared" si="4"/>
        <v>854</v>
      </c>
      <c r="I177" s="560" t="s">
        <v>804</v>
      </c>
    </row>
    <row r="178" spans="1:9" ht="24.75" x14ac:dyDescent="0.25">
      <c r="A178" s="2270"/>
      <c r="B178" s="2249"/>
      <c r="C178" s="566">
        <v>379</v>
      </c>
      <c r="D178" s="566">
        <v>379</v>
      </c>
      <c r="E178" s="567">
        <v>300</v>
      </c>
      <c r="F178" s="601">
        <v>2390</v>
      </c>
      <c r="G178" s="602">
        <f>300+2500</f>
        <v>2800</v>
      </c>
      <c r="H178" s="1048">
        <f t="shared" si="4"/>
        <v>3985</v>
      </c>
      <c r="I178" s="597" t="s">
        <v>1876</v>
      </c>
    </row>
    <row r="179" spans="1:9" x14ac:dyDescent="0.25">
      <c r="A179" s="542" t="s">
        <v>939</v>
      </c>
      <c r="B179" s="571" t="s">
        <v>940</v>
      </c>
      <c r="C179" s="572">
        <f>SUM(C180:C184)</f>
        <v>250</v>
      </c>
      <c r="D179" s="572">
        <f t="shared" ref="D179" si="6">SUM(D180:D184)</f>
        <v>250</v>
      </c>
      <c r="E179" s="572">
        <f>SUM(E180:E184)</f>
        <v>275</v>
      </c>
      <c r="F179" s="573"/>
      <c r="G179" s="573">
        <f>SUM(G180:G184)</f>
        <v>265</v>
      </c>
      <c r="H179" s="1046">
        <f>SUM(H180:H184)</f>
        <v>380</v>
      </c>
      <c r="I179" s="574"/>
    </row>
    <row r="180" spans="1:9" x14ac:dyDescent="0.25">
      <c r="A180" s="612"/>
      <c r="B180" s="543" t="s">
        <v>850</v>
      </c>
      <c r="C180" s="599"/>
      <c r="D180" s="599"/>
      <c r="E180" s="600"/>
      <c r="F180" s="604"/>
      <c r="G180" s="605"/>
      <c r="H180" s="599"/>
      <c r="I180" s="576"/>
    </row>
    <row r="181" spans="1:9" ht="24.75" x14ac:dyDescent="0.25">
      <c r="A181" s="607" t="s">
        <v>941</v>
      </c>
      <c r="B181" s="613" t="s">
        <v>942</v>
      </c>
      <c r="C181" s="577">
        <v>45</v>
      </c>
      <c r="D181" s="577">
        <v>45</v>
      </c>
      <c r="E181" s="578">
        <v>50</v>
      </c>
      <c r="F181" s="1772">
        <v>2390</v>
      </c>
      <c r="G181" s="614">
        <v>50</v>
      </c>
      <c r="H181" s="1049">
        <f t="shared" ref="H181:H184" si="7">ROUNDUP(G181/0.702804,0)</f>
        <v>72</v>
      </c>
      <c r="I181" s="595"/>
    </row>
    <row r="182" spans="1:9" ht="24.75" x14ac:dyDescent="0.25">
      <c r="A182" s="586" t="s">
        <v>943</v>
      </c>
      <c r="B182" s="615" t="s">
        <v>944</v>
      </c>
      <c r="C182" s="556">
        <v>45</v>
      </c>
      <c r="D182" s="556">
        <v>45</v>
      </c>
      <c r="E182" s="557">
        <v>50</v>
      </c>
      <c r="F182" s="558">
        <v>2390</v>
      </c>
      <c r="G182" s="559">
        <v>50</v>
      </c>
      <c r="H182" s="1049">
        <f t="shared" si="7"/>
        <v>72</v>
      </c>
      <c r="I182" s="563"/>
    </row>
    <row r="183" spans="1:9" x14ac:dyDescent="0.25">
      <c r="A183" s="586" t="s">
        <v>945</v>
      </c>
      <c r="B183" s="615" t="s">
        <v>946</v>
      </c>
      <c r="C183" s="556">
        <f>60+10</f>
        <v>70</v>
      </c>
      <c r="D183" s="556">
        <v>70</v>
      </c>
      <c r="E183" s="557">
        <v>75</v>
      </c>
      <c r="F183" s="558">
        <v>2390</v>
      </c>
      <c r="G183" s="559">
        <v>75</v>
      </c>
      <c r="H183" s="1049">
        <f t="shared" si="7"/>
        <v>107</v>
      </c>
      <c r="I183" s="563"/>
    </row>
    <row r="184" spans="1:9" x14ac:dyDescent="0.25">
      <c r="A184" s="590" t="s">
        <v>947</v>
      </c>
      <c r="B184" s="616" t="s">
        <v>948</v>
      </c>
      <c r="C184" s="566">
        <f>80+10</f>
        <v>90</v>
      </c>
      <c r="D184" s="566">
        <v>90</v>
      </c>
      <c r="E184" s="567">
        <v>100</v>
      </c>
      <c r="F184" s="1771">
        <v>2390</v>
      </c>
      <c r="G184" s="592">
        <v>90</v>
      </c>
      <c r="H184" s="1049">
        <f t="shared" si="7"/>
        <v>129</v>
      </c>
      <c r="I184" s="569"/>
    </row>
    <row r="185" spans="1:9" ht="24.75" x14ac:dyDescent="0.25">
      <c r="A185" s="542" t="s">
        <v>949</v>
      </c>
      <c r="B185" s="543" t="s">
        <v>950</v>
      </c>
      <c r="C185" s="572">
        <f>SUM(C186:C190)</f>
        <v>230</v>
      </c>
      <c r="D185" s="572">
        <f t="shared" ref="D185" si="8">SUM(D186:D190)</f>
        <v>229</v>
      </c>
      <c r="E185" s="572">
        <f>SUM(E186:E190)</f>
        <v>280</v>
      </c>
      <c r="F185" s="573"/>
      <c r="G185" s="573">
        <f>SUM(G186:G190)</f>
        <v>280</v>
      </c>
      <c r="H185" s="1046">
        <f>SUM(H186:H190)</f>
        <v>401</v>
      </c>
      <c r="I185" s="574"/>
    </row>
    <row r="186" spans="1:9" x14ac:dyDescent="0.25">
      <c r="A186" s="612"/>
      <c r="B186" s="543" t="s">
        <v>850</v>
      </c>
      <c r="C186" s="599"/>
      <c r="D186" s="599"/>
      <c r="E186" s="600"/>
      <c r="F186" s="604"/>
      <c r="G186" s="605"/>
      <c r="H186" s="599"/>
      <c r="I186" s="576"/>
    </row>
    <row r="187" spans="1:9" ht="24.75" x14ac:dyDescent="0.25">
      <c r="A187" s="607" t="s">
        <v>951</v>
      </c>
      <c r="B187" s="613" t="s">
        <v>952</v>
      </c>
      <c r="C187" s="577">
        <f>40+50+50</f>
        <v>140</v>
      </c>
      <c r="D187" s="577">
        <v>140</v>
      </c>
      <c r="E187" s="578">
        <v>140</v>
      </c>
      <c r="F187" s="1772">
        <v>2390</v>
      </c>
      <c r="G187" s="614">
        <v>140</v>
      </c>
      <c r="H187" s="1049">
        <f t="shared" ref="H187:H251" si="9">ROUNDUP(G187/0.702804,0)</f>
        <v>200</v>
      </c>
      <c r="I187" s="595"/>
    </row>
    <row r="188" spans="1:9" ht="24.75" x14ac:dyDescent="0.25">
      <c r="A188" s="586" t="s">
        <v>953</v>
      </c>
      <c r="B188" s="615" t="s">
        <v>954</v>
      </c>
      <c r="C188" s="556">
        <f>30+20</f>
        <v>50</v>
      </c>
      <c r="D188" s="556">
        <v>49</v>
      </c>
      <c r="E188" s="557">
        <v>50</v>
      </c>
      <c r="F188" s="558">
        <v>2390</v>
      </c>
      <c r="G188" s="559">
        <v>50</v>
      </c>
      <c r="H188" s="1049">
        <f t="shared" si="9"/>
        <v>72</v>
      </c>
      <c r="I188" s="563"/>
    </row>
    <row r="189" spans="1:9" x14ac:dyDescent="0.25">
      <c r="A189" s="586"/>
      <c r="B189" s="615" t="s">
        <v>955</v>
      </c>
      <c r="C189" s="556">
        <v>0</v>
      </c>
      <c r="D189" s="556">
        <v>0</v>
      </c>
      <c r="E189" s="557">
        <v>50</v>
      </c>
      <c r="F189" s="558">
        <v>2390</v>
      </c>
      <c r="G189" s="559">
        <v>50</v>
      </c>
      <c r="H189" s="1049">
        <f t="shared" si="9"/>
        <v>72</v>
      </c>
      <c r="I189" s="563"/>
    </row>
    <row r="190" spans="1:9" x14ac:dyDescent="0.25">
      <c r="A190" s="590" t="s">
        <v>956</v>
      </c>
      <c r="B190" s="616" t="s">
        <v>957</v>
      </c>
      <c r="C190" s="566">
        <f>30+10</f>
        <v>40</v>
      </c>
      <c r="D190" s="566">
        <v>40</v>
      </c>
      <c r="E190" s="567">
        <v>40</v>
      </c>
      <c r="F190" s="1771">
        <v>2390</v>
      </c>
      <c r="G190" s="592">
        <v>40</v>
      </c>
      <c r="H190" s="1049">
        <f t="shared" si="9"/>
        <v>57</v>
      </c>
      <c r="I190" s="569"/>
    </row>
    <row r="191" spans="1:9" ht="24.75" x14ac:dyDescent="0.25">
      <c r="A191" s="542" t="s">
        <v>958</v>
      </c>
      <c r="B191" s="543" t="s">
        <v>959</v>
      </c>
      <c r="C191" s="572">
        <f>SUM(C192:C270)</f>
        <v>10015</v>
      </c>
      <c r="D191" s="572">
        <f>SUM(D192:D270)</f>
        <v>9498</v>
      </c>
      <c r="E191" s="572">
        <f>SUM(E192:E270)</f>
        <v>60741</v>
      </c>
      <c r="F191" s="573"/>
      <c r="G191" s="573">
        <f>SUM(G192:G270)</f>
        <v>57969</v>
      </c>
      <c r="H191" s="1046">
        <f>SUM(H192:H270)</f>
        <v>82504</v>
      </c>
      <c r="I191" s="574"/>
    </row>
    <row r="192" spans="1:9" x14ac:dyDescent="0.25">
      <c r="A192" s="2263" t="s">
        <v>960</v>
      </c>
      <c r="B192" s="2269" t="s">
        <v>961</v>
      </c>
      <c r="C192" s="577">
        <v>60</v>
      </c>
      <c r="D192" s="577">
        <v>20</v>
      </c>
      <c r="E192" s="578">
        <v>80</v>
      </c>
      <c r="F192" s="579">
        <v>2279</v>
      </c>
      <c r="G192" s="580">
        <v>20</v>
      </c>
      <c r="H192" s="1048">
        <f t="shared" si="9"/>
        <v>29</v>
      </c>
      <c r="I192" s="581" t="s">
        <v>455</v>
      </c>
    </row>
    <row r="193" spans="1:9" x14ac:dyDescent="0.25">
      <c r="A193" s="2260"/>
      <c r="B193" s="2261"/>
      <c r="C193" s="556">
        <v>0</v>
      </c>
      <c r="D193" s="556">
        <v>0</v>
      </c>
      <c r="E193" s="557">
        <v>240</v>
      </c>
      <c r="F193" s="582">
        <v>2363</v>
      </c>
      <c r="G193" s="583">
        <v>240</v>
      </c>
      <c r="H193" s="1048">
        <f t="shared" si="9"/>
        <v>342</v>
      </c>
      <c r="I193" s="560" t="s">
        <v>204</v>
      </c>
    </row>
    <row r="194" spans="1:9" x14ac:dyDescent="0.25">
      <c r="A194" s="2260"/>
      <c r="B194" s="2261"/>
      <c r="C194" s="556">
        <f>180+70</f>
        <v>250</v>
      </c>
      <c r="D194" s="556">
        <v>250</v>
      </c>
      <c r="E194" s="557">
        <v>250</v>
      </c>
      <c r="F194" s="582">
        <v>2262</v>
      </c>
      <c r="G194" s="583">
        <v>250</v>
      </c>
      <c r="H194" s="1048">
        <f t="shared" si="9"/>
        <v>356</v>
      </c>
      <c r="I194" s="560" t="s">
        <v>962</v>
      </c>
    </row>
    <row r="195" spans="1:9" x14ac:dyDescent="0.25">
      <c r="A195" s="2262" t="s">
        <v>963</v>
      </c>
      <c r="B195" s="2279" t="s">
        <v>964</v>
      </c>
      <c r="C195" s="556">
        <v>40</v>
      </c>
      <c r="D195" s="556">
        <v>40</v>
      </c>
      <c r="E195" s="557">
        <v>40</v>
      </c>
      <c r="F195" s="582">
        <v>2279</v>
      </c>
      <c r="G195" s="583">
        <v>40</v>
      </c>
      <c r="H195" s="1048">
        <f t="shared" si="9"/>
        <v>57</v>
      </c>
      <c r="I195" s="560" t="s">
        <v>455</v>
      </c>
    </row>
    <row r="196" spans="1:9" x14ac:dyDescent="0.25">
      <c r="A196" s="2272"/>
      <c r="B196" s="2280"/>
      <c r="C196" s="556">
        <v>100</v>
      </c>
      <c r="D196" s="556">
        <v>100</v>
      </c>
      <c r="E196" s="557">
        <v>100</v>
      </c>
      <c r="F196" s="582">
        <v>2363</v>
      </c>
      <c r="G196" s="583">
        <v>100</v>
      </c>
      <c r="H196" s="1048">
        <f t="shared" si="9"/>
        <v>143</v>
      </c>
      <c r="I196" s="560" t="s">
        <v>204</v>
      </c>
    </row>
    <row r="197" spans="1:9" x14ac:dyDescent="0.25">
      <c r="A197" s="2263"/>
      <c r="B197" s="2281"/>
      <c r="C197" s="556">
        <v>0</v>
      </c>
      <c r="D197" s="556">
        <v>0</v>
      </c>
      <c r="E197" s="557">
        <v>250</v>
      </c>
      <c r="F197" s="582">
        <v>2262</v>
      </c>
      <c r="G197" s="583"/>
      <c r="H197" s="1048">
        <f t="shared" si="9"/>
        <v>0</v>
      </c>
      <c r="I197" s="560" t="s">
        <v>962</v>
      </c>
    </row>
    <row r="198" spans="1:9" ht="24" x14ac:dyDescent="0.25">
      <c r="A198" s="584" t="s">
        <v>965</v>
      </c>
      <c r="B198" s="617" t="s">
        <v>966</v>
      </c>
      <c r="C198" s="556">
        <v>0</v>
      </c>
      <c r="D198" s="556">
        <v>0</v>
      </c>
      <c r="E198" s="557">
        <v>200</v>
      </c>
      <c r="F198" s="582">
        <v>2262</v>
      </c>
      <c r="G198" s="583">
        <v>200</v>
      </c>
      <c r="H198" s="1048">
        <f t="shared" si="9"/>
        <v>285</v>
      </c>
      <c r="I198" s="560" t="s">
        <v>962</v>
      </c>
    </row>
    <row r="199" spans="1:9" x14ac:dyDescent="0.25">
      <c r="A199" s="2276" t="s">
        <v>245</v>
      </c>
      <c r="B199" s="2253" t="s">
        <v>967</v>
      </c>
      <c r="C199" s="556">
        <v>30</v>
      </c>
      <c r="D199" s="556">
        <v>0</v>
      </c>
      <c r="E199" s="557">
        <v>0</v>
      </c>
      <c r="F199" s="582">
        <v>2279</v>
      </c>
      <c r="G199" s="583"/>
      <c r="H199" s="1048">
        <f t="shared" si="9"/>
        <v>0</v>
      </c>
      <c r="I199" s="560" t="s">
        <v>968</v>
      </c>
    </row>
    <row r="200" spans="1:9" x14ac:dyDescent="0.25">
      <c r="A200" s="2277"/>
      <c r="B200" s="2254"/>
      <c r="C200" s="556">
        <v>0</v>
      </c>
      <c r="D200" s="556">
        <v>0</v>
      </c>
      <c r="E200" s="557">
        <v>100</v>
      </c>
      <c r="F200" s="582">
        <v>2231</v>
      </c>
      <c r="G200" s="583">
        <v>100</v>
      </c>
      <c r="H200" s="1048">
        <f t="shared" si="9"/>
        <v>143</v>
      </c>
      <c r="I200" s="560" t="s">
        <v>929</v>
      </c>
    </row>
    <row r="201" spans="1:9" x14ac:dyDescent="0.25">
      <c r="A201" s="2257" t="s">
        <v>969</v>
      </c>
      <c r="B201" s="2278" t="s">
        <v>970</v>
      </c>
      <c r="C201" s="556">
        <v>200</v>
      </c>
      <c r="D201" s="556">
        <v>200</v>
      </c>
      <c r="E201" s="557">
        <v>200</v>
      </c>
      <c r="F201" s="582">
        <v>2262</v>
      </c>
      <c r="G201" s="583">
        <v>200</v>
      </c>
      <c r="H201" s="1048">
        <f t="shared" si="9"/>
        <v>285</v>
      </c>
      <c r="I201" s="560" t="s">
        <v>962</v>
      </c>
    </row>
    <row r="202" spans="1:9" x14ac:dyDescent="0.25">
      <c r="A202" s="2257"/>
      <c r="B202" s="2278"/>
      <c r="C202" s="556">
        <v>40</v>
      </c>
      <c r="D202" s="556">
        <v>40</v>
      </c>
      <c r="E202" s="557">
        <v>40</v>
      </c>
      <c r="F202" s="582">
        <v>2279</v>
      </c>
      <c r="G202" s="583">
        <v>40</v>
      </c>
      <c r="H202" s="1048">
        <f t="shared" si="9"/>
        <v>57</v>
      </c>
      <c r="I202" s="560" t="s">
        <v>455</v>
      </c>
    </row>
    <row r="203" spans="1:9" x14ac:dyDescent="0.25">
      <c r="A203" s="2273" t="s">
        <v>971</v>
      </c>
      <c r="B203" s="2249" t="s">
        <v>972</v>
      </c>
      <c r="C203" s="556">
        <v>0</v>
      </c>
      <c r="D203" s="556">
        <v>0</v>
      </c>
      <c r="E203" s="557">
        <v>40</v>
      </c>
      <c r="F203" s="582">
        <v>2279</v>
      </c>
      <c r="G203" s="583">
        <v>40</v>
      </c>
      <c r="H203" s="1048">
        <f t="shared" si="9"/>
        <v>57</v>
      </c>
      <c r="I203" s="560" t="s">
        <v>973</v>
      </c>
    </row>
    <row r="204" spans="1:9" x14ac:dyDescent="0.25">
      <c r="A204" s="2275"/>
      <c r="B204" s="2250"/>
      <c r="C204" s="556">
        <v>0</v>
      </c>
      <c r="D204" s="556">
        <v>0</v>
      </c>
      <c r="E204" s="557">
        <v>200</v>
      </c>
      <c r="F204" s="582">
        <v>2262</v>
      </c>
      <c r="G204" s="583">
        <v>200</v>
      </c>
      <c r="H204" s="1048">
        <f t="shared" si="9"/>
        <v>285</v>
      </c>
      <c r="I204" s="560" t="s">
        <v>962</v>
      </c>
    </row>
    <row r="205" spans="1:9" x14ac:dyDescent="0.25">
      <c r="A205" s="2257" t="s">
        <v>974</v>
      </c>
      <c r="B205" s="2256" t="s">
        <v>975</v>
      </c>
      <c r="C205" s="556">
        <v>60</v>
      </c>
      <c r="D205" s="556">
        <v>60</v>
      </c>
      <c r="E205" s="557">
        <v>0</v>
      </c>
      <c r="F205" s="582">
        <v>2261</v>
      </c>
      <c r="G205" s="583"/>
      <c r="H205" s="1048">
        <f t="shared" si="9"/>
        <v>0</v>
      </c>
      <c r="I205" s="563"/>
    </row>
    <row r="206" spans="1:9" x14ac:dyDescent="0.25">
      <c r="A206" s="2257"/>
      <c r="B206" s="2256"/>
      <c r="C206" s="556">
        <v>90</v>
      </c>
      <c r="D206" s="556">
        <v>90</v>
      </c>
      <c r="E206" s="557">
        <v>0</v>
      </c>
      <c r="F206" s="582">
        <v>2363</v>
      </c>
      <c r="G206" s="583"/>
      <c r="H206" s="1048">
        <f t="shared" si="9"/>
        <v>0</v>
      </c>
      <c r="I206" s="563"/>
    </row>
    <row r="207" spans="1:9" x14ac:dyDescent="0.25">
      <c r="A207" s="2257" t="s">
        <v>976</v>
      </c>
      <c r="B207" s="2256" t="s">
        <v>977</v>
      </c>
      <c r="C207" s="556">
        <v>200</v>
      </c>
      <c r="D207" s="556">
        <v>120</v>
      </c>
      <c r="E207" s="557">
        <v>0</v>
      </c>
      <c r="F207" s="582">
        <v>2262</v>
      </c>
      <c r="G207" s="583"/>
      <c r="H207" s="1048">
        <f t="shared" si="9"/>
        <v>0</v>
      </c>
      <c r="I207" s="563"/>
    </row>
    <row r="208" spans="1:9" x14ac:dyDescent="0.25">
      <c r="A208" s="2257"/>
      <c r="B208" s="2256"/>
      <c r="C208" s="556">
        <v>20</v>
      </c>
      <c r="D208" s="556">
        <v>20</v>
      </c>
      <c r="E208" s="557">
        <v>0</v>
      </c>
      <c r="F208" s="582">
        <v>2279</v>
      </c>
      <c r="G208" s="583"/>
      <c r="H208" s="1048">
        <f t="shared" si="9"/>
        <v>0</v>
      </c>
      <c r="I208" s="563"/>
    </row>
    <row r="209" spans="1:250" x14ac:dyDescent="0.25">
      <c r="A209" s="2273" t="s">
        <v>978</v>
      </c>
      <c r="B209" s="2249" t="s">
        <v>979</v>
      </c>
      <c r="C209" s="556">
        <v>0</v>
      </c>
      <c r="D209" s="556">
        <v>0</v>
      </c>
      <c r="E209" s="557">
        <v>400</v>
      </c>
      <c r="F209" s="582">
        <v>2262</v>
      </c>
      <c r="G209" s="583">
        <v>400</v>
      </c>
      <c r="H209" s="1048">
        <f t="shared" si="9"/>
        <v>570</v>
      </c>
      <c r="I209" s="560" t="s">
        <v>980</v>
      </c>
    </row>
    <row r="210" spans="1:250" x14ac:dyDescent="0.25">
      <c r="A210" s="2274"/>
      <c r="B210" s="2259"/>
      <c r="C210" s="556">
        <v>0</v>
      </c>
      <c r="D210" s="556">
        <v>0</v>
      </c>
      <c r="E210" s="557">
        <v>50</v>
      </c>
      <c r="F210" s="582">
        <v>2279</v>
      </c>
      <c r="G210" s="583">
        <v>50</v>
      </c>
      <c r="H210" s="1048">
        <f t="shared" si="9"/>
        <v>72</v>
      </c>
      <c r="I210" s="560" t="s">
        <v>455</v>
      </c>
    </row>
    <row r="211" spans="1:250" x14ac:dyDescent="0.25">
      <c r="A211" s="2275"/>
      <c r="B211" s="2250"/>
      <c r="C211" s="556">
        <v>0</v>
      </c>
      <c r="D211" s="556">
        <v>0</v>
      </c>
      <c r="E211" s="557">
        <v>240</v>
      </c>
      <c r="F211" s="582">
        <v>2363</v>
      </c>
      <c r="G211" s="583"/>
      <c r="H211" s="1048">
        <f t="shared" si="9"/>
        <v>0</v>
      </c>
      <c r="I211" s="560" t="s">
        <v>204</v>
      </c>
    </row>
    <row r="212" spans="1:250" s="589" customFormat="1" ht="24" x14ac:dyDescent="0.25">
      <c r="A212" s="618" t="s">
        <v>981</v>
      </c>
      <c r="B212" s="619" t="s">
        <v>982</v>
      </c>
      <c r="C212" s="556">
        <v>60</v>
      </c>
      <c r="D212" s="556">
        <v>0</v>
      </c>
      <c r="E212" s="557">
        <v>0</v>
      </c>
      <c r="F212" s="582">
        <v>2279</v>
      </c>
      <c r="G212" s="583"/>
      <c r="H212" s="1048">
        <f t="shared" si="9"/>
        <v>0</v>
      </c>
      <c r="I212" s="560"/>
      <c r="J212" s="330"/>
      <c r="K212" s="330"/>
      <c r="L212" s="330"/>
      <c r="M212" s="330"/>
      <c r="N212" s="330"/>
      <c r="O212" s="330"/>
      <c r="P212" s="330"/>
      <c r="Q212" s="330"/>
      <c r="R212" s="330"/>
      <c r="S212" s="330"/>
      <c r="T212" s="330"/>
      <c r="U212" s="330"/>
      <c r="V212" s="330"/>
      <c r="W212" s="330"/>
      <c r="X212" s="330"/>
      <c r="Y212" s="330"/>
      <c r="Z212" s="330"/>
      <c r="AA212" s="330"/>
      <c r="AB212" s="330"/>
      <c r="AC212" s="330"/>
      <c r="AD212" s="330"/>
      <c r="AE212" s="330"/>
      <c r="AF212" s="330"/>
      <c r="AG212" s="330"/>
      <c r="AH212" s="330"/>
      <c r="AI212" s="330"/>
      <c r="AJ212" s="330"/>
      <c r="AK212" s="330"/>
      <c r="AL212" s="330"/>
      <c r="AM212" s="330"/>
      <c r="AN212" s="330"/>
      <c r="AO212" s="330"/>
      <c r="AP212" s="330"/>
      <c r="AQ212" s="330"/>
      <c r="AR212" s="330"/>
      <c r="AS212" s="330"/>
      <c r="AT212" s="330"/>
      <c r="AU212" s="330"/>
      <c r="AV212" s="330"/>
      <c r="AW212" s="330"/>
      <c r="AX212" s="330"/>
      <c r="AY212" s="330"/>
      <c r="AZ212" s="330"/>
      <c r="BA212" s="330"/>
      <c r="BB212" s="330"/>
      <c r="BC212" s="330"/>
      <c r="BD212" s="330"/>
      <c r="BE212" s="330"/>
      <c r="BF212" s="330"/>
      <c r="BG212" s="330"/>
      <c r="BH212" s="330"/>
      <c r="BI212" s="330"/>
      <c r="BJ212" s="330"/>
      <c r="BK212" s="330"/>
      <c r="BL212" s="330"/>
      <c r="BM212" s="330"/>
      <c r="BN212" s="330"/>
      <c r="BO212" s="330"/>
      <c r="BP212" s="330"/>
      <c r="BQ212" s="330"/>
      <c r="BR212" s="330"/>
      <c r="BS212" s="330"/>
      <c r="BT212" s="330"/>
      <c r="BU212" s="330"/>
      <c r="BV212" s="330"/>
      <c r="BW212" s="330"/>
      <c r="BX212" s="330"/>
      <c r="BY212" s="330"/>
      <c r="BZ212" s="330"/>
      <c r="CA212" s="330"/>
      <c r="CB212" s="330"/>
      <c r="CC212" s="330"/>
      <c r="CD212" s="330"/>
      <c r="CE212" s="330"/>
      <c r="CF212" s="330"/>
      <c r="CG212" s="330"/>
      <c r="CH212" s="330"/>
      <c r="CI212" s="330"/>
      <c r="CJ212" s="330"/>
      <c r="CK212" s="330"/>
      <c r="CL212" s="330"/>
      <c r="CM212" s="330"/>
      <c r="CN212" s="330"/>
      <c r="CO212" s="330"/>
      <c r="CP212" s="330"/>
      <c r="CQ212" s="330"/>
      <c r="CR212" s="330"/>
      <c r="CS212" s="330"/>
      <c r="CT212" s="330"/>
      <c r="CU212" s="330"/>
      <c r="CV212" s="330"/>
      <c r="CW212" s="330"/>
      <c r="CX212" s="330"/>
      <c r="CY212" s="330"/>
      <c r="CZ212" s="330"/>
      <c r="DA212" s="330"/>
      <c r="DB212" s="330"/>
      <c r="DC212" s="330"/>
      <c r="DD212" s="330"/>
      <c r="DE212" s="330"/>
      <c r="DF212" s="330"/>
      <c r="DG212" s="330"/>
      <c r="DH212" s="330"/>
      <c r="DI212" s="330"/>
      <c r="DJ212" s="330"/>
      <c r="DK212" s="330"/>
      <c r="DL212" s="330"/>
      <c r="DM212" s="330"/>
      <c r="DN212" s="330"/>
      <c r="DO212" s="330"/>
      <c r="DP212" s="330"/>
      <c r="DQ212" s="330"/>
      <c r="DR212" s="330"/>
      <c r="DS212" s="330"/>
      <c r="DT212" s="330"/>
      <c r="DU212" s="330"/>
      <c r="DV212" s="330"/>
      <c r="DW212" s="330"/>
      <c r="DX212" s="330"/>
      <c r="DY212" s="330"/>
      <c r="DZ212" s="330"/>
      <c r="EA212" s="330"/>
      <c r="EB212" s="330"/>
      <c r="EC212" s="330"/>
      <c r="ED212" s="330"/>
      <c r="EE212" s="330"/>
      <c r="EF212" s="330"/>
      <c r="EG212" s="330"/>
      <c r="EH212" s="330"/>
      <c r="EI212" s="330"/>
      <c r="EJ212" s="330"/>
      <c r="EK212" s="330"/>
      <c r="EL212" s="330"/>
      <c r="EM212" s="330"/>
      <c r="EN212" s="330"/>
      <c r="EO212" s="330"/>
      <c r="EP212" s="330"/>
      <c r="EQ212" s="330"/>
      <c r="ER212" s="330"/>
      <c r="ES212" s="330"/>
      <c r="ET212" s="330"/>
      <c r="EU212" s="330"/>
      <c r="EV212" s="330"/>
      <c r="EW212" s="330"/>
      <c r="EX212" s="330"/>
      <c r="EY212" s="330"/>
      <c r="EZ212" s="330"/>
      <c r="FA212" s="330"/>
      <c r="FB212" s="330"/>
      <c r="FC212" s="330"/>
      <c r="FD212" s="330"/>
      <c r="FE212" s="330"/>
      <c r="FF212" s="330"/>
      <c r="FG212" s="330"/>
      <c r="FH212" s="330"/>
      <c r="FI212" s="330"/>
      <c r="FJ212" s="330"/>
      <c r="FK212" s="330"/>
      <c r="FL212" s="330"/>
      <c r="FM212" s="330"/>
      <c r="FN212" s="330"/>
      <c r="FO212" s="330"/>
      <c r="FP212" s="330"/>
      <c r="FQ212" s="330"/>
      <c r="FR212" s="330"/>
      <c r="FS212" s="330"/>
      <c r="FT212" s="330"/>
      <c r="FU212" s="330"/>
      <c r="FV212" s="330"/>
      <c r="FW212" s="330"/>
      <c r="FX212" s="330"/>
      <c r="FY212" s="330"/>
      <c r="FZ212" s="330"/>
      <c r="GA212" s="330"/>
      <c r="GB212" s="330"/>
      <c r="GC212" s="330"/>
      <c r="GD212" s="330"/>
      <c r="GE212" s="330"/>
      <c r="GF212" s="330"/>
      <c r="GG212" s="330"/>
      <c r="GH212" s="330"/>
      <c r="GI212" s="330"/>
      <c r="GJ212" s="330"/>
      <c r="GK212" s="330"/>
      <c r="GL212" s="330"/>
      <c r="GM212" s="330"/>
      <c r="GN212" s="330"/>
      <c r="GO212" s="330"/>
      <c r="GP212" s="330"/>
      <c r="GQ212" s="330"/>
      <c r="GR212" s="330"/>
      <c r="GS212" s="330"/>
      <c r="GT212" s="330"/>
      <c r="GU212" s="330"/>
      <c r="GV212" s="330"/>
      <c r="GW212" s="330"/>
      <c r="GX212" s="330"/>
      <c r="GY212" s="330"/>
      <c r="GZ212" s="330"/>
      <c r="HA212" s="330"/>
      <c r="HB212" s="330"/>
      <c r="HC212" s="330"/>
      <c r="HD212" s="330"/>
      <c r="HE212" s="330"/>
      <c r="HF212" s="330"/>
      <c r="HG212" s="330"/>
      <c r="HH212" s="330"/>
      <c r="HI212" s="330"/>
      <c r="HJ212" s="330"/>
      <c r="HK212" s="330"/>
      <c r="HL212" s="330"/>
      <c r="HM212" s="330"/>
      <c r="HN212" s="330"/>
      <c r="HO212" s="330"/>
      <c r="HP212" s="330"/>
      <c r="HQ212" s="330"/>
      <c r="HR212" s="330"/>
      <c r="HS212" s="330"/>
      <c r="HT212" s="330"/>
      <c r="HU212" s="330"/>
      <c r="HV212" s="330"/>
      <c r="HW212" s="330"/>
      <c r="HX212" s="330"/>
      <c r="HY212" s="330"/>
      <c r="HZ212" s="330"/>
      <c r="IA212" s="330"/>
      <c r="IB212" s="330"/>
      <c r="IC212" s="330"/>
      <c r="ID212" s="330"/>
      <c r="IE212" s="330"/>
      <c r="IF212" s="330"/>
      <c r="IG212" s="330"/>
      <c r="IH212" s="330"/>
      <c r="II212" s="330"/>
      <c r="IJ212" s="330"/>
      <c r="IK212" s="330"/>
      <c r="IL212" s="330"/>
      <c r="IM212" s="330"/>
      <c r="IN212" s="330"/>
      <c r="IO212" s="330"/>
      <c r="IP212" s="330"/>
    </row>
    <row r="213" spans="1:250" s="589" customFormat="1" x14ac:dyDescent="0.25">
      <c r="A213" s="2276" t="s">
        <v>983</v>
      </c>
      <c r="B213" s="2253" t="s">
        <v>984</v>
      </c>
      <c r="C213" s="556">
        <v>0</v>
      </c>
      <c r="D213" s="556">
        <v>0</v>
      </c>
      <c r="E213" s="557">
        <v>40</v>
      </c>
      <c r="F213" s="582">
        <v>2279</v>
      </c>
      <c r="G213" s="583">
        <v>40</v>
      </c>
      <c r="H213" s="1048">
        <f t="shared" si="9"/>
        <v>57</v>
      </c>
      <c r="I213" s="560" t="s">
        <v>455</v>
      </c>
      <c r="J213" s="330"/>
      <c r="K213" s="330"/>
      <c r="L213" s="330"/>
      <c r="M213" s="330"/>
      <c r="N213" s="330"/>
      <c r="O213" s="330"/>
      <c r="P213" s="330"/>
      <c r="Q213" s="330"/>
      <c r="R213" s="330"/>
      <c r="S213" s="330"/>
      <c r="T213" s="330"/>
      <c r="U213" s="330"/>
      <c r="V213" s="330"/>
      <c r="W213" s="330"/>
      <c r="X213" s="330"/>
      <c r="Y213" s="330"/>
      <c r="Z213" s="330"/>
      <c r="AA213" s="330"/>
      <c r="AB213" s="330"/>
      <c r="AC213" s="330"/>
      <c r="AD213" s="330"/>
      <c r="AE213" s="330"/>
      <c r="AF213" s="330"/>
      <c r="AG213" s="330"/>
      <c r="AH213" s="330"/>
      <c r="AI213" s="330"/>
      <c r="AJ213" s="330"/>
      <c r="AK213" s="330"/>
      <c r="AL213" s="330"/>
      <c r="AM213" s="330"/>
      <c r="AN213" s="330"/>
      <c r="AO213" s="330"/>
      <c r="AP213" s="330"/>
      <c r="AQ213" s="330"/>
      <c r="AR213" s="330"/>
      <c r="AS213" s="330"/>
      <c r="AT213" s="330"/>
      <c r="AU213" s="330"/>
      <c r="AV213" s="330"/>
      <c r="AW213" s="330"/>
      <c r="AX213" s="330"/>
      <c r="AY213" s="330"/>
      <c r="AZ213" s="330"/>
      <c r="BA213" s="330"/>
      <c r="BB213" s="330"/>
      <c r="BC213" s="330"/>
      <c r="BD213" s="330"/>
      <c r="BE213" s="330"/>
      <c r="BF213" s="330"/>
      <c r="BG213" s="330"/>
      <c r="BH213" s="330"/>
      <c r="BI213" s="330"/>
      <c r="BJ213" s="330"/>
      <c r="BK213" s="330"/>
      <c r="BL213" s="330"/>
      <c r="BM213" s="330"/>
      <c r="BN213" s="330"/>
      <c r="BO213" s="330"/>
      <c r="BP213" s="330"/>
      <c r="BQ213" s="330"/>
      <c r="BR213" s="330"/>
      <c r="BS213" s="330"/>
      <c r="BT213" s="330"/>
      <c r="BU213" s="330"/>
      <c r="BV213" s="330"/>
      <c r="BW213" s="330"/>
      <c r="BX213" s="330"/>
      <c r="BY213" s="330"/>
      <c r="BZ213" s="330"/>
      <c r="CA213" s="330"/>
      <c r="CB213" s="330"/>
      <c r="CC213" s="330"/>
      <c r="CD213" s="330"/>
      <c r="CE213" s="330"/>
      <c r="CF213" s="330"/>
      <c r="CG213" s="330"/>
      <c r="CH213" s="330"/>
      <c r="CI213" s="330"/>
      <c r="CJ213" s="330"/>
      <c r="CK213" s="330"/>
      <c r="CL213" s="330"/>
      <c r="CM213" s="330"/>
      <c r="CN213" s="330"/>
      <c r="CO213" s="330"/>
      <c r="CP213" s="330"/>
      <c r="CQ213" s="330"/>
      <c r="CR213" s="330"/>
      <c r="CS213" s="330"/>
      <c r="CT213" s="330"/>
      <c r="CU213" s="330"/>
      <c r="CV213" s="330"/>
      <c r="CW213" s="330"/>
      <c r="CX213" s="330"/>
      <c r="CY213" s="330"/>
      <c r="CZ213" s="330"/>
      <c r="DA213" s="330"/>
      <c r="DB213" s="330"/>
      <c r="DC213" s="330"/>
      <c r="DD213" s="330"/>
      <c r="DE213" s="330"/>
      <c r="DF213" s="330"/>
      <c r="DG213" s="330"/>
      <c r="DH213" s="330"/>
      <c r="DI213" s="330"/>
      <c r="DJ213" s="330"/>
      <c r="DK213" s="330"/>
      <c r="DL213" s="330"/>
      <c r="DM213" s="330"/>
      <c r="DN213" s="330"/>
      <c r="DO213" s="330"/>
      <c r="DP213" s="330"/>
      <c r="DQ213" s="330"/>
      <c r="DR213" s="330"/>
      <c r="DS213" s="330"/>
      <c r="DT213" s="330"/>
      <c r="DU213" s="330"/>
      <c r="DV213" s="330"/>
      <c r="DW213" s="330"/>
      <c r="DX213" s="330"/>
      <c r="DY213" s="330"/>
      <c r="DZ213" s="330"/>
      <c r="EA213" s="330"/>
      <c r="EB213" s="330"/>
      <c r="EC213" s="330"/>
      <c r="ED213" s="330"/>
      <c r="EE213" s="330"/>
      <c r="EF213" s="330"/>
      <c r="EG213" s="330"/>
      <c r="EH213" s="330"/>
      <c r="EI213" s="330"/>
      <c r="EJ213" s="330"/>
      <c r="EK213" s="330"/>
      <c r="EL213" s="330"/>
      <c r="EM213" s="330"/>
      <c r="EN213" s="330"/>
      <c r="EO213" s="330"/>
      <c r="EP213" s="330"/>
      <c r="EQ213" s="330"/>
      <c r="ER213" s="330"/>
      <c r="ES213" s="330"/>
      <c r="ET213" s="330"/>
      <c r="EU213" s="330"/>
      <c r="EV213" s="330"/>
      <c r="EW213" s="330"/>
      <c r="EX213" s="330"/>
      <c r="EY213" s="330"/>
      <c r="EZ213" s="330"/>
      <c r="FA213" s="330"/>
      <c r="FB213" s="330"/>
      <c r="FC213" s="330"/>
      <c r="FD213" s="330"/>
      <c r="FE213" s="330"/>
      <c r="FF213" s="330"/>
      <c r="FG213" s="330"/>
      <c r="FH213" s="330"/>
      <c r="FI213" s="330"/>
      <c r="FJ213" s="330"/>
      <c r="FK213" s="330"/>
      <c r="FL213" s="330"/>
      <c r="FM213" s="330"/>
      <c r="FN213" s="330"/>
      <c r="FO213" s="330"/>
      <c r="FP213" s="330"/>
      <c r="FQ213" s="330"/>
      <c r="FR213" s="330"/>
      <c r="FS213" s="330"/>
      <c r="FT213" s="330"/>
      <c r="FU213" s="330"/>
      <c r="FV213" s="330"/>
      <c r="FW213" s="330"/>
      <c r="FX213" s="330"/>
      <c r="FY213" s="330"/>
      <c r="FZ213" s="330"/>
      <c r="GA213" s="330"/>
      <c r="GB213" s="330"/>
      <c r="GC213" s="330"/>
      <c r="GD213" s="330"/>
      <c r="GE213" s="330"/>
      <c r="GF213" s="330"/>
      <c r="GG213" s="330"/>
      <c r="GH213" s="330"/>
      <c r="GI213" s="330"/>
      <c r="GJ213" s="330"/>
      <c r="GK213" s="330"/>
      <c r="GL213" s="330"/>
      <c r="GM213" s="330"/>
      <c r="GN213" s="330"/>
      <c r="GO213" s="330"/>
      <c r="GP213" s="330"/>
      <c r="GQ213" s="330"/>
      <c r="GR213" s="330"/>
      <c r="GS213" s="330"/>
      <c r="GT213" s="330"/>
      <c r="GU213" s="330"/>
      <c r="GV213" s="330"/>
      <c r="GW213" s="330"/>
      <c r="GX213" s="330"/>
      <c r="GY213" s="330"/>
      <c r="GZ213" s="330"/>
      <c r="HA213" s="330"/>
      <c r="HB213" s="330"/>
      <c r="HC213" s="330"/>
      <c r="HD213" s="330"/>
      <c r="HE213" s="330"/>
      <c r="HF213" s="330"/>
      <c r="HG213" s="330"/>
      <c r="HH213" s="330"/>
      <c r="HI213" s="330"/>
      <c r="HJ213" s="330"/>
      <c r="HK213" s="330"/>
      <c r="HL213" s="330"/>
      <c r="HM213" s="330"/>
      <c r="HN213" s="330"/>
      <c r="HO213" s="330"/>
      <c r="HP213" s="330"/>
      <c r="HQ213" s="330"/>
      <c r="HR213" s="330"/>
      <c r="HS213" s="330"/>
      <c r="HT213" s="330"/>
      <c r="HU213" s="330"/>
      <c r="HV213" s="330"/>
      <c r="HW213" s="330"/>
      <c r="HX213" s="330"/>
      <c r="HY213" s="330"/>
      <c r="HZ213" s="330"/>
      <c r="IA213" s="330"/>
      <c r="IB213" s="330"/>
      <c r="IC213" s="330"/>
      <c r="ID213" s="330"/>
      <c r="IE213" s="330"/>
      <c r="IF213" s="330"/>
      <c r="IG213" s="330"/>
      <c r="IH213" s="330"/>
      <c r="II213" s="330"/>
      <c r="IJ213" s="330"/>
      <c r="IK213" s="330"/>
      <c r="IL213" s="330"/>
      <c r="IM213" s="330"/>
      <c r="IN213" s="330"/>
      <c r="IO213" s="330"/>
      <c r="IP213" s="330"/>
    </row>
    <row r="214" spans="1:250" s="589" customFormat="1" x14ac:dyDescent="0.25">
      <c r="A214" s="2277"/>
      <c r="B214" s="2254"/>
      <c r="C214" s="556">
        <v>0</v>
      </c>
      <c r="D214" s="556">
        <v>0</v>
      </c>
      <c r="E214" s="557">
        <v>200</v>
      </c>
      <c r="F214" s="582">
        <v>2262</v>
      </c>
      <c r="G214" s="583"/>
      <c r="H214" s="1048">
        <f t="shared" si="9"/>
        <v>0</v>
      </c>
      <c r="I214" s="560" t="s">
        <v>962</v>
      </c>
      <c r="J214" s="330"/>
      <c r="K214" s="330"/>
      <c r="L214" s="330"/>
      <c r="M214" s="330"/>
      <c r="N214" s="330"/>
      <c r="O214" s="330"/>
      <c r="P214" s="330"/>
      <c r="Q214" s="330"/>
      <c r="R214" s="330"/>
      <c r="S214" s="330"/>
      <c r="T214" s="330"/>
      <c r="U214" s="330"/>
      <c r="V214" s="330"/>
      <c r="W214" s="330"/>
      <c r="X214" s="330"/>
      <c r="Y214" s="330"/>
      <c r="Z214" s="330"/>
      <c r="AA214" s="330"/>
      <c r="AB214" s="330"/>
      <c r="AC214" s="330"/>
      <c r="AD214" s="330"/>
      <c r="AE214" s="330"/>
      <c r="AF214" s="330"/>
      <c r="AG214" s="330"/>
      <c r="AH214" s="330"/>
      <c r="AI214" s="330"/>
      <c r="AJ214" s="330"/>
      <c r="AK214" s="330"/>
      <c r="AL214" s="330"/>
      <c r="AM214" s="330"/>
      <c r="AN214" s="330"/>
      <c r="AO214" s="330"/>
      <c r="AP214" s="330"/>
      <c r="AQ214" s="330"/>
      <c r="AR214" s="330"/>
      <c r="AS214" s="330"/>
      <c r="AT214" s="330"/>
      <c r="AU214" s="330"/>
      <c r="AV214" s="330"/>
      <c r="AW214" s="330"/>
      <c r="AX214" s="330"/>
      <c r="AY214" s="330"/>
      <c r="AZ214" s="330"/>
      <c r="BA214" s="330"/>
      <c r="BB214" s="330"/>
      <c r="BC214" s="330"/>
      <c r="BD214" s="330"/>
      <c r="BE214" s="330"/>
      <c r="BF214" s="330"/>
      <c r="BG214" s="330"/>
      <c r="BH214" s="330"/>
      <c r="BI214" s="330"/>
      <c r="BJ214" s="330"/>
      <c r="BK214" s="330"/>
      <c r="BL214" s="330"/>
      <c r="BM214" s="330"/>
      <c r="BN214" s="330"/>
      <c r="BO214" s="330"/>
      <c r="BP214" s="330"/>
      <c r="BQ214" s="330"/>
      <c r="BR214" s="330"/>
      <c r="BS214" s="330"/>
      <c r="BT214" s="330"/>
      <c r="BU214" s="330"/>
      <c r="BV214" s="330"/>
      <c r="BW214" s="330"/>
      <c r="BX214" s="330"/>
      <c r="BY214" s="330"/>
      <c r="BZ214" s="330"/>
      <c r="CA214" s="330"/>
      <c r="CB214" s="330"/>
      <c r="CC214" s="330"/>
      <c r="CD214" s="330"/>
      <c r="CE214" s="330"/>
      <c r="CF214" s="330"/>
      <c r="CG214" s="330"/>
      <c r="CH214" s="330"/>
      <c r="CI214" s="330"/>
      <c r="CJ214" s="330"/>
      <c r="CK214" s="330"/>
      <c r="CL214" s="330"/>
      <c r="CM214" s="330"/>
      <c r="CN214" s="330"/>
      <c r="CO214" s="330"/>
      <c r="CP214" s="330"/>
      <c r="CQ214" s="330"/>
      <c r="CR214" s="330"/>
      <c r="CS214" s="330"/>
      <c r="CT214" s="330"/>
      <c r="CU214" s="330"/>
      <c r="CV214" s="330"/>
      <c r="CW214" s="330"/>
      <c r="CX214" s="330"/>
      <c r="CY214" s="330"/>
      <c r="CZ214" s="330"/>
      <c r="DA214" s="330"/>
      <c r="DB214" s="330"/>
      <c r="DC214" s="330"/>
      <c r="DD214" s="330"/>
      <c r="DE214" s="330"/>
      <c r="DF214" s="330"/>
      <c r="DG214" s="330"/>
      <c r="DH214" s="330"/>
      <c r="DI214" s="330"/>
      <c r="DJ214" s="330"/>
      <c r="DK214" s="330"/>
      <c r="DL214" s="330"/>
      <c r="DM214" s="330"/>
      <c r="DN214" s="330"/>
      <c r="DO214" s="330"/>
      <c r="DP214" s="330"/>
      <c r="DQ214" s="330"/>
      <c r="DR214" s="330"/>
      <c r="DS214" s="330"/>
      <c r="DT214" s="330"/>
      <c r="DU214" s="330"/>
      <c r="DV214" s="330"/>
      <c r="DW214" s="330"/>
      <c r="DX214" s="330"/>
      <c r="DY214" s="330"/>
      <c r="DZ214" s="330"/>
      <c r="EA214" s="330"/>
      <c r="EB214" s="330"/>
      <c r="EC214" s="330"/>
      <c r="ED214" s="330"/>
      <c r="EE214" s="330"/>
      <c r="EF214" s="330"/>
      <c r="EG214" s="330"/>
      <c r="EH214" s="330"/>
      <c r="EI214" s="330"/>
      <c r="EJ214" s="330"/>
      <c r="EK214" s="330"/>
      <c r="EL214" s="330"/>
      <c r="EM214" s="330"/>
      <c r="EN214" s="330"/>
      <c r="EO214" s="330"/>
      <c r="EP214" s="330"/>
      <c r="EQ214" s="330"/>
      <c r="ER214" s="330"/>
      <c r="ES214" s="330"/>
      <c r="ET214" s="330"/>
      <c r="EU214" s="330"/>
      <c r="EV214" s="330"/>
      <c r="EW214" s="330"/>
      <c r="EX214" s="330"/>
      <c r="EY214" s="330"/>
      <c r="EZ214" s="330"/>
      <c r="FA214" s="330"/>
      <c r="FB214" s="330"/>
      <c r="FC214" s="330"/>
      <c r="FD214" s="330"/>
      <c r="FE214" s="330"/>
      <c r="FF214" s="330"/>
      <c r="FG214" s="330"/>
      <c r="FH214" s="330"/>
      <c r="FI214" s="330"/>
      <c r="FJ214" s="330"/>
      <c r="FK214" s="330"/>
      <c r="FL214" s="330"/>
      <c r="FM214" s="330"/>
      <c r="FN214" s="330"/>
      <c r="FO214" s="330"/>
      <c r="FP214" s="330"/>
      <c r="FQ214" s="330"/>
      <c r="FR214" s="330"/>
      <c r="FS214" s="330"/>
      <c r="FT214" s="330"/>
      <c r="FU214" s="330"/>
      <c r="FV214" s="330"/>
      <c r="FW214" s="330"/>
      <c r="FX214" s="330"/>
      <c r="FY214" s="330"/>
      <c r="FZ214" s="330"/>
      <c r="GA214" s="330"/>
      <c r="GB214" s="330"/>
      <c r="GC214" s="330"/>
      <c r="GD214" s="330"/>
      <c r="GE214" s="330"/>
      <c r="GF214" s="330"/>
      <c r="GG214" s="330"/>
      <c r="GH214" s="330"/>
      <c r="GI214" s="330"/>
      <c r="GJ214" s="330"/>
      <c r="GK214" s="330"/>
      <c r="GL214" s="330"/>
      <c r="GM214" s="330"/>
      <c r="GN214" s="330"/>
      <c r="GO214" s="330"/>
      <c r="GP214" s="330"/>
      <c r="GQ214" s="330"/>
      <c r="GR214" s="330"/>
      <c r="GS214" s="330"/>
      <c r="GT214" s="330"/>
      <c r="GU214" s="330"/>
      <c r="GV214" s="330"/>
      <c r="GW214" s="330"/>
      <c r="GX214" s="330"/>
      <c r="GY214" s="330"/>
      <c r="GZ214" s="330"/>
      <c r="HA214" s="330"/>
      <c r="HB214" s="330"/>
      <c r="HC214" s="330"/>
      <c r="HD214" s="330"/>
      <c r="HE214" s="330"/>
      <c r="HF214" s="330"/>
      <c r="HG214" s="330"/>
      <c r="HH214" s="330"/>
      <c r="HI214" s="330"/>
      <c r="HJ214" s="330"/>
      <c r="HK214" s="330"/>
      <c r="HL214" s="330"/>
      <c r="HM214" s="330"/>
      <c r="HN214" s="330"/>
      <c r="HO214" s="330"/>
      <c r="HP214" s="330"/>
      <c r="HQ214" s="330"/>
      <c r="HR214" s="330"/>
      <c r="HS214" s="330"/>
      <c r="HT214" s="330"/>
      <c r="HU214" s="330"/>
      <c r="HV214" s="330"/>
      <c r="HW214" s="330"/>
      <c r="HX214" s="330"/>
      <c r="HY214" s="330"/>
      <c r="HZ214" s="330"/>
      <c r="IA214" s="330"/>
      <c r="IB214" s="330"/>
      <c r="IC214" s="330"/>
      <c r="ID214" s="330"/>
      <c r="IE214" s="330"/>
      <c r="IF214" s="330"/>
      <c r="IG214" s="330"/>
      <c r="IH214" s="330"/>
      <c r="II214" s="330"/>
      <c r="IJ214" s="330"/>
      <c r="IK214" s="330"/>
      <c r="IL214" s="330"/>
      <c r="IM214" s="330"/>
      <c r="IN214" s="330"/>
      <c r="IO214" s="330"/>
      <c r="IP214" s="330"/>
    </row>
    <row r="215" spans="1:250" x14ac:dyDescent="0.25">
      <c r="A215" s="2257" t="s">
        <v>985</v>
      </c>
      <c r="B215" s="2256" t="s">
        <v>986</v>
      </c>
      <c r="C215" s="556">
        <v>380</v>
      </c>
      <c r="D215" s="556">
        <v>230</v>
      </c>
      <c r="E215" s="557">
        <v>0</v>
      </c>
      <c r="F215" s="582">
        <v>2262</v>
      </c>
      <c r="G215" s="583"/>
      <c r="H215" s="1048">
        <f t="shared" si="9"/>
        <v>0</v>
      </c>
      <c r="I215" s="563"/>
    </row>
    <row r="216" spans="1:250" x14ac:dyDescent="0.25">
      <c r="A216" s="2257"/>
      <c r="B216" s="2256"/>
      <c r="C216" s="556">
        <v>90</v>
      </c>
      <c r="D216" s="556">
        <v>66</v>
      </c>
      <c r="E216" s="557">
        <v>0</v>
      </c>
      <c r="F216" s="582">
        <v>2261</v>
      </c>
      <c r="G216" s="583"/>
      <c r="H216" s="1048">
        <f t="shared" si="9"/>
        <v>0</v>
      </c>
      <c r="I216" s="563"/>
    </row>
    <row r="217" spans="1:250" x14ac:dyDescent="0.25">
      <c r="A217" s="2257"/>
      <c r="B217" s="2256"/>
      <c r="C217" s="556">
        <v>300</v>
      </c>
      <c r="D217" s="556">
        <v>273</v>
      </c>
      <c r="E217" s="557">
        <v>0</v>
      </c>
      <c r="F217" s="582">
        <v>2363</v>
      </c>
      <c r="G217" s="583"/>
      <c r="H217" s="1048">
        <f t="shared" si="9"/>
        <v>0</v>
      </c>
      <c r="I217" s="563"/>
    </row>
    <row r="218" spans="1:250" x14ac:dyDescent="0.25">
      <c r="A218" s="620" t="s">
        <v>987</v>
      </c>
      <c r="B218" s="587" t="s">
        <v>988</v>
      </c>
      <c r="C218" s="556">
        <v>30</v>
      </c>
      <c r="D218" s="556">
        <v>30</v>
      </c>
      <c r="E218" s="557">
        <v>0</v>
      </c>
      <c r="F218" s="582">
        <v>2279</v>
      </c>
      <c r="G218" s="583"/>
      <c r="H218" s="1048">
        <f t="shared" si="9"/>
        <v>0</v>
      </c>
      <c r="I218" s="563"/>
      <c r="J218" s="589"/>
      <c r="K218" s="589"/>
      <c r="L218" s="589"/>
      <c r="M218" s="589"/>
      <c r="N218" s="589"/>
      <c r="O218" s="589"/>
      <c r="P218" s="589"/>
      <c r="Q218" s="589"/>
      <c r="R218" s="589"/>
      <c r="S218" s="589"/>
      <c r="T218" s="589"/>
      <c r="U218" s="589"/>
      <c r="V218" s="589"/>
      <c r="W218" s="589"/>
      <c r="X218" s="589"/>
      <c r="Y218" s="589"/>
      <c r="Z218" s="589"/>
      <c r="AA218" s="589"/>
      <c r="AB218" s="589"/>
      <c r="AC218" s="589"/>
      <c r="AD218" s="589"/>
      <c r="AE218" s="589"/>
      <c r="AF218" s="589"/>
      <c r="AG218" s="589"/>
      <c r="AH218" s="589"/>
      <c r="AI218" s="589"/>
      <c r="AJ218" s="589"/>
      <c r="AK218" s="589"/>
      <c r="AL218" s="589"/>
      <c r="AM218" s="589"/>
      <c r="AN218" s="589"/>
      <c r="AO218" s="589"/>
      <c r="AP218" s="589"/>
      <c r="AQ218" s="589"/>
      <c r="AR218" s="589"/>
      <c r="AS218" s="589"/>
      <c r="AT218" s="589"/>
      <c r="AU218" s="589"/>
      <c r="AV218" s="589"/>
      <c r="AW218" s="589"/>
      <c r="AX218" s="589"/>
      <c r="AY218" s="589"/>
      <c r="AZ218" s="589"/>
      <c r="BA218" s="589"/>
      <c r="BB218" s="589"/>
      <c r="BC218" s="589"/>
      <c r="BD218" s="589"/>
      <c r="BE218" s="589"/>
      <c r="BF218" s="589"/>
      <c r="BG218" s="589"/>
      <c r="BH218" s="589"/>
      <c r="BI218" s="589"/>
      <c r="BJ218" s="589"/>
      <c r="BK218" s="589"/>
      <c r="BL218" s="589"/>
      <c r="BM218" s="589"/>
      <c r="BN218" s="589"/>
      <c r="BO218" s="589"/>
      <c r="BP218" s="589"/>
      <c r="BQ218" s="589"/>
      <c r="BR218" s="589"/>
      <c r="BS218" s="589"/>
      <c r="BT218" s="589"/>
      <c r="BU218" s="589"/>
      <c r="BV218" s="589"/>
      <c r="BW218" s="589"/>
      <c r="BX218" s="589"/>
      <c r="BY218" s="589"/>
      <c r="BZ218" s="589"/>
      <c r="CA218" s="589"/>
      <c r="CB218" s="589"/>
      <c r="CC218" s="589"/>
      <c r="CD218" s="589"/>
      <c r="CE218" s="589"/>
      <c r="CF218" s="589"/>
      <c r="CG218" s="589"/>
      <c r="CH218" s="589"/>
      <c r="CI218" s="589"/>
      <c r="CJ218" s="589"/>
      <c r="CK218" s="589"/>
      <c r="CL218" s="589"/>
      <c r="CM218" s="589"/>
      <c r="CN218" s="589"/>
      <c r="CO218" s="589"/>
      <c r="CP218" s="589"/>
      <c r="CQ218" s="589"/>
      <c r="CR218" s="589"/>
      <c r="CS218" s="589"/>
      <c r="CT218" s="589"/>
      <c r="CU218" s="589"/>
      <c r="CV218" s="589"/>
      <c r="CW218" s="589"/>
      <c r="CX218" s="589"/>
      <c r="CY218" s="589"/>
      <c r="CZ218" s="589"/>
      <c r="DA218" s="589"/>
      <c r="DB218" s="589"/>
      <c r="DC218" s="589"/>
      <c r="DD218" s="589"/>
      <c r="DE218" s="589"/>
      <c r="DF218" s="589"/>
      <c r="DG218" s="589"/>
      <c r="DH218" s="589"/>
      <c r="DI218" s="589"/>
      <c r="DJ218" s="589"/>
      <c r="DK218" s="589"/>
      <c r="DL218" s="589"/>
      <c r="DM218" s="589"/>
      <c r="DN218" s="589"/>
      <c r="DO218" s="589"/>
      <c r="DP218" s="589"/>
      <c r="DQ218" s="589"/>
      <c r="DR218" s="589"/>
      <c r="DS218" s="589"/>
      <c r="DT218" s="589"/>
      <c r="DU218" s="589"/>
      <c r="DV218" s="589"/>
      <c r="DW218" s="589"/>
      <c r="DX218" s="589"/>
      <c r="DY218" s="589"/>
      <c r="DZ218" s="589"/>
      <c r="EA218" s="589"/>
      <c r="EB218" s="589"/>
      <c r="EC218" s="589"/>
      <c r="ED218" s="589"/>
      <c r="EE218" s="589"/>
      <c r="EF218" s="589"/>
      <c r="EG218" s="589"/>
      <c r="EH218" s="589"/>
      <c r="EI218" s="589"/>
      <c r="EJ218" s="589"/>
      <c r="EK218" s="589"/>
      <c r="EL218" s="589"/>
      <c r="EM218" s="589"/>
      <c r="EN218" s="589"/>
      <c r="EO218" s="589"/>
      <c r="EP218" s="589"/>
      <c r="EQ218" s="589"/>
      <c r="ER218" s="589"/>
      <c r="ES218" s="589"/>
      <c r="ET218" s="589"/>
      <c r="EU218" s="589"/>
      <c r="EV218" s="589"/>
      <c r="EW218" s="589"/>
      <c r="EX218" s="589"/>
      <c r="EY218" s="589"/>
      <c r="EZ218" s="589"/>
      <c r="FA218" s="589"/>
      <c r="FB218" s="589"/>
      <c r="FC218" s="589"/>
      <c r="FD218" s="589"/>
      <c r="FE218" s="589"/>
      <c r="FF218" s="589"/>
      <c r="FG218" s="589"/>
      <c r="FH218" s="589"/>
      <c r="FI218" s="589"/>
      <c r="FJ218" s="589"/>
      <c r="FK218" s="589"/>
      <c r="FL218" s="589"/>
      <c r="FM218" s="589"/>
      <c r="FN218" s="589"/>
      <c r="FO218" s="589"/>
      <c r="FP218" s="589"/>
      <c r="FQ218" s="589"/>
      <c r="FR218" s="589"/>
      <c r="FS218" s="589"/>
      <c r="FT218" s="589"/>
      <c r="FU218" s="589"/>
      <c r="FV218" s="589"/>
      <c r="FW218" s="589"/>
      <c r="FX218" s="589"/>
      <c r="FY218" s="589"/>
      <c r="FZ218" s="589"/>
      <c r="GA218" s="589"/>
      <c r="GB218" s="589"/>
      <c r="GC218" s="589"/>
      <c r="GD218" s="589"/>
      <c r="GE218" s="589"/>
      <c r="GF218" s="589"/>
      <c r="GG218" s="589"/>
      <c r="GH218" s="589"/>
      <c r="GI218" s="589"/>
      <c r="GJ218" s="589"/>
      <c r="GK218" s="589"/>
      <c r="GL218" s="589"/>
      <c r="GM218" s="589"/>
      <c r="GN218" s="589"/>
      <c r="GO218" s="589"/>
      <c r="GP218" s="589"/>
      <c r="GQ218" s="589"/>
      <c r="GR218" s="589"/>
      <c r="GS218" s="589"/>
      <c r="GT218" s="589"/>
      <c r="GU218" s="589"/>
      <c r="GV218" s="589"/>
      <c r="GW218" s="589"/>
      <c r="GX218" s="589"/>
      <c r="GY218" s="589"/>
      <c r="GZ218" s="589"/>
      <c r="HA218" s="589"/>
      <c r="HB218" s="589"/>
      <c r="HC218" s="589"/>
      <c r="HD218" s="589"/>
      <c r="HE218" s="589"/>
      <c r="HF218" s="589"/>
      <c r="HG218" s="589"/>
      <c r="HH218" s="589"/>
      <c r="HI218" s="589"/>
      <c r="HJ218" s="589"/>
      <c r="HK218" s="589"/>
      <c r="HL218" s="589"/>
      <c r="HM218" s="589"/>
      <c r="HN218" s="589"/>
      <c r="HO218" s="589"/>
      <c r="HP218" s="589"/>
      <c r="HQ218" s="589"/>
      <c r="HR218" s="589"/>
      <c r="HS218" s="589"/>
      <c r="HT218" s="589"/>
      <c r="HU218" s="589"/>
      <c r="HV218" s="589"/>
      <c r="HW218" s="589"/>
      <c r="HX218" s="589"/>
      <c r="HY218" s="589"/>
      <c r="HZ218" s="589"/>
      <c r="IA218" s="589"/>
      <c r="IB218" s="589"/>
      <c r="IC218" s="589"/>
      <c r="ID218" s="589"/>
      <c r="IE218" s="589"/>
      <c r="IF218" s="589"/>
      <c r="IG218" s="589"/>
      <c r="IH218" s="589"/>
      <c r="II218" s="589"/>
      <c r="IJ218" s="589"/>
      <c r="IK218" s="589"/>
      <c r="IL218" s="589"/>
      <c r="IM218" s="589"/>
      <c r="IN218" s="589"/>
      <c r="IO218" s="589"/>
      <c r="IP218" s="589"/>
    </row>
    <row r="219" spans="1:250" ht="24.75" x14ac:dyDescent="0.25">
      <c r="A219" s="620" t="s">
        <v>989</v>
      </c>
      <c r="B219" s="587" t="s">
        <v>990</v>
      </c>
      <c r="C219" s="556">
        <v>0</v>
      </c>
      <c r="D219" s="556">
        <v>0</v>
      </c>
      <c r="E219" s="557">
        <v>60</v>
      </c>
      <c r="F219" s="582">
        <v>2231</v>
      </c>
      <c r="G219" s="583">
        <v>60</v>
      </c>
      <c r="H219" s="1048">
        <f t="shared" si="9"/>
        <v>86</v>
      </c>
      <c r="I219" s="560" t="s">
        <v>991</v>
      </c>
      <c r="J219" s="589"/>
      <c r="K219" s="589"/>
      <c r="L219" s="589"/>
      <c r="M219" s="589"/>
      <c r="N219" s="589"/>
      <c r="O219" s="589"/>
      <c r="P219" s="589"/>
      <c r="Q219" s="589"/>
      <c r="R219" s="589"/>
      <c r="S219" s="589"/>
      <c r="T219" s="589"/>
      <c r="U219" s="589"/>
      <c r="V219" s="589"/>
      <c r="W219" s="589"/>
      <c r="X219" s="589"/>
      <c r="Y219" s="589"/>
      <c r="Z219" s="589"/>
      <c r="AA219" s="589"/>
      <c r="AB219" s="589"/>
      <c r="AC219" s="589"/>
      <c r="AD219" s="589"/>
      <c r="AE219" s="589"/>
      <c r="AF219" s="589"/>
      <c r="AG219" s="589"/>
      <c r="AH219" s="589"/>
      <c r="AI219" s="589"/>
      <c r="AJ219" s="589"/>
      <c r="AK219" s="589"/>
      <c r="AL219" s="589"/>
      <c r="AM219" s="589"/>
      <c r="AN219" s="589"/>
      <c r="AO219" s="589"/>
      <c r="AP219" s="589"/>
      <c r="AQ219" s="589"/>
      <c r="AR219" s="589"/>
      <c r="AS219" s="589"/>
      <c r="AT219" s="589"/>
      <c r="AU219" s="589"/>
      <c r="AV219" s="589"/>
      <c r="AW219" s="589"/>
      <c r="AX219" s="589"/>
      <c r="AY219" s="589"/>
      <c r="AZ219" s="589"/>
      <c r="BA219" s="589"/>
      <c r="BB219" s="589"/>
      <c r="BC219" s="589"/>
      <c r="BD219" s="589"/>
      <c r="BE219" s="589"/>
      <c r="BF219" s="589"/>
      <c r="BG219" s="589"/>
      <c r="BH219" s="589"/>
      <c r="BI219" s="589"/>
      <c r="BJ219" s="589"/>
      <c r="BK219" s="589"/>
      <c r="BL219" s="589"/>
      <c r="BM219" s="589"/>
      <c r="BN219" s="589"/>
      <c r="BO219" s="589"/>
      <c r="BP219" s="589"/>
      <c r="BQ219" s="589"/>
      <c r="BR219" s="589"/>
      <c r="BS219" s="589"/>
      <c r="BT219" s="589"/>
      <c r="BU219" s="589"/>
      <c r="BV219" s="589"/>
      <c r="BW219" s="589"/>
      <c r="BX219" s="589"/>
      <c r="BY219" s="589"/>
      <c r="BZ219" s="589"/>
      <c r="CA219" s="589"/>
      <c r="CB219" s="589"/>
      <c r="CC219" s="589"/>
      <c r="CD219" s="589"/>
      <c r="CE219" s="589"/>
      <c r="CF219" s="589"/>
      <c r="CG219" s="589"/>
      <c r="CH219" s="589"/>
      <c r="CI219" s="589"/>
      <c r="CJ219" s="589"/>
      <c r="CK219" s="589"/>
      <c r="CL219" s="589"/>
      <c r="CM219" s="589"/>
      <c r="CN219" s="589"/>
      <c r="CO219" s="589"/>
      <c r="CP219" s="589"/>
      <c r="CQ219" s="589"/>
      <c r="CR219" s="589"/>
      <c r="CS219" s="589"/>
      <c r="CT219" s="589"/>
      <c r="CU219" s="589"/>
      <c r="CV219" s="589"/>
      <c r="CW219" s="589"/>
      <c r="CX219" s="589"/>
      <c r="CY219" s="589"/>
      <c r="CZ219" s="589"/>
      <c r="DA219" s="589"/>
      <c r="DB219" s="589"/>
      <c r="DC219" s="589"/>
      <c r="DD219" s="589"/>
      <c r="DE219" s="589"/>
      <c r="DF219" s="589"/>
      <c r="DG219" s="589"/>
      <c r="DH219" s="589"/>
      <c r="DI219" s="589"/>
      <c r="DJ219" s="589"/>
      <c r="DK219" s="589"/>
      <c r="DL219" s="589"/>
      <c r="DM219" s="589"/>
      <c r="DN219" s="589"/>
      <c r="DO219" s="589"/>
      <c r="DP219" s="589"/>
      <c r="DQ219" s="589"/>
      <c r="DR219" s="589"/>
      <c r="DS219" s="589"/>
      <c r="DT219" s="589"/>
      <c r="DU219" s="589"/>
      <c r="DV219" s="589"/>
      <c r="DW219" s="589"/>
      <c r="DX219" s="589"/>
      <c r="DY219" s="589"/>
      <c r="DZ219" s="589"/>
      <c r="EA219" s="589"/>
      <c r="EB219" s="589"/>
      <c r="EC219" s="589"/>
      <c r="ED219" s="589"/>
      <c r="EE219" s="589"/>
      <c r="EF219" s="589"/>
      <c r="EG219" s="589"/>
      <c r="EH219" s="589"/>
      <c r="EI219" s="589"/>
      <c r="EJ219" s="589"/>
      <c r="EK219" s="589"/>
      <c r="EL219" s="589"/>
      <c r="EM219" s="589"/>
      <c r="EN219" s="589"/>
      <c r="EO219" s="589"/>
      <c r="EP219" s="589"/>
      <c r="EQ219" s="589"/>
      <c r="ER219" s="589"/>
      <c r="ES219" s="589"/>
      <c r="ET219" s="589"/>
      <c r="EU219" s="589"/>
      <c r="EV219" s="589"/>
      <c r="EW219" s="589"/>
      <c r="EX219" s="589"/>
      <c r="EY219" s="589"/>
      <c r="EZ219" s="589"/>
      <c r="FA219" s="589"/>
      <c r="FB219" s="589"/>
      <c r="FC219" s="589"/>
      <c r="FD219" s="589"/>
      <c r="FE219" s="589"/>
      <c r="FF219" s="589"/>
      <c r="FG219" s="589"/>
      <c r="FH219" s="589"/>
      <c r="FI219" s="589"/>
      <c r="FJ219" s="589"/>
      <c r="FK219" s="589"/>
      <c r="FL219" s="589"/>
      <c r="FM219" s="589"/>
      <c r="FN219" s="589"/>
      <c r="FO219" s="589"/>
      <c r="FP219" s="589"/>
      <c r="FQ219" s="589"/>
      <c r="FR219" s="589"/>
      <c r="FS219" s="589"/>
      <c r="FT219" s="589"/>
      <c r="FU219" s="589"/>
      <c r="FV219" s="589"/>
      <c r="FW219" s="589"/>
      <c r="FX219" s="589"/>
      <c r="FY219" s="589"/>
      <c r="FZ219" s="589"/>
      <c r="GA219" s="589"/>
      <c r="GB219" s="589"/>
      <c r="GC219" s="589"/>
      <c r="GD219" s="589"/>
      <c r="GE219" s="589"/>
      <c r="GF219" s="589"/>
      <c r="GG219" s="589"/>
      <c r="GH219" s="589"/>
      <c r="GI219" s="589"/>
      <c r="GJ219" s="589"/>
      <c r="GK219" s="589"/>
      <c r="GL219" s="589"/>
      <c r="GM219" s="589"/>
      <c r="GN219" s="589"/>
      <c r="GO219" s="589"/>
      <c r="GP219" s="589"/>
      <c r="GQ219" s="589"/>
      <c r="GR219" s="589"/>
      <c r="GS219" s="589"/>
      <c r="GT219" s="589"/>
      <c r="GU219" s="589"/>
      <c r="GV219" s="589"/>
      <c r="GW219" s="589"/>
      <c r="GX219" s="589"/>
      <c r="GY219" s="589"/>
      <c r="GZ219" s="589"/>
      <c r="HA219" s="589"/>
      <c r="HB219" s="589"/>
      <c r="HC219" s="589"/>
      <c r="HD219" s="589"/>
      <c r="HE219" s="589"/>
      <c r="HF219" s="589"/>
      <c r="HG219" s="589"/>
      <c r="HH219" s="589"/>
      <c r="HI219" s="589"/>
      <c r="HJ219" s="589"/>
      <c r="HK219" s="589"/>
      <c r="HL219" s="589"/>
      <c r="HM219" s="589"/>
      <c r="HN219" s="589"/>
      <c r="HO219" s="589"/>
      <c r="HP219" s="589"/>
      <c r="HQ219" s="589"/>
      <c r="HR219" s="589"/>
      <c r="HS219" s="589"/>
      <c r="HT219" s="589"/>
      <c r="HU219" s="589"/>
      <c r="HV219" s="589"/>
      <c r="HW219" s="589"/>
      <c r="HX219" s="589"/>
      <c r="HY219" s="589"/>
      <c r="HZ219" s="589"/>
      <c r="IA219" s="589"/>
      <c r="IB219" s="589"/>
      <c r="IC219" s="589"/>
      <c r="ID219" s="589"/>
      <c r="IE219" s="589"/>
      <c r="IF219" s="589"/>
      <c r="IG219" s="589"/>
      <c r="IH219" s="589"/>
      <c r="II219" s="589"/>
      <c r="IJ219" s="589"/>
      <c r="IK219" s="589"/>
      <c r="IL219" s="589"/>
      <c r="IM219" s="589"/>
      <c r="IN219" s="589"/>
      <c r="IO219" s="589"/>
      <c r="IP219" s="589"/>
    </row>
    <row r="220" spans="1:250" ht="24.75" x14ac:dyDescent="0.25">
      <c r="A220" s="621" t="s">
        <v>992</v>
      </c>
      <c r="B220" s="622" t="s">
        <v>993</v>
      </c>
      <c r="C220" s="566">
        <v>35</v>
      </c>
      <c r="D220" s="566">
        <v>35</v>
      </c>
      <c r="E220" s="567">
        <v>100</v>
      </c>
      <c r="F220" s="601">
        <v>2279</v>
      </c>
      <c r="G220" s="602">
        <v>100</v>
      </c>
      <c r="H220" s="1048">
        <f t="shared" si="9"/>
        <v>143</v>
      </c>
      <c r="I220" s="569"/>
    </row>
    <row r="221" spans="1:250" ht="36.75" x14ac:dyDescent="0.25">
      <c r="A221" s="1232" t="s">
        <v>994</v>
      </c>
      <c r="B221" s="1233" t="s">
        <v>1958</v>
      </c>
      <c r="C221" s="1234"/>
      <c r="D221" s="1234"/>
      <c r="E221" s="1235">
        <v>42139</v>
      </c>
      <c r="F221" s="1238">
        <v>2361</v>
      </c>
      <c r="G221" s="1236">
        <v>42139</v>
      </c>
      <c r="H221" s="1048">
        <f t="shared" si="9"/>
        <v>59959</v>
      </c>
      <c r="I221" s="1237"/>
    </row>
    <row r="222" spans="1:250" x14ac:dyDescent="0.25">
      <c r="A222" s="612"/>
      <c r="B222" s="543" t="s">
        <v>850</v>
      </c>
      <c r="C222" s="599"/>
      <c r="D222" s="599"/>
      <c r="E222" s="600"/>
      <c r="F222" s="604"/>
      <c r="G222" s="605"/>
      <c r="H222" s="599"/>
      <c r="I222" s="576"/>
    </row>
    <row r="223" spans="1:250" x14ac:dyDescent="0.25">
      <c r="A223" s="2275" t="s">
        <v>994</v>
      </c>
      <c r="B223" s="2250" t="s">
        <v>995</v>
      </c>
      <c r="C223" s="577">
        <v>0</v>
      </c>
      <c r="D223" s="577">
        <v>0</v>
      </c>
      <c r="E223" s="578">
        <v>100</v>
      </c>
      <c r="F223" s="579">
        <v>2390</v>
      </c>
      <c r="G223" s="580">
        <v>100</v>
      </c>
      <c r="H223" s="1048">
        <f t="shared" si="9"/>
        <v>143</v>
      </c>
      <c r="I223" s="595"/>
    </row>
    <row r="224" spans="1:250" x14ac:dyDescent="0.25">
      <c r="A224" s="2257"/>
      <c r="B224" s="2256"/>
      <c r="C224" s="556">
        <v>0</v>
      </c>
      <c r="D224" s="556">
        <v>0</v>
      </c>
      <c r="E224" s="557">
        <v>75</v>
      </c>
      <c r="F224" s="582">
        <v>1150</v>
      </c>
      <c r="G224" s="583"/>
      <c r="H224" s="1048">
        <f t="shared" si="9"/>
        <v>0</v>
      </c>
      <c r="I224" s="563"/>
    </row>
    <row r="225" spans="1:9" x14ac:dyDescent="0.25">
      <c r="A225" s="2257"/>
      <c r="B225" s="2256"/>
      <c r="C225" s="556">
        <v>0</v>
      </c>
      <c r="D225" s="556">
        <v>0</v>
      </c>
      <c r="E225" s="557">
        <v>19</v>
      </c>
      <c r="F225" s="582">
        <v>1210</v>
      </c>
      <c r="G225" s="583"/>
      <c r="H225" s="1048">
        <f t="shared" si="9"/>
        <v>0</v>
      </c>
      <c r="I225" s="563"/>
    </row>
    <row r="226" spans="1:9" ht="24.75" x14ac:dyDescent="0.25">
      <c r="A226" s="564" t="s">
        <v>996</v>
      </c>
      <c r="B226" s="565" t="s">
        <v>997</v>
      </c>
      <c r="C226" s="566">
        <v>100</v>
      </c>
      <c r="D226" s="566">
        <v>100</v>
      </c>
      <c r="E226" s="567">
        <v>0</v>
      </c>
      <c r="F226" s="601">
        <v>2390</v>
      </c>
      <c r="G226" s="602"/>
      <c r="H226" s="1048">
        <f t="shared" si="9"/>
        <v>0</v>
      </c>
      <c r="I226" s="569"/>
    </row>
    <row r="227" spans="1:9" x14ac:dyDescent="0.25">
      <c r="A227" s="612"/>
      <c r="B227" s="606" t="s">
        <v>853</v>
      </c>
      <c r="C227" s="599"/>
      <c r="D227" s="599"/>
      <c r="E227" s="600"/>
      <c r="F227" s="604"/>
      <c r="G227" s="605"/>
      <c r="H227" s="599"/>
      <c r="I227" s="576"/>
    </row>
    <row r="228" spans="1:9" x14ac:dyDescent="0.25">
      <c r="A228" s="623" t="s">
        <v>998</v>
      </c>
      <c r="B228" s="608" t="s">
        <v>999</v>
      </c>
      <c r="C228" s="577">
        <v>0</v>
      </c>
      <c r="D228" s="577">
        <v>0</v>
      </c>
      <c r="E228" s="578">
        <v>250</v>
      </c>
      <c r="F228" s="1773">
        <v>2370</v>
      </c>
      <c r="G228" s="624">
        <v>250</v>
      </c>
      <c r="H228" s="577">
        <f t="shared" si="9"/>
        <v>356</v>
      </c>
      <c r="I228" s="581" t="s">
        <v>804</v>
      </c>
    </row>
    <row r="229" spans="1:9" x14ac:dyDescent="0.25">
      <c r="A229" s="2267" t="s">
        <v>1000</v>
      </c>
      <c r="B229" s="2268" t="s">
        <v>1001</v>
      </c>
      <c r="C229" s="556">
        <f>60+90</f>
        <v>150</v>
      </c>
      <c r="D229" s="556">
        <v>49</v>
      </c>
      <c r="E229" s="557">
        <v>0</v>
      </c>
      <c r="F229" s="582">
        <v>2322</v>
      </c>
      <c r="G229" s="583"/>
      <c r="H229" s="577">
        <f t="shared" si="9"/>
        <v>0</v>
      </c>
      <c r="I229" s="563"/>
    </row>
    <row r="230" spans="1:9" x14ac:dyDescent="0.25">
      <c r="A230" s="2267"/>
      <c r="B230" s="2268"/>
      <c r="C230" s="556">
        <v>100</v>
      </c>
      <c r="D230" s="556">
        <v>97</v>
      </c>
      <c r="E230" s="557">
        <v>0</v>
      </c>
      <c r="F230" s="582">
        <v>2370</v>
      </c>
      <c r="G230" s="583"/>
      <c r="H230" s="577">
        <f t="shared" si="9"/>
        <v>0</v>
      </c>
      <c r="I230" s="563"/>
    </row>
    <row r="231" spans="1:9" ht="24.75" customHeight="1" x14ac:dyDescent="0.25">
      <c r="A231" s="2262" t="s">
        <v>1002</v>
      </c>
      <c r="B231" s="2279" t="s">
        <v>1003</v>
      </c>
      <c r="C231" s="556">
        <v>0</v>
      </c>
      <c r="D231" s="556">
        <v>0</v>
      </c>
      <c r="E231" s="557">
        <v>150</v>
      </c>
      <c r="F231" s="582">
        <v>2112</v>
      </c>
      <c r="G231" s="583"/>
      <c r="H231" s="577">
        <f t="shared" si="9"/>
        <v>0</v>
      </c>
      <c r="I231" s="560" t="s">
        <v>1004</v>
      </c>
    </row>
    <row r="232" spans="1:9" x14ac:dyDescent="0.25">
      <c r="A232" s="2272"/>
      <c r="B232" s="2280"/>
      <c r="C232" s="556">
        <v>0</v>
      </c>
      <c r="D232" s="556">
        <v>0</v>
      </c>
      <c r="E232" s="557">
        <v>250</v>
      </c>
      <c r="F232" s="582">
        <v>2370</v>
      </c>
      <c r="G232" s="583"/>
      <c r="H232" s="577">
        <f t="shared" si="9"/>
        <v>0</v>
      </c>
      <c r="I232" s="560" t="s">
        <v>804</v>
      </c>
    </row>
    <row r="233" spans="1:9" ht="24.75" x14ac:dyDescent="0.25">
      <c r="A233" s="2263"/>
      <c r="B233" s="2281"/>
      <c r="C233" s="556">
        <v>0</v>
      </c>
      <c r="D233" s="556">
        <v>0</v>
      </c>
      <c r="E233" s="557">
        <v>70</v>
      </c>
      <c r="F233" s="582">
        <v>2279</v>
      </c>
      <c r="G233" s="583"/>
      <c r="H233" s="577">
        <f t="shared" si="9"/>
        <v>0</v>
      </c>
      <c r="I233" s="560" t="s">
        <v>1005</v>
      </c>
    </row>
    <row r="234" spans="1:9" ht="24" customHeight="1" x14ac:dyDescent="0.25">
      <c r="A234" s="2262" t="s">
        <v>1008</v>
      </c>
      <c r="B234" s="2177" t="s">
        <v>1009</v>
      </c>
      <c r="C234" s="556">
        <v>0</v>
      </c>
      <c r="D234" s="556">
        <v>0</v>
      </c>
      <c r="E234" s="557">
        <v>240</v>
      </c>
      <c r="F234" s="582">
        <v>1150</v>
      </c>
      <c r="G234" s="583"/>
      <c r="H234" s="577">
        <f t="shared" si="9"/>
        <v>0</v>
      </c>
      <c r="I234" s="560" t="s">
        <v>1006</v>
      </c>
    </row>
    <row r="235" spans="1:9" x14ac:dyDescent="0.25">
      <c r="A235" s="2272"/>
      <c r="B235" s="2178"/>
      <c r="C235" s="556">
        <v>0</v>
      </c>
      <c r="D235" s="556">
        <v>0</v>
      </c>
      <c r="E235" s="557">
        <v>58</v>
      </c>
      <c r="F235" s="582">
        <v>1210</v>
      </c>
      <c r="G235" s="583"/>
      <c r="H235" s="577">
        <f t="shared" si="9"/>
        <v>0</v>
      </c>
      <c r="I235" s="560" t="s">
        <v>1007</v>
      </c>
    </row>
    <row r="236" spans="1:9" ht="15" customHeight="1" x14ac:dyDescent="0.25">
      <c r="A236" s="2272"/>
      <c r="B236" s="2178"/>
      <c r="C236" s="556">
        <v>0</v>
      </c>
      <c r="D236" s="556">
        <v>0</v>
      </c>
      <c r="E236" s="557">
        <v>400</v>
      </c>
      <c r="F236" s="582">
        <v>2239</v>
      </c>
      <c r="G236" s="583">
        <v>400</v>
      </c>
      <c r="H236" s="577">
        <f t="shared" si="9"/>
        <v>570</v>
      </c>
      <c r="I236" s="560" t="s">
        <v>1010</v>
      </c>
    </row>
    <row r="237" spans="1:9" x14ac:dyDescent="0.25">
      <c r="A237" s="2272"/>
      <c r="B237" s="2178"/>
      <c r="C237" s="556">
        <v>0</v>
      </c>
      <c r="D237" s="556">
        <v>0</v>
      </c>
      <c r="E237" s="557">
        <v>100</v>
      </c>
      <c r="F237" s="582">
        <v>2219</v>
      </c>
      <c r="G237" s="583">
        <v>100</v>
      </c>
      <c r="H237" s="577">
        <f t="shared" si="9"/>
        <v>143</v>
      </c>
      <c r="I237" s="560" t="s">
        <v>1011</v>
      </c>
    </row>
    <row r="238" spans="1:9" x14ac:dyDescent="0.25">
      <c r="A238" s="2263"/>
      <c r="B238" s="2179"/>
      <c r="C238" s="556">
        <v>0</v>
      </c>
      <c r="D238" s="556">
        <v>0</v>
      </c>
      <c r="E238" s="557">
        <v>800</v>
      </c>
      <c r="F238" s="582">
        <v>2390</v>
      </c>
      <c r="G238" s="583">
        <v>800</v>
      </c>
      <c r="H238" s="577">
        <f t="shared" si="9"/>
        <v>1139</v>
      </c>
      <c r="I238" s="560" t="s">
        <v>1012</v>
      </c>
    </row>
    <row r="239" spans="1:9" x14ac:dyDescent="0.25">
      <c r="A239" s="2267" t="s">
        <v>1013</v>
      </c>
      <c r="B239" s="2268" t="s">
        <v>1014</v>
      </c>
      <c r="C239" s="556">
        <v>100</v>
      </c>
      <c r="D239" s="556">
        <v>100</v>
      </c>
      <c r="E239" s="557">
        <v>0</v>
      </c>
      <c r="F239" s="582">
        <v>2219</v>
      </c>
      <c r="G239" s="583"/>
      <c r="H239" s="577">
        <f t="shared" si="9"/>
        <v>0</v>
      </c>
      <c r="I239" s="563"/>
    </row>
    <row r="240" spans="1:9" x14ac:dyDescent="0.25">
      <c r="A240" s="2270"/>
      <c r="B240" s="2271"/>
      <c r="C240" s="566">
        <v>1000</v>
      </c>
      <c r="D240" s="566">
        <v>1000</v>
      </c>
      <c r="E240" s="567">
        <v>0</v>
      </c>
      <c r="F240" s="601">
        <v>2390</v>
      </c>
      <c r="G240" s="602"/>
      <c r="H240" s="577">
        <f t="shared" si="9"/>
        <v>0</v>
      </c>
      <c r="I240" s="569"/>
    </row>
    <row r="241" spans="1:9" x14ac:dyDescent="0.25">
      <c r="A241" s="625"/>
      <c r="B241" s="626" t="s">
        <v>1015</v>
      </c>
      <c r="C241" s="599"/>
      <c r="D241" s="599"/>
      <c r="E241" s="600"/>
      <c r="F241" s="573"/>
      <c r="G241" s="575"/>
      <c r="H241" s="1047"/>
      <c r="I241" s="576"/>
    </row>
    <row r="242" spans="1:9" x14ac:dyDescent="0.25">
      <c r="A242" s="2263" t="s">
        <v>1016</v>
      </c>
      <c r="B242" s="2269" t="s">
        <v>1017</v>
      </c>
      <c r="C242" s="577">
        <v>0</v>
      </c>
      <c r="D242" s="577">
        <v>0</v>
      </c>
      <c r="E242" s="578">
        <v>4000</v>
      </c>
      <c r="F242" s="579">
        <v>1150</v>
      </c>
      <c r="G242" s="580">
        <v>3000</v>
      </c>
      <c r="H242" s="1048">
        <f t="shared" si="9"/>
        <v>4269</v>
      </c>
      <c r="I242" s="627" t="s">
        <v>1018</v>
      </c>
    </row>
    <row r="243" spans="1:9" x14ac:dyDescent="0.25">
      <c r="A243" s="2260"/>
      <c r="B243" s="2261"/>
      <c r="C243" s="556">
        <v>0</v>
      </c>
      <c r="D243" s="556">
        <v>0</v>
      </c>
      <c r="E243" s="557">
        <v>300</v>
      </c>
      <c r="F243" s="582">
        <v>2243</v>
      </c>
      <c r="G243" s="583">
        <v>300</v>
      </c>
      <c r="H243" s="1048">
        <f t="shared" si="9"/>
        <v>427</v>
      </c>
      <c r="I243" s="628" t="s">
        <v>1019</v>
      </c>
    </row>
    <row r="244" spans="1:9" x14ac:dyDescent="0.25">
      <c r="A244" s="2260"/>
      <c r="B244" s="2261"/>
      <c r="C244" s="556">
        <v>0</v>
      </c>
      <c r="D244" s="556">
        <v>0</v>
      </c>
      <c r="E244" s="557">
        <v>3000</v>
      </c>
      <c r="F244" s="582">
        <v>2279</v>
      </c>
      <c r="G244" s="583">
        <v>3000</v>
      </c>
      <c r="H244" s="1048">
        <f t="shared" si="9"/>
        <v>4269</v>
      </c>
      <c r="I244" s="628" t="s">
        <v>1020</v>
      </c>
    </row>
    <row r="245" spans="1:9" x14ac:dyDescent="0.25">
      <c r="A245" s="2260"/>
      <c r="B245" s="2261"/>
      <c r="C245" s="556">
        <v>0</v>
      </c>
      <c r="D245" s="556">
        <v>0</v>
      </c>
      <c r="E245" s="557">
        <v>300</v>
      </c>
      <c r="F245" s="582">
        <v>2231</v>
      </c>
      <c r="G245" s="583">
        <v>300</v>
      </c>
      <c r="H245" s="1048">
        <f t="shared" si="9"/>
        <v>427</v>
      </c>
      <c r="I245" s="628" t="s">
        <v>1021</v>
      </c>
    </row>
    <row r="246" spans="1:9" x14ac:dyDescent="0.25">
      <c r="A246" s="2260"/>
      <c r="B246" s="2261"/>
      <c r="C246" s="556">
        <v>0</v>
      </c>
      <c r="D246" s="556">
        <v>0</v>
      </c>
      <c r="E246" s="557">
        <v>500</v>
      </c>
      <c r="F246" s="582">
        <v>2239</v>
      </c>
      <c r="G246" s="583">
        <v>400</v>
      </c>
      <c r="H246" s="1048">
        <f t="shared" si="9"/>
        <v>570</v>
      </c>
      <c r="I246" s="628" t="s">
        <v>1022</v>
      </c>
    </row>
    <row r="247" spans="1:9" x14ac:dyDescent="0.25">
      <c r="A247" s="2260"/>
      <c r="B247" s="2261"/>
      <c r="C247" s="556">
        <v>0</v>
      </c>
      <c r="D247" s="556">
        <v>0</v>
      </c>
      <c r="E247" s="557">
        <v>3000</v>
      </c>
      <c r="F247" s="582">
        <v>2390</v>
      </c>
      <c r="G247" s="583">
        <v>3000</v>
      </c>
      <c r="H247" s="1048">
        <f t="shared" si="9"/>
        <v>4269</v>
      </c>
      <c r="I247" s="628" t="s">
        <v>1023</v>
      </c>
    </row>
    <row r="248" spans="1:9" ht="24.75" x14ac:dyDescent="0.25">
      <c r="A248" s="2260" t="s">
        <v>1024</v>
      </c>
      <c r="B248" s="2261" t="s">
        <v>1025</v>
      </c>
      <c r="C248" s="556">
        <v>0</v>
      </c>
      <c r="D248" s="556">
        <v>0</v>
      </c>
      <c r="E248" s="557">
        <v>400</v>
      </c>
      <c r="F248" s="582">
        <v>2390</v>
      </c>
      <c r="G248" s="583">
        <v>400</v>
      </c>
      <c r="H248" s="1048">
        <f t="shared" si="9"/>
        <v>570</v>
      </c>
      <c r="I248" s="628" t="s">
        <v>1026</v>
      </c>
    </row>
    <row r="249" spans="1:9" ht="36.75" x14ac:dyDescent="0.25">
      <c r="A249" s="2260"/>
      <c r="B249" s="2261"/>
      <c r="C249" s="556">
        <v>0</v>
      </c>
      <c r="D249" s="556">
        <v>0</v>
      </c>
      <c r="E249" s="557">
        <v>180</v>
      </c>
      <c r="F249" s="582">
        <v>1150</v>
      </c>
      <c r="G249" s="583">
        <v>180</v>
      </c>
      <c r="H249" s="1048">
        <f t="shared" si="9"/>
        <v>257</v>
      </c>
      <c r="I249" s="628" t="s">
        <v>1027</v>
      </c>
    </row>
    <row r="250" spans="1:9" ht="24.75" x14ac:dyDescent="0.25">
      <c r="A250" s="2260"/>
      <c r="B250" s="2261"/>
      <c r="C250" s="556">
        <v>0</v>
      </c>
      <c r="D250" s="556">
        <v>0</v>
      </c>
      <c r="E250" s="557">
        <v>30</v>
      </c>
      <c r="F250" s="582">
        <v>2279</v>
      </c>
      <c r="G250" s="583">
        <v>30</v>
      </c>
      <c r="H250" s="1048">
        <f t="shared" si="9"/>
        <v>43</v>
      </c>
      <c r="I250" s="628" t="s">
        <v>1028</v>
      </c>
    </row>
    <row r="251" spans="1:9" ht="36.75" x14ac:dyDescent="0.25">
      <c r="A251" s="2260"/>
      <c r="B251" s="2261"/>
      <c r="C251" s="556">
        <v>0</v>
      </c>
      <c r="D251" s="556">
        <v>0</v>
      </c>
      <c r="E251" s="557">
        <v>170</v>
      </c>
      <c r="F251" s="582">
        <v>2231</v>
      </c>
      <c r="G251" s="583">
        <v>170</v>
      </c>
      <c r="H251" s="1048">
        <f t="shared" si="9"/>
        <v>242</v>
      </c>
      <c r="I251" s="628" t="s">
        <v>1029</v>
      </c>
    </row>
    <row r="252" spans="1:9" x14ac:dyDescent="0.25">
      <c r="A252" s="2260" t="s">
        <v>1030</v>
      </c>
      <c r="B252" s="2261" t="s">
        <v>1031</v>
      </c>
      <c r="C252" s="556">
        <v>0</v>
      </c>
      <c r="D252" s="556">
        <v>0</v>
      </c>
      <c r="E252" s="557">
        <v>120</v>
      </c>
      <c r="F252" s="582">
        <v>2390</v>
      </c>
      <c r="G252" s="583">
        <v>120</v>
      </c>
      <c r="H252" s="1048">
        <f t="shared" ref="H252:H315" si="10">ROUNDUP(G252/0.702804,0)</f>
        <v>171</v>
      </c>
      <c r="I252" s="628" t="s">
        <v>1032</v>
      </c>
    </row>
    <row r="253" spans="1:9" ht="36.75" x14ac:dyDescent="0.25">
      <c r="A253" s="2260"/>
      <c r="B253" s="2261"/>
      <c r="C253" s="556">
        <v>0</v>
      </c>
      <c r="D253" s="556">
        <v>0</v>
      </c>
      <c r="E253" s="557">
        <v>150</v>
      </c>
      <c r="F253" s="582">
        <v>1150</v>
      </c>
      <c r="G253" s="583">
        <v>150</v>
      </c>
      <c r="H253" s="1048">
        <f t="shared" si="10"/>
        <v>214</v>
      </c>
      <c r="I253" s="628" t="s">
        <v>1033</v>
      </c>
    </row>
    <row r="254" spans="1:9" ht="36.75" x14ac:dyDescent="0.25">
      <c r="A254" s="2260"/>
      <c r="B254" s="2261"/>
      <c r="C254" s="556">
        <v>0</v>
      </c>
      <c r="D254" s="556">
        <v>0</v>
      </c>
      <c r="E254" s="557">
        <v>50</v>
      </c>
      <c r="F254" s="582">
        <v>2231</v>
      </c>
      <c r="G254" s="583">
        <v>50</v>
      </c>
      <c r="H254" s="1048">
        <f t="shared" si="10"/>
        <v>72</v>
      </c>
      <c r="I254" s="628" t="s">
        <v>1034</v>
      </c>
    </row>
    <row r="255" spans="1:9" x14ac:dyDescent="0.25">
      <c r="A255" s="2267" t="s">
        <v>1035</v>
      </c>
      <c r="B255" s="2268" t="s">
        <v>1036</v>
      </c>
      <c r="C255" s="556">
        <f>75+65</f>
        <v>140</v>
      </c>
      <c r="D255" s="556">
        <v>140</v>
      </c>
      <c r="E255" s="557">
        <v>0</v>
      </c>
      <c r="F255" s="582">
        <v>2390</v>
      </c>
      <c r="G255" s="583"/>
      <c r="H255" s="1048">
        <f t="shared" si="10"/>
        <v>0</v>
      </c>
      <c r="I255" s="563"/>
    </row>
    <row r="256" spans="1:9" x14ac:dyDescent="0.25">
      <c r="A256" s="2267"/>
      <c r="B256" s="2268"/>
      <c r="C256" s="556">
        <f>15+45</f>
        <v>60</v>
      </c>
      <c r="D256" s="556">
        <v>60</v>
      </c>
      <c r="E256" s="557">
        <v>0</v>
      </c>
      <c r="F256" s="582">
        <v>2231</v>
      </c>
      <c r="G256" s="583"/>
      <c r="H256" s="1048">
        <f t="shared" si="10"/>
        <v>0</v>
      </c>
      <c r="I256" s="563"/>
    </row>
    <row r="257" spans="1:9" x14ac:dyDescent="0.25">
      <c r="A257" s="2267" t="s">
        <v>1037</v>
      </c>
      <c r="B257" s="2268" t="s">
        <v>1038</v>
      </c>
      <c r="C257" s="556">
        <v>120</v>
      </c>
      <c r="D257" s="556">
        <v>120</v>
      </c>
      <c r="E257" s="557">
        <v>0</v>
      </c>
      <c r="F257" s="582">
        <v>2390</v>
      </c>
      <c r="G257" s="583"/>
      <c r="H257" s="1048">
        <f t="shared" si="10"/>
        <v>0</v>
      </c>
      <c r="I257" s="563"/>
    </row>
    <row r="258" spans="1:9" x14ac:dyDescent="0.25">
      <c r="A258" s="2267"/>
      <c r="B258" s="2268"/>
      <c r="C258" s="556">
        <v>60</v>
      </c>
      <c r="D258" s="556">
        <v>60</v>
      </c>
      <c r="E258" s="557">
        <v>0</v>
      </c>
      <c r="F258" s="582">
        <v>2231</v>
      </c>
      <c r="G258" s="583"/>
      <c r="H258" s="1048">
        <f t="shared" si="10"/>
        <v>0</v>
      </c>
      <c r="I258" s="563"/>
    </row>
    <row r="259" spans="1:9" x14ac:dyDescent="0.25">
      <c r="A259" s="2267" t="s">
        <v>1039</v>
      </c>
      <c r="B259" s="1991" t="s">
        <v>1040</v>
      </c>
      <c r="C259" s="556">
        <v>3002</v>
      </c>
      <c r="D259" s="556">
        <v>3002</v>
      </c>
      <c r="E259" s="557">
        <v>0</v>
      </c>
      <c r="F259" s="582">
        <v>1150</v>
      </c>
      <c r="G259" s="583"/>
      <c r="H259" s="1048">
        <f t="shared" si="10"/>
        <v>0</v>
      </c>
      <c r="I259" s="563"/>
    </row>
    <row r="260" spans="1:9" x14ac:dyDescent="0.25">
      <c r="A260" s="2267"/>
      <c r="B260" s="1991"/>
      <c r="C260" s="556">
        <v>998</v>
      </c>
      <c r="D260" s="556">
        <v>998</v>
      </c>
      <c r="E260" s="557">
        <v>0</v>
      </c>
      <c r="F260" s="582">
        <v>2231</v>
      </c>
      <c r="G260" s="583"/>
      <c r="H260" s="1048">
        <f t="shared" si="10"/>
        <v>0</v>
      </c>
      <c r="I260" s="563"/>
    </row>
    <row r="261" spans="1:9" x14ac:dyDescent="0.25">
      <c r="A261" s="2267"/>
      <c r="B261" s="1991"/>
      <c r="C261" s="556">
        <v>1000</v>
      </c>
      <c r="D261" s="556">
        <v>1000</v>
      </c>
      <c r="E261" s="557">
        <v>0</v>
      </c>
      <c r="F261" s="582">
        <v>6422</v>
      </c>
      <c r="G261" s="583"/>
      <c r="H261" s="1048">
        <f t="shared" si="10"/>
        <v>0</v>
      </c>
      <c r="I261" s="563"/>
    </row>
    <row r="262" spans="1:9" ht="48" x14ac:dyDescent="0.25">
      <c r="A262" s="629" t="s">
        <v>1041</v>
      </c>
      <c r="B262" s="630" t="s">
        <v>1042</v>
      </c>
      <c r="C262" s="566">
        <v>340</v>
      </c>
      <c r="D262" s="566">
        <v>340</v>
      </c>
      <c r="E262" s="567">
        <v>400</v>
      </c>
      <c r="F262" s="601">
        <v>2231</v>
      </c>
      <c r="G262" s="602">
        <v>340</v>
      </c>
      <c r="H262" s="1048">
        <f t="shared" si="10"/>
        <v>484</v>
      </c>
      <c r="I262" s="569"/>
    </row>
    <row r="263" spans="1:9" x14ac:dyDescent="0.25">
      <c r="A263" s="612"/>
      <c r="B263" s="606" t="s">
        <v>1814</v>
      </c>
      <c r="C263" s="599"/>
      <c r="D263" s="599"/>
      <c r="E263" s="600"/>
      <c r="F263" s="604"/>
      <c r="G263" s="605"/>
      <c r="H263" s="599"/>
      <c r="I263" s="576"/>
    </row>
    <row r="264" spans="1:9" ht="24.75" x14ac:dyDescent="0.25">
      <c r="A264" s="623" t="s">
        <v>1043</v>
      </c>
      <c r="B264" s="608" t="s">
        <v>1044</v>
      </c>
      <c r="C264" s="577">
        <f>80+20</f>
        <v>100</v>
      </c>
      <c r="D264" s="577">
        <v>98</v>
      </c>
      <c r="E264" s="578">
        <v>100</v>
      </c>
      <c r="F264" s="1772">
        <v>2390</v>
      </c>
      <c r="G264" s="614">
        <v>100</v>
      </c>
      <c r="H264" s="1049">
        <f t="shared" si="10"/>
        <v>143</v>
      </c>
      <c r="I264" s="595"/>
    </row>
    <row r="265" spans="1:9" ht="24.75" x14ac:dyDescent="0.25">
      <c r="A265" s="561" t="s">
        <v>1045</v>
      </c>
      <c r="B265" s="562" t="s">
        <v>1046</v>
      </c>
      <c r="C265" s="556">
        <v>100</v>
      </c>
      <c r="D265" s="556">
        <v>100</v>
      </c>
      <c r="E265" s="557">
        <v>100</v>
      </c>
      <c r="F265" s="558">
        <v>2390</v>
      </c>
      <c r="G265" s="559">
        <v>100</v>
      </c>
      <c r="H265" s="1049">
        <f t="shared" si="10"/>
        <v>143</v>
      </c>
      <c r="I265" s="563"/>
    </row>
    <row r="266" spans="1:9" ht="24.75" x14ac:dyDescent="0.25">
      <c r="A266" s="561" t="s">
        <v>1047</v>
      </c>
      <c r="B266" s="562" t="s">
        <v>1048</v>
      </c>
      <c r="C266" s="556">
        <v>100</v>
      </c>
      <c r="D266" s="556">
        <v>100</v>
      </c>
      <c r="E266" s="557">
        <v>100</v>
      </c>
      <c r="F266" s="558">
        <v>2390</v>
      </c>
      <c r="G266" s="559">
        <v>100</v>
      </c>
      <c r="H266" s="1049">
        <f t="shared" si="10"/>
        <v>143</v>
      </c>
      <c r="I266" s="563"/>
    </row>
    <row r="267" spans="1:9" ht="24.75" x14ac:dyDescent="0.25">
      <c r="A267" s="561" t="s">
        <v>1049</v>
      </c>
      <c r="B267" s="562" t="s">
        <v>1050</v>
      </c>
      <c r="C267" s="556">
        <v>180</v>
      </c>
      <c r="D267" s="556">
        <v>180</v>
      </c>
      <c r="E267" s="557">
        <v>180</v>
      </c>
      <c r="F267" s="558">
        <v>2390</v>
      </c>
      <c r="G267" s="559">
        <v>180</v>
      </c>
      <c r="H267" s="1049">
        <f t="shared" si="10"/>
        <v>257</v>
      </c>
      <c r="I267" s="563"/>
    </row>
    <row r="268" spans="1:9" x14ac:dyDescent="0.25">
      <c r="A268" s="2267" t="s">
        <v>1051</v>
      </c>
      <c r="B268" s="2268" t="s">
        <v>1052</v>
      </c>
      <c r="C268" s="556">
        <v>100</v>
      </c>
      <c r="D268" s="556">
        <v>100</v>
      </c>
      <c r="E268" s="557">
        <v>0</v>
      </c>
      <c r="F268" s="558">
        <v>2390</v>
      </c>
      <c r="G268" s="559"/>
      <c r="H268" s="1049">
        <f t="shared" si="10"/>
        <v>0</v>
      </c>
      <c r="I268" s="563"/>
    </row>
    <row r="269" spans="1:9" x14ac:dyDescent="0.25">
      <c r="A269" s="2267"/>
      <c r="B269" s="2268"/>
      <c r="C269" s="556">
        <v>100</v>
      </c>
      <c r="D269" s="556">
        <v>100</v>
      </c>
      <c r="E269" s="557">
        <v>0</v>
      </c>
      <c r="F269" s="558">
        <v>2231</v>
      </c>
      <c r="G269" s="559"/>
      <c r="H269" s="1049">
        <f t="shared" si="10"/>
        <v>0</v>
      </c>
      <c r="I269" s="563"/>
    </row>
    <row r="270" spans="1:9" x14ac:dyDescent="0.25">
      <c r="A270" s="629" t="s">
        <v>1053</v>
      </c>
      <c r="B270" s="367" t="s">
        <v>1054</v>
      </c>
      <c r="C270" s="566">
        <v>180</v>
      </c>
      <c r="D270" s="566">
        <v>180</v>
      </c>
      <c r="E270" s="567">
        <v>180</v>
      </c>
      <c r="F270" s="1771">
        <v>2390</v>
      </c>
      <c r="G270" s="592">
        <v>180</v>
      </c>
      <c r="H270" s="1049">
        <f t="shared" si="10"/>
        <v>257</v>
      </c>
      <c r="I270" s="569"/>
    </row>
    <row r="271" spans="1:9" x14ac:dyDescent="0.25">
      <c r="A271" s="542" t="s">
        <v>1055</v>
      </c>
      <c r="B271" s="543" t="s">
        <v>1056</v>
      </c>
      <c r="C271" s="572">
        <f>SUM(C272:C357)</f>
        <v>61911</v>
      </c>
      <c r="D271" s="572">
        <f t="shared" ref="D271:E271" si="11">SUM(D272:D357)</f>
        <v>53921</v>
      </c>
      <c r="E271" s="572">
        <f t="shared" si="11"/>
        <v>49239</v>
      </c>
      <c r="F271" s="573"/>
      <c r="G271" s="573">
        <f>SUM(G272:G357)</f>
        <v>17263</v>
      </c>
      <c r="H271" s="1046">
        <f>SUM(H272:H357)</f>
        <v>24583</v>
      </c>
      <c r="I271" s="631"/>
    </row>
    <row r="272" spans="1:9" x14ac:dyDescent="0.25">
      <c r="A272" s="2263" t="s">
        <v>1057</v>
      </c>
      <c r="B272" s="2269" t="s">
        <v>1058</v>
      </c>
      <c r="C272" s="577">
        <v>0</v>
      </c>
      <c r="D272" s="577">
        <v>0</v>
      </c>
      <c r="E272" s="578">
        <v>800</v>
      </c>
      <c r="F272" s="579">
        <v>2231</v>
      </c>
      <c r="G272" s="580">
        <v>600</v>
      </c>
      <c r="H272" s="1048">
        <f t="shared" si="10"/>
        <v>854</v>
      </c>
      <c r="I272" s="595"/>
    </row>
    <row r="273" spans="1:250" x14ac:dyDescent="0.25">
      <c r="A273" s="2260"/>
      <c r="B273" s="2261"/>
      <c r="C273" s="556">
        <v>0</v>
      </c>
      <c r="D273" s="556">
        <v>0</v>
      </c>
      <c r="E273" s="557">
        <v>50</v>
      </c>
      <c r="F273" s="582">
        <v>2311</v>
      </c>
      <c r="G273" s="583">
        <v>50</v>
      </c>
      <c r="H273" s="1048">
        <f t="shared" si="10"/>
        <v>72</v>
      </c>
      <c r="I273" s="563"/>
    </row>
    <row r="274" spans="1:250" x14ac:dyDescent="0.25">
      <c r="A274" s="2260"/>
      <c r="B274" s="2261"/>
      <c r="C274" s="556">
        <v>0</v>
      </c>
      <c r="D274" s="556">
        <v>0</v>
      </c>
      <c r="E274" s="557">
        <v>200</v>
      </c>
      <c r="F274" s="582">
        <v>2231</v>
      </c>
      <c r="G274" s="583">
        <v>200</v>
      </c>
      <c r="H274" s="1048">
        <f t="shared" si="10"/>
        <v>285</v>
      </c>
      <c r="I274" s="563"/>
    </row>
    <row r="275" spans="1:250" x14ac:dyDescent="0.25">
      <c r="A275" s="2260"/>
      <c r="B275" s="2261"/>
      <c r="C275" s="556">
        <v>0</v>
      </c>
      <c r="D275" s="556">
        <v>0</v>
      </c>
      <c r="E275" s="557">
        <v>100</v>
      </c>
      <c r="F275" s="582">
        <v>1150</v>
      </c>
      <c r="G275" s="583">
        <v>100</v>
      </c>
      <c r="H275" s="1048">
        <f t="shared" si="10"/>
        <v>143</v>
      </c>
      <c r="I275" s="563"/>
    </row>
    <row r="276" spans="1:250" x14ac:dyDescent="0.25">
      <c r="A276" s="2260"/>
      <c r="B276" s="2261"/>
      <c r="C276" s="556">
        <v>0</v>
      </c>
      <c r="D276" s="556">
        <v>0</v>
      </c>
      <c r="E276" s="557">
        <v>25</v>
      </c>
      <c r="F276" s="582">
        <v>1210</v>
      </c>
      <c r="G276" s="583">
        <v>25</v>
      </c>
      <c r="H276" s="1048">
        <f t="shared" si="10"/>
        <v>36</v>
      </c>
      <c r="I276" s="563"/>
    </row>
    <row r="277" spans="1:250" x14ac:dyDescent="0.25">
      <c r="A277" s="2260"/>
      <c r="B277" s="2261"/>
      <c r="C277" s="556">
        <v>0</v>
      </c>
      <c r="D277" s="556">
        <v>0</v>
      </c>
      <c r="E277" s="557">
        <v>100</v>
      </c>
      <c r="F277" s="582">
        <v>2390</v>
      </c>
      <c r="G277" s="583">
        <v>100</v>
      </c>
      <c r="H277" s="1048">
        <f t="shared" si="10"/>
        <v>143</v>
      </c>
      <c r="I277" s="563"/>
    </row>
    <row r="278" spans="1:250" x14ac:dyDescent="0.25">
      <c r="A278" s="2260"/>
      <c r="B278" s="2261"/>
      <c r="C278" s="556">
        <v>0</v>
      </c>
      <c r="D278" s="556">
        <v>0</v>
      </c>
      <c r="E278" s="557">
        <v>20</v>
      </c>
      <c r="F278" s="582">
        <v>2352</v>
      </c>
      <c r="G278" s="583">
        <v>20</v>
      </c>
      <c r="H278" s="1048">
        <f t="shared" si="10"/>
        <v>29</v>
      </c>
      <c r="I278" s="563"/>
    </row>
    <row r="279" spans="1:250" x14ac:dyDescent="0.25">
      <c r="A279" s="2260" t="s">
        <v>249</v>
      </c>
      <c r="B279" s="2261" t="s">
        <v>1059</v>
      </c>
      <c r="C279" s="556">
        <f>150+150</f>
        <v>300</v>
      </c>
      <c r="D279" s="556">
        <v>298</v>
      </c>
      <c r="E279" s="557">
        <v>300</v>
      </c>
      <c r="F279" s="582">
        <v>2390</v>
      </c>
      <c r="G279" s="583">
        <v>200</v>
      </c>
      <c r="H279" s="1048">
        <f t="shared" si="10"/>
        <v>285</v>
      </c>
      <c r="I279" s="560"/>
    </row>
    <row r="280" spans="1:250" s="589" customFormat="1" x14ac:dyDescent="0.25">
      <c r="A280" s="2260"/>
      <c r="B280" s="2261"/>
      <c r="C280" s="556">
        <v>230</v>
      </c>
      <c r="D280" s="556">
        <v>230</v>
      </c>
      <c r="E280" s="557">
        <v>400</v>
      </c>
      <c r="F280" s="582">
        <v>2261</v>
      </c>
      <c r="G280" s="583">
        <v>230</v>
      </c>
      <c r="H280" s="1048">
        <f t="shared" si="10"/>
        <v>328</v>
      </c>
      <c r="I280" s="560"/>
      <c r="J280" s="330"/>
      <c r="K280" s="330"/>
      <c r="L280" s="330"/>
      <c r="M280" s="330"/>
      <c r="N280" s="330"/>
      <c r="O280" s="330"/>
      <c r="P280" s="330"/>
      <c r="Q280" s="330"/>
      <c r="R280" s="330"/>
      <c r="S280" s="330"/>
      <c r="T280" s="330"/>
      <c r="U280" s="330"/>
      <c r="V280" s="330"/>
      <c r="W280" s="330"/>
      <c r="X280" s="330"/>
      <c r="Y280" s="330"/>
      <c r="Z280" s="330"/>
      <c r="AA280" s="330"/>
      <c r="AB280" s="330"/>
      <c r="AC280" s="330"/>
      <c r="AD280" s="330"/>
      <c r="AE280" s="330"/>
      <c r="AF280" s="330"/>
      <c r="AG280" s="330"/>
      <c r="AH280" s="330"/>
      <c r="AI280" s="330"/>
      <c r="AJ280" s="330"/>
      <c r="AK280" s="330"/>
      <c r="AL280" s="330"/>
      <c r="AM280" s="330"/>
      <c r="AN280" s="330"/>
      <c r="AO280" s="330"/>
      <c r="AP280" s="330"/>
      <c r="AQ280" s="330"/>
      <c r="AR280" s="330"/>
      <c r="AS280" s="330"/>
      <c r="AT280" s="330"/>
      <c r="AU280" s="330"/>
      <c r="AV280" s="330"/>
      <c r="AW280" s="330"/>
      <c r="AX280" s="330"/>
      <c r="AY280" s="330"/>
      <c r="AZ280" s="330"/>
      <c r="BA280" s="330"/>
      <c r="BB280" s="330"/>
      <c r="BC280" s="330"/>
      <c r="BD280" s="330"/>
      <c r="BE280" s="330"/>
      <c r="BF280" s="330"/>
      <c r="BG280" s="330"/>
      <c r="BH280" s="330"/>
      <c r="BI280" s="330"/>
      <c r="BJ280" s="330"/>
      <c r="BK280" s="330"/>
      <c r="BL280" s="330"/>
      <c r="BM280" s="330"/>
      <c r="BN280" s="330"/>
      <c r="BO280" s="330"/>
      <c r="BP280" s="330"/>
      <c r="BQ280" s="330"/>
      <c r="BR280" s="330"/>
      <c r="BS280" s="330"/>
      <c r="BT280" s="330"/>
      <c r="BU280" s="330"/>
      <c r="BV280" s="330"/>
      <c r="BW280" s="330"/>
      <c r="BX280" s="330"/>
      <c r="BY280" s="330"/>
      <c r="BZ280" s="330"/>
      <c r="CA280" s="330"/>
      <c r="CB280" s="330"/>
      <c r="CC280" s="330"/>
      <c r="CD280" s="330"/>
      <c r="CE280" s="330"/>
      <c r="CF280" s="330"/>
      <c r="CG280" s="330"/>
      <c r="CH280" s="330"/>
      <c r="CI280" s="330"/>
      <c r="CJ280" s="330"/>
      <c r="CK280" s="330"/>
      <c r="CL280" s="330"/>
      <c r="CM280" s="330"/>
      <c r="CN280" s="330"/>
      <c r="CO280" s="330"/>
      <c r="CP280" s="330"/>
      <c r="CQ280" s="330"/>
      <c r="CR280" s="330"/>
      <c r="CS280" s="330"/>
      <c r="CT280" s="330"/>
      <c r="CU280" s="330"/>
      <c r="CV280" s="330"/>
      <c r="CW280" s="330"/>
      <c r="CX280" s="330"/>
      <c r="CY280" s="330"/>
      <c r="CZ280" s="330"/>
      <c r="DA280" s="330"/>
      <c r="DB280" s="330"/>
      <c r="DC280" s="330"/>
      <c r="DD280" s="330"/>
      <c r="DE280" s="330"/>
      <c r="DF280" s="330"/>
      <c r="DG280" s="330"/>
      <c r="DH280" s="330"/>
      <c r="DI280" s="330"/>
      <c r="DJ280" s="330"/>
      <c r="DK280" s="330"/>
      <c r="DL280" s="330"/>
      <c r="DM280" s="330"/>
      <c r="DN280" s="330"/>
      <c r="DO280" s="330"/>
      <c r="DP280" s="330"/>
      <c r="DQ280" s="330"/>
      <c r="DR280" s="330"/>
      <c r="DS280" s="330"/>
      <c r="DT280" s="330"/>
      <c r="DU280" s="330"/>
      <c r="DV280" s="330"/>
      <c r="DW280" s="330"/>
      <c r="DX280" s="330"/>
      <c r="DY280" s="330"/>
      <c r="DZ280" s="330"/>
      <c r="EA280" s="330"/>
      <c r="EB280" s="330"/>
      <c r="EC280" s="330"/>
      <c r="ED280" s="330"/>
      <c r="EE280" s="330"/>
      <c r="EF280" s="330"/>
      <c r="EG280" s="330"/>
      <c r="EH280" s="330"/>
      <c r="EI280" s="330"/>
      <c r="EJ280" s="330"/>
      <c r="EK280" s="330"/>
      <c r="EL280" s="330"/>
      <c r="EM280" s="330"/>
      <c r="EN280" s="330"/>
      <c r="EO280" s="330"/>
      <c r="EP280" s="330"/>
      <c r="EQ280" s="330"/>
      <c r="ER280" s="330"/>
      <c r="ES280" s="330"/>
      <c r="ET280" s="330"/>
      <c r="EU280" s="330"/>
      <c r="EV280" s="330"/>
      <c r="EW280" s="330"/>
      <c r="EX280" s="330"/>
      <c r="EY280" s="330"/>
      <c r="EZ280" s="330"/>
      <c r="FA280" s="330"/>
      <c r="FB280" s="330"/>
      <c r="FC280" s="330"/>
      <c r="FD280" s="330"/>
      <c r="FE280" s="330"/>
      <c r="FF280" s="330"/>
      <c r="FG280" s="330"/>
      <c r="FH280" s="330"/>
      <c r="FI280" s="330"/>
      <c r="FJ280" s="330"/>
      <c r="FK280" s="330"/>
      <c r="FL280" s="330"/>
      <c r="FM280" s="330"/>
      <c r="FN280" s="330"/>
      <c r="FO280" s="330"/>
      <c r="FP280" s="330"/>
      <c r="FQ280" s="330"/>
      <c r="FR280" s="330"/>
      <c r="FS280" s="330"/>
      <c r="FT280" s="330"/>
      <c r="FU280" s="330"/>
      <c r="FV280" s="330"/>
      <c r="FW280" s="330"/>
      <c r="FX280" s="330"/>
      <c r="FY280" s="330"/>
      <c r="FZ280" s="330"/>
      <c r="GA280" s="330"/>
      <c r="GB280" s="330"/>
      <c r="GC280" s="330"/>
      <c r="GD280" s="330"/>
      <c r="GE280" s="330"/>
      <c r="GF280" s="330"/>
      <c r="GG280" s="330"/>
      <c r="GH280" s="330"/>
      <c r="GI280" s="330"/>
      <c r="GJ280" s="330"/>
      <c r="GK280" s="330"/>
      <c r="GL280" s="330"/>
      <c r="GM280" s="330"/>
      <c r="GN280" s="330"/>
      <c r="GO280" s="330"/>
      <c r="GP280" s="330"/>
      <c r="GQ280" s="330"/>
      <c r="GR280" s="330"/>
      <c r="GS280" s="330"/>
      <c r="GT280" s="330"/>
      <c r="GU280" s="330"/>
      <c r="GV280" s="330"/>
      <c r="GW280" s="330"/>
      <c r="GX280" s="330"/>
      <c r="GY280" s="330"/>
      <c r="GZ280" s="330"/>
      <c r="HA280" s="330"/>
      <c r="HB280" s="330"/>
      <c r="HC280" s="330"/>
      <c r="HD280" s="330"/>
      <c r="HE280" s="330"/>
      <c r="HF280" s="330"/>
      <c r="HG280" s="330"/>
      <c r="HH280" s="330"/>
      <c r="HI280" s="330"/>
      <c r="HJ280" s="330"/>
      <c r="HK280" s="330"/>
      <c r="HL280" s="330"/>
      <c r="HM280" s="330"/>
      <c r="HN280" s="330"/>
      <c r="HO280" s="330"/>
      <c r="HP280" s="330"/>
      <c r="HQ280" s="330"/>
      <c r="HR280" s="330"/>
      <c r="HS280" s="330"/>
      <c r="HT280" s="330"/>
      <c r="HU280" s="330"/>
      <c r="HV280" s="330"/>
      <c r="HW280" s="330"/>
      <c r="HX280" s="330"/>
      <c r="HY280" s="330"/>
      <c r="HZ280" s="330"/>
      <c r="IA280" s="330"/>
      <c r="IB280" s="330"/>
      <c r="IC280" s="330"/>
      <c r="ID280" s="330"/>
      <c r="IE280" s="330"/>
      <c r="IF280" s="330"/>
      <c r="IG280" s="330"/>
      <c r="IH280" s="330"/>
      <c r="II280" s="330"/>
      <c r="IJ280" s="330"/>
      <c r="IK280" s="330"/>
      <c r="IL280" s="330"/>
      <c r="IM280" s="330"/>
      <c r="IN280" s="330"/>
      <c r="IO280" s="330"/>
      <c r="IP280" s="330"/>
    </row>
    <row r="281" spans="1:250" x14ac:dyDescent="0.25">
      <c r="A281" s="2260"/>
      <c r="B281" s="2261"/>
      <c r="C281" s="556">
        <v>995</v>
      </c>
      <c r="D281" s="556">
        <v>995</v>
      </c>
      <c r="E281" s="557">
        <v>700</v>
      </c>
      <c r="F281" s="582">
        <v>2235</v>
      </c>
      <c r="G281" s="583">
        <v>700</v>
      </c>
      <c r="H281" s="1048">
        <f t="shared" si="10"/>
        <v>997</v>
      </c>
      <c r="I281" s="560"/>
    </row>
    <row r="282" spans="1:250" x14ac:dyDescent="0.25">
      <c r="A282" s="2260"/>
      <c r="B282" s="2261"/>
      <c r="C282" s="556">
        <v>0</v>
      </c>
      <c r="D282" s="556">
        <v>0</v>
      </c>
      <c r="E282" s="557">
        <v>200</v>
      </c>
      <c r="F282" s="582">
        <v>2262</v>
      </c>
      <c r="G282" s="583"/>
      <c r="H282" s="1048">
        <f t="shared" si="10"/>
        <v>0</v>
      </c>
      <c r="I282" s="560" t="s">
        <v>1060</v>
      </c>
    </row>
    <row r="283" spans="1:250" x14ac:dyDescent="0.25">
      <c r="A283" s="2260"/>
      <c r="B283" s="2261"/>
      <c r="C283" s="556">
        <v>0</v>
      </c>
      <c r="D283" s="556">
        <v>0</v>
      </c>
      <c r="E283" s="557">
        <v>150</v>
      </c>
      <c r="F283" s="582">
        <v>2264</v>
      </c>
      <c r="G283" s="583">
        <v>150</v>
      </c>
      <c r="H283" s="1048">
        <f t="shared" si="10"/>
        <v>214</v>
      </c>
      <c r="I283" s="560"/>
    </row>
    <row r="284" spans="1:250" x14ac:dyDescent="0.25">
      <c r="A284" s="2260"/>
      <c r="B284" s="2261"/>
      <c r="C284" s="556">
        <v>1000</v>
      </c>
      <c r="D284" s="556">
        <v>988</v>
      </c>
      <c r="E284" s="557">
        <v>550</v>
      </c>
      <c r="F284" s="582">
        <v>2231</v>
      </c>
      <c r="G284" s="583">
        <v>550</v>
      </c>
      <c r="H284" s="1048">
        <f t="shared" si="10"/>
        <v>783</v>
      </c>
      <c r="I284" s="560"/>
    </row>
    <row r="285" spans="1:250" x14ac:dyDescent="0.25">
      <c r="A285" s="584" t="s">
        <v>251</v>
      </c>
      <c r="B285" s="617" t="s">
        <v>1061</v>
      </c>
      <c r="C285" s="556">
        <v>0</v>
      </c>
      <c r="D285" s="556">
        <v>0</v>
      </c>
      <c r="E285" s="557">
        <v>0</v>
      </c>
      <c r="F285" s="582">
        <v>2279</v>
      </c>
      <c r="G285" s="583"/>
      <c r="H285" s="1048">
        <f t="shared" si="10"/>
        <v>0</v>
      </c>
      <c r="I285" s="563"/>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589"/>
      <c r="AL285" s="589"/>
      <c r="AM285" s="589"/>
      <c r="AN285" s="589"/>
      <c r="AO285" s="589"/>
      <c r="AP285" s="589"/>
      <c r="AQ285" s="589"/>
      <c r="AR285" s="589"/>
      <c r="AS285" s="589"/>
      <c r="AT285" s="589"/>
      <c r="AU285" s="589"/>
      <c r="AV285" s="589"/>
      <c r="AW285" s="589"/>
      <c r="AX285" s="589"/>
      <c r="AY285" s="589"/>
      <c r="AZ285" s="589"/>
      <c r="BA285" s="589"/>
      <c r="BB285" s="589"/>
      <c r="BC285" s="589"/>
      <c r="BD285" s="589"/>
      <c r="BE285" s="589"/>
      <c r="BF285" s="589"/>
      <c r="BG285" s="589"/>
      <c r="BH285" s="589"/>
      <c r="BI285" s="589"/>
      <c r="BJ285" s="589"/>
      <c r="BK285" s="589"/>
      <c r="BL285" s="589"/>
      <c r="BM285" s="589"/>
      <c r="BN285" s="589"/>
      <c r="BO285" s="589"/>
      <c r="BP285" s="589"/>
      <c r="BQ285" s="589"/>
      <c r="BR285" s="589"/>
      <c r="BS285" s="589"/>
      <c r="BT285" s="589"/>
      <c r="BU285" s="589"/>
      <c r="BV285" s="589"/>
      <c r="BW285" s="589"/>
      <c r="BX285" s="589"/>
      <c r="BY285" s="589"/>
      <c r="BZ285" s="589"/>
      <c r="CA285" s="589"/>
      <c r="CB285" s="589"/>
      <c r="CC285" s="589"/>
      <c r="CD285" s="589"/>
      <c r="CE285" s="589"/>
      <c r="CF285" s="589"/>
      <c r="CG285" s="589"/>
      <c r="CH285" s="589"/>
      <c r="CI285" s="589"/>
      <c r="CJ285" s="589"/>
      <c r="CK285" s="589"/>
      <c r="CL285" s="589"/>
      <c r="CM285" s="589"/>
      <c r="CN285" s="589"/>
      <c r="CO285" s="589"/>
      <c r="CP285" s="589"/>
      <c r="CQ285" s="589"/>
      <c r="CR285" s="589"/>
      <c r="CS285" s="589"/>
      <c r="CT285" s="589"/>
      <c r="CU285" s="589"/>
      <c r="CV285" s="589"/>
      <c r="CW285" s="589"/>
      <c r="CX285" s="589"/>
      <c r="CY285" s="589"/>
      <c r="CZ285" s="589"/>
      <c r="DA285" s="589"/>
      <c r="DB285" s="589"/>
      <c r="DC285" s="589"/>
      <c r="DD285" s="589"/>
      <c r="DE285" s="589"/>
      <c r="DF285" s="589"/>
      <c r="DG285" s="589"/>
      <c r="DH285" s="589"/>
      <c r="DI285" s="589"/>
      <c r="DJ285" s="589"/>
      <c r="DK285" s="589"/>
      <c r="DL285" s="589"/>
      <c r="DM285" s="589"/>
      <c r="DN285" s="589"/>
      <c r="DO285" s="589"/>
      <c r="DP285" s="589"/>
      <c r="DQ285" s="589"/>
      <c r="DR285" s="589"/>
      <c r="DS285" s="589"/>
      <c r="DT285" s="589"/>
      <c r="DU285" s="589"/>
      <c r="DV285" s="589"/>
      <c r="DW285" s="589"/>
      <c r="DX285" s="589"/>
      <c r="DY285" s="589"/>
      <c r="DZ285" s="589"/>
      <c r="EA285" s="589"/>
      <c r="EB285" s="589"/>
      <c r="EC285" s="589"/>
      <c r="ED285" s="589"/>
      <c r="EE285" s="589"/>
      <c r="EF285" s="589"/>
      <c r="EG285" s="589"/>
      <c r="EH285" s="589"/>
      <c r="EI285" s="589"/>
      <c r="EJ285" s="589"/>
      <c r="EK285" s="589"/>
      <c r="EL285" s="589"/>
      <c r="EM285" s="589"/>
      <c r="EN285" s="589"/>
      <c r="EO285" s="589"/>
      <c r="EP285" s="589"/>
      <c r="EQ285" s="589"/>
      <c r="ER285" s="589"/>
      <c r="ES285" s="589"/>
      <c r="ET285" s="589"/>
      <c r="EU285" s="589"/>
      <c r="EV285" s="589"/>
      <c r="EW285" s="589"/>
      <c r="EX285" s="589"/>
      <c r="EY285" s="589"/>
      <c r="EZ285" s="589"/>
      <c r="FA285" s="589"/>
      <c r="FB285" s="589"/>
      <c r="FC285" s="589"/>
      <c r="FD285" s="589"/>
      <c r="FE285" s="589"/>
      <c r="FF285" s="589"/>
      <c r="FG285" s="589"/>
      <c r="FH285" s="589"/>
      <c r="FI285" s="589"/>
      <c r="FJ285" s="589"/>
      <c r="FK285" s="589"/>
      <c r="FL285" s="589"/>
      <c r="FM285" s="589"/>
      <c r="FN285" s="589"/>
      <c r="FO285" s="589"/>
      <c r="FP285" s="589"/>
      <c r="FQ285" s="589"/>
      <c r="FR285" s="589"/>
      <c r="FS285" s="589"/>
      <c r="FT285" s="589"/>
      <c r="FU285" s="589"/>
      <c r="FV285" s="589"/>
      <c r="FW285" s="589"/>
      <c r="FX285" s="589"/>
      <c r="FY285" s="589"/>
      <c r="FZ285" s="589"/>
      <c r="GA285" s="589"/>
      <c r="GB285" s="589"/>
      <c r="GC285" s="589"/>
      <c r="GD285" s="589"/>
      <c r="GE285" s="589"/>
      <c r="GF285" s="589"/>
      <c r="GG285" s="589"/>
      <c r="GH285" s="589"/>
      <c r="GI285" s="589"/>
      <c r="GJ285" s="589"/>
      <c r="GK285" s="589"/>
      <c r="GL285" s="589"/>
      <c r="GM285" s="589"/>
      <c r="GN285" s="589"/>
      <c r="GO285" s="589"/>
      <c r="GP285" s="589"/>
      <c r="GQ285" s="589"/>
      <c r="GR285" s="589"/>
      <c r="GS285" s="589"/>
      <c r="GT285" s="589"/>
      <c r="GU285" s="589"/>
      <c r="GV285" s="589"/>
      <c r="GW285" s="589"/>
      <c r="GX285" s="589"/>
      <c r="GY285" s="589"/>
      <c r="GZ285" s="589"/>
      <c r="HA285" s="589"/>
      <c r="HB285" s="589"/>
      <c r="HC285" s="589"/>
      <c r="HD285" s="589"/>
      <c r="HE285" s="589"/>
      <c r="HF285" s="589"/>
      <c r="HG285" s="589"/>
      <c r="HH285" s="589"/>
      <c r="HI285" s="589"/>
      <c r="HJ285" s="589"/>
      <c r="HK285" s="589"/>
      <c r="HL285" s="589"/>
      <c r="HM285" s="589"/>
      <c r="HN285" s="589"/>
      <c r="HO285" s="589"/>
      <c r="HP285" s="589"/>
      <c r="HQ285" s="589"/>
      <c r="HR285" s="589"/>
      <c r="HS285" s="589"/>
      <c r="HT285" s="589"/>
      <c r="HU285" s="589"/>
      <c r="HV285" s="589"/>
      <c r="HW285" s="589"/>
      <c r="HX285" s="589"/>
      <c r="HY285" s="589"/>
      <c r="HZ285" s="589"/>
      <c r="IA285" s="589"/>
      <c r="IB285" s="589"/>
      <c r="IC285" s="589"/>
      <c r="ID285" s="589"/>
      <c r="IE285" s="589"/>
      <c r="IF285" s="589"/>
      <c r="IG285" s="589"/>
      <c r="IH285" s="589"/>
      <c r="II285" s="589"/>
      <c r="IJ285" s="589"/>
      <c r="IK285" s="589"/>
      <c r="IL285" s="589"/>
      <c r="IM285" s="589"/>
      <c r="IN285" s="589"/>
      <c r="IO285" s="589"/>
      <c r="IP285" s="589"/>
    </row>
    <row r="286" spans="1:250" x14ac:dyDescent="0.25">
      <c r="A286" s="2260" t="s">
        <v>253</v>
      </c>
      <c r="B286" s="2261" t="s">
        <v>1062</v>
      </c>
      <c r="C286" s="556">
        <v>215</v>
      </c>
      <c r="D286" s="556">
        <v>0</v>
      </c>
      <c r="E286" s="557">
        <v>10000</v>
      </c>
      <c r="F286" s="582">
        <v>2275</v>
      </c>
      <c r="G286" s="583">
        <v>1000</v>
      </c>
      <c r="H286" s="1048">
        <f t="shared" si="10"/>
        <v>1423</v>
      </c>
      <c r="I286" s="560" t="s">
        <v>849</v>
      </c>
    </row>
    <row r="287" spans="1:250" x14ac:dyDescent="0.25">
      <c r="A287" s="2260"/>
      <c r="B287" s="2261"/>
      <c r="C287" s="556">
        <f>73+48</f>
        <v>121</v>
      </c>
      <c r="D287" s="556">
        <v>0</v>
      </c>
      <c r="E287" s="557">
        <v>2409</v>
      </c>
      <c r="F287" s="582">
        <v>2275</v>
      </c>
      <c r="G287" s="583"/>
      <c r="H287" s="1048">
        <f t="shared" si="10"/>
        <v>0</v>
      </c>
      <c r="I287" s="560"/>
    </row>
    <row r="288" spans="1:250" x14ac:dyDescent="0.25">
      <c r="A288" s="2260"/>
      <c r="B288" s="2261"/>
      <c r="C288" s="556">
        <v>85</v>
      </c>
      <c r="D288" s="556">
        <v>0</v>
      </c>
      <c r="E288" s="557">
        <v>0</v>
      </c>
      <c r="F288" s="582">
        <v>2275</v>
      </c>
      <c r="G288" s="583"/>
      <c r="H288" s="1048">
        <f t="shared" si="10"/>
        <v>0</v>
      </c>
      <c r="I288" s="560"/>
    </row>
    <row r="289" spans="1:250" x14ac:dyDescent="0.25">
      <c r="A289" s="2260"/>
      <c r="B289" s="2261"/>
      <c r="C289" s="556">
        <v>300</v>
      </c>
      <c r="D289" s="556">
        <v>300</v>
      </c>
      <c r="E289" s="557">
        <v>300</v>
      </c>
      <c r="F289" s="582">
        <v>2275</v>
      </c>
      <c r="G289" s="583"/>
      <c r="H289" s="1048">
        <f t="shared" si="10"/>
        <v>0</v>
      </c>
      <c r="I289" s="560"/>
    </row>
    <row r="290" spans="1:250" x14ac:dyDescent="0.25">
      <c r="A290" s="2260" t="s">
        <v>1063</v>
      </c>
      <c r="B290" s="2266" t="s">
        <v>1064</v>
      </c>
      <c r="C290" s="556">
        <v>100</v>
      </c>
      <c r="D290" s="556">
        <v>0</v>
      </c>
      <c r="E290" s="557">
        <v>0</v>
      </c>
      <c r="F290" s="582">
        <v>2275</v>
      </c>
      <c r="G290" s="583">
        <v>2500</v>
      </c>
      <c r="H290" s="1048">
        <f t="shared" si="10"/>
        <v>3558</v>
      </c>
      <c r="I290" s="563"/>
    </row>
    <row r="291" spans="1:250" x14ac:dyDescent="0.25">
      <c r="A291" s="2260"/>
      <c r="B291" s="2266"/>
      <c r="C291" s="556">
        <v>121</v>
      </c>
      <c r="D291" s="556">
        <v>0</v>
      </c>
      <c r="E291" s="557">
        <v>0</v>
      </c>
      <c r="F291" s="582">
        <v>2275</v>
      </c>
      <c r="G291" s="583"/>
      <c r="H291" s="1048">
        <f t="shared" si="10"/>
        <v>0</v>
      </c>
      <c r="I291" s="563"/>
    </row>
    <row r="292" spans="1:250" x14ac:dyDescent="0.25">
      <c r="A292" s="2260"/>
      <c r="B292" s="2266"/>
      <c r="C292" s="556">
        <v>400</v>
      </c>
      <c r="D292" s="556">
        <v>400</v>
      </c>
      <c r="E292" s="557">
        <v>0</v>
      </c>
      <c r="F292" s="582">
        <v>2275</v>
      </c>
      <c r="G292" s="583"/>
      <c r="H292" s="1048">
        <f t="shared" si="10"/>
        <v>0</v>
      </c>
      <c r="I292" s="563"/>
    </row>
    <row r="293" spans="1:250" x14ac:dyDescent="0.25">
      <c r="A293" s="2260" t="s">
        <v>1065</v>
      </c>
      <c r="B293" s="2261" t="s">
        <v>1066</v>
      </c>
      <c r="C293" s="556">
        <v>5120</v>
      </c>
      <c r="D293" s="556">
        <v>5120</v>
      </c>
      <c r="E293" s="557">
        <v>2000</v>
      </c>
      <c r="F293" s="582">
        <v>1150</v>
      </c>
      <c r="G293" s="583">
        <v>1000</v>
      </c>
      <c r="H293" s="1048">
        <f t="shared" si="10"/>
        <v>1423</v>
      </c>
      <c r="I293" s="560" t="s">
        <v>1067</v>
      </c>
    </row>
    <row r="294" spans="1:250" x14ac:dyDescent="0.25">
      <c r="A294" s="2260"/>
      <c r="B294" s="2261"/>
      <c r="C294" s="556">
        <v>2110</v>
      </c>
      <c r="D294" s="556">
        <v>2110</v>
      </c>
      <c r="E294" s="557">
        <v>482</v>
      </c>
      <c r="F294" s="582">
        <v>1210</v>
      </c>
      <c r="G294" s="583">
        <v>482</v>
      </c>
      <c r="H294" s="1048">
        <f t="shared" si="10"/>
        <v>686</v>
      </c>
      <c r="I294" s="560" t="s">
        <v>1068</v>
      </c>
    </row>
    <row r="295" spans="1:250" x14ac:dyDescent="0.25">
      <c r="A295" s="2260"/>
      <c r="B295" s="2261"/>
      <c r="C295" s="556">
        <v>3839</v>
      </c>
      <c r="D295" s="556">
        <v>3839</v>
      </c>
      <c r="E295" s="557">
        <v>5000</v>
      </c>
      <c r="F295" s="582">
        <v>2279</v>
      </c>
      <c r="G295" s="583">
        <v>1000</v>
      </c>
      <c r="H295" s="1048">
        <f t="shared" si="10"/>
        <v>1423</v>
      </c>
      <c r="I295" s="560" t="s">
        <v>1069</v>
      </c>
    </row>
    <row r="296" spans="1:250" ht="24" x14ac:dyDescent="0.25">
      <c r="A296" s="584" t="s">
        <v>1070</v>
      </c>
      <c r="B296" s="617" t="s">
        <v>1071</v>
      </c>
      <c r="C296" s="556">
        <v>8904</v>
      </c>
      <c r="D296" s="556">
        <v>8904</v>
      </c>
      <c r="E296" s="557">
        <v>0</v>
      </c>
      <c r="F296" s="582">
        <v>2235</v>
      </c>
      <c r="G296" s="583"/>
      <c r="H296" s="1048">
        <f t="shared" si="10"/>
        <v>0</v>
      </c>
      <c r="I296" s="632"/>
    </row>
    <row r="297" spans="1:250" ht="20.25" customHeight="1" x14ac:dyDescent="0.25">
      <c r="A297" s="2262" t="s">
        <v>1072</v>
      </c>
      <c r="B297" s="2264" t="s">
        <v>1073</v>
      </c>
      <c r="C297" s="556">
        <v>7386</v>
      </c>
      <c r="D297" s="556">
        <v>1209</v>
      </c>
      <c r="E297" s="557">
        <v>6000</v>
      </c>
      <c r="F297" s="582">
        <v>2235</v>
      </c>
      <c r="G297" s="583">
        <v>4000</v>
      </c>
      <c r="H297" s="1048">
        <f t="shared" si="10"/>
        <v>5692</v>
      </c>
      <c r="I297" s="563"/>
    </row>
    <row r="298" spans="1:250" ht="20.25" customHeight="1" x14ac:dyDescent="0.25">
      <c r="A298" s="2263"/>
      <c r="B298" s="2265"/>
      <c r="C298" s="556">
        <v>4164</v>
      </c>
      <c r="D298" s="556">
        <v>4164</v>
      </c>
      <c r="E298" s="557">
        <v>0</v>
      </c>
      <c r="F298" s="582">
        <v>2219</v>
      </c>
      <c r="G298" s="583"/>
      <c r="H298" s="1048">
        <f t="shared" si="10"/>
        <v>0</v>
      </c>
      <c r="I298" s="563"/>
    </row>
    <row r="299" spans="1:250" ht="24.75" x14ac:dyDescent="0.25">
      <c r="A299" s="2257" t="s">
        <v>1074</v>
      </c>
      <c r="B299" s="2256" t="s">
        <v>1815</v>
      </c>
      <c r="C299" s="556">
        <v>0</v>
      </c>
      <c r="D299" s="556">
        <v>0</v>
      </c>
      <c r="E299" s="557">
        <v>300</v>
      </c>
      <c r="F299" s="582">
        <v>2279</v>
      </c>
      <c r="G299" s="583">
        <v>300</v>
      </c>
      <c r="H299" s="1048">
        <f t="shared" si="10"/>
        <v>427</v>
      </c>
      <c r="I299" s="560" t="s">
        <v>1075</v>
      </c>
    </row>
    <row r="300" spans="1:250" x14ac:dyDescent="0.25">
      <c r="A300" s="2257"/>
      <c r="B300" s="2256"/>
      <c r="C300" s="556">
        <v>0</v>
      </c>
      <c r="D300" s="556">
        <v>0</v>
      </c>
      <c r="E300" s="557">
        <v>200</v>
      </c>
      <c r="F300" s="582">
        <v>2390</v>
      </c>
      <c r="G300" s="583">
        <v>200</v>
      </c>
      <c r="H300" s="1048">
        <f t="shared" si="10"/>
        <v>285</v>
      </c>
      <c r="I300" s="560" t="s">
        <v>1076</v>
      </c>
    </row>
    <row r="301" spans="1:250" x14ac:dyDescent="0.25">
      <c r="A301" s="2257" t="s">
        <v>1077</v>
      </c>
      <c r="B301" s="2256" t="s">
        <v>1078</v>
      </c>
      <c r="C301" s="556">
        <v>500</v>
      </c>
      <c r="D301" s="556">
        <v>500</v>
      </c>
      <c r="E301" s="557">
        <v>1000</v>
      </c>
      <c r="F301" s="582">
        <v>2275</v>
      </c>
      <c r="G301" s="583">
        <v>500</v>
      </c>
      <c r="H301" s="1048">
        <f t="shared" si="10"/>
        <v>712</v>
      </c>
      <c r="I301" s="560" t="s">
        <v>849</v>
      </c>
    </row>
    <row r="302" spans="1:250" s="589" customFormat="1" x14ac:dyDescent="0.25">
      <c r="A302" s="2257"/>
      <c r="B302" s="2256"/>
      <c r="C302" s="556">
        <v>121</v>
      </c>
      <c r="D302" s="556">
        <v>121</v>
      </c>
      <c r="E302" s="557">
        <v>242</v>
      </c>
      <c r="F302" s="582">
        <v>2275</v>
      </c>
      <c r="G302" s="583">
        <v>121</v>
      </c>
      <c r="H302" s="1048">
        <f t="shared" si="10"/>
        <v>173</v>
      </c>
      <c r="I302" s="563"/>
      <c r="J302" s="330"/>
      <c r="K302" s="330"/>
      <c r="L302" s="330"/>
      <c r="M302" s="330"/>
      <c r="N302" s="330"/>
      <c r="O302" s="330"/>
      <c r="P302" s="330"/>
      <c r="Q302" s="330"/>
      <c r="R302" s="330"/>
      <c r="S302" s="330"/>
      <c r="T302" s="330"/>
      <c r="U302" s="330"/>
      <c r="V302" s="330"/>
      <c r="W302" s="330"/>
      <c r="X302" s="330"/>
      <c r="Y302" s="330"/>
      <c r="Z302" s="330"/>
      <c r="AA302" s="330"/>
      <c r="AB302" s="330"/>
      <c r="AC302" s="330"/>
      <c r="AD302" s="330"/>
      <c r="AE302" s="330"/>
      <c r="AF302" s="330"/>
      <c r="AG302" s="330"/>
      <c r="AH302" s="330"/>
      <c r="AI302" s="330"/>
      <c r="AJ302" s="330"/>
      <c r="AK302" s="330"/>
      <c r="AL302" s="330"/>
      <c r="AM302" s="330"/>
      <c r="AN302" s="330"/>
      <c r="AO302" s="330"/>
      <c r="AP302" s="330"/>
      <c r="AQ302" s="330"/>
      <c r="AR302" s="330"/>
      <c r="AS302" s="330"/>
      <c r="AT302" s="330"/>
      <c r="AU302" s="330"/>
      <c r="AV302" s="330"/>
      <c r="AW302" s="330"/>
      <c r="AX302" s="330"/>
      <c r="AY302" s="330"/>
      <c r="AZ302" s="330"/>
      <c r="BA302" s="330"/>
      <c r="BB302" s="330"/>
      <c r="BC302" s="330"/>
      <c r="BD302" s="330"/>
      <c r="BE302" s="330"/>
      <c r="BF302" s="330"/>
      <c r="BG302" s="330"/>
      <c r="BH302" s="330"/>
      <c r="BI302" s="330"/>
      <c r="BJ302" s="330"/>
      <c r="BK302" s="330"/>
      <c r="BL302" s="330"/>
      <c r="BM302" s="330"/>
      <c r="BN302" s="330"/>
      <c r="BO302" s="330"/>
      <c r="BP302" s="330"/>
      <c r="BQ302" s="330"/>
      <c r="BR302" s="330"/>
      <c r="BS302" s="330"/>
      <c r="BT302" s="330"/>
      <c r="BU302" s="330"/>
      <c r="BV302" s="330"/>
      <c r="BW302" s="330"/>
      <c r="BX302" s="330"/>
      <c r="BY302" s="330"/>
      <c r="BZ302" s="330"/>
      <c r="CA302" s="330"/>
      <c r="CB302" s="330"/>
      <c r="CC302" s="330"/>
      <c r="CD302" s="330"/>
      <c r="CE302" s="330"/>
      <c r="CF302" s="330"/>
      <c r="CG302" s="330"/>
      <c r="CH302" s="330"/>
      <c r="CI302" s="330"/>
      <c r="CJ302" s="330"/>
      <c r="CK302" s="330"/>
      <c r="CL302" s="330"/>
      <c r="CM302" s="330"/>
      <c r="CN302" s="330"/>
      <c r="CO302" s="330"/>
      <c r="CP302" s="330"/>
      <c r="CQ302" s="330"/>
      <c r="CR302" s="330"/>
      <c r="CS302" s="330"/>
      <c r="CT302" s="330"/>
      <c r="CU302" s="330"/>
      <c r="CV302" s="330"/>
      <c r="CW302" s="330"/>
      <c r="CX302" s="330"/>
      <c r="CY302" s="330"/>
      <c r="CZ302" s="330"/>
      <c r="DA302" s="330"/>
      <c r="DB302" s="330"/>
      <c r="DC302" s="330"/>
      <c r="DD302" s="330"/>
      <c r="DE302" s="330"/>
      <c r="DF302" s="330"/>
      <c r="DG302" s="330"/>
      <c r="DH302" s="330"/>
      <c r="DI302" s="330"/>
      <c r="DJ302" s="330"/>
      <c r="DK302" s="330"/>
      <c r="DL302" s="330"/>
      <c r="DM302" s="330"/>
      <c r="DN302" s="330"/>
      <c r="DO302" s="330"/>
      <c r="DP302" s="330"/>
      <c r="DQ302" s="330"/>
      <c r="DR302" s="330"/>
      <c r="DS302" s="330"/>
      <c r="DT302" s="330"/>
      <c r="DU302" s="330"/>
      <c r="DV302" s="330"/>
      <c r="DW302" s="330"/>
      <c r="DX302" s="330"/>
      <c r="DY302" s="330"/>
      <c r="DZ302" s="330"/>
      <c r="EA302" s="330"/>
      <c r="EB302" s="330"/>
      <c r="EC302" s="330"/>
      <c r="ED302" s="330"/>
      <c r="EE302" s="330"/>
      <c r="EF302" s="330"/>
      <c r="EG302" s="330"/>
      <c r="EH302" s="330"/>
      <c r="EI302" s="330"/>
      <c r="EJ302" s="330"/>
      <c r="EK302" s="330"/>
      <c r="EL302" s="330"/>
      <c r="EM302" s="330"/>
      <c r="EN302" s="330"/>
      <c r="EO302" s="330"/>
      <c r="EP302" s="330"/>
      <c r="EQ302" s="330"/>
      <c r="ER302" s="330"/>
      <c r="ES302" s="330"/>
      <c r="ET302" s="330"/>
      <c r="EU302" s="330"/>
      <c r="EV302" s="330"/>
      <c r="EW302" s="330"/>
      <c r="EX302" s="330"/>
      <c r="EY302" s="330"/>
      <c r="EZ302" s="330"/>
      <c r="FA302" s="330"/>
      <c r="FB302" s="330"/>
      <c r="FC302" s="330"/>
      <c r="FD302" s="330"/>
      <c r="FE302" s="330"/>
      <c r="FF302" s="330"/>
      <c r="FG302" s="330"/>
      <c r="FH302" s="330"/>
      <c r="FI302" s="330"/>
      <c r="FJ302" s="330"/>
      <c r="FK302" s="330"/>
      <c r="FL302" s="330"/>
      <c r="FM302" s="330"/>
      <c r="FN302" s="330"/>
      <c r="FO302" s="330"/>
      <c r="FP302" s="330"/>
      <c r="FQ302" s="330"/>
      <c r="FR302" s="330"/>
      <c r="FS302" s="330"/>
      <c r="FT302" s="330"/>
      <c r="FU302" s="330"/>
      <c r="FV302" s="330"/>
      <c r="FW302" s="330"/>
      <c r="FX302" s="330"/>
      <c r="FY302" s="330"/>
      <c r="FZ302" s="330"/>
      <c r="GA302" s="330"/>
      <c r="GB302" s="330"/>
      <c r="GC302" s="330"/>
      <c r="GD302" s="330"/>
      <c r="GE302" s="330"/>
      <c r="GF302" s="330"/>
      <c r="GG302" s="330"/>
      <c r="GH302" s="330"/>
      <c r="GI302" s="330"/>
      <c r="GJ302" s="330"/>
      <c r="GK302" s="330"/>
      <c r="GL302" s="330"/>
      <c r="GM302" s="330"/>
      <c r="GN302" s="330"/>
      <c r="GO302" s="330"/>
      <c r="GP302" s="330"/>
      <c r="GQ302" s="330"/>
      <c r="GR302" s="330"/>
      <c r="GS302" s="330"/>
      <c r="GT302" s="330"/>
      <c r="GU302" s="330"/>
      <c r="GV302" s="330"/>
      <c r="GW302" s="330"/>
      <c r="GX302" s="330"/>
      <c r="GY302" s="330"/>
      <c r="GZ302" s="330"/>
      <c r="HA302" s="330"/>
      <c r="HB302" s="330"/>
      <c r="HC302" s="330"/>
      <c r="HD302" s="330"/>
      <c r="HE302" s="330"/>
      <c r="HF302" s="330"/>
      <c r="HG302" s="330"/>
      <c r="HH302" s="330"/>
      <c r="HI302" s="330"/>
      <c r="HJ302" s="330"/>
      <c r="HK302" s="330"/>
      <c r="HL302" s="330"/>
      <c r="HM302" s="330"/>
      <c r="HN302" s="330"/>
      <c r="HO302" s="330"/>
      <c r="HP302" s="330"/>
      <c r="HQ302" s="330"/>
      <c r="HR302" s="330"/>
      <c r="HS302" s="330"/>
      <c r="HT302" s="330"/>
      <c r="HU302" s="330"/>
      <c r="HV302" s="330"/>
      <c r="HW302" s="330"/>
      <c r="HX302" s="330"/>
      <c r="HY302" s="330"/>
      <c r="HZ302" s="330"/>
      <c r="IA302" s="330"/>
      <c r="IB302" s="330"/>
      <c r="IC302" s="330"/>
      <c r="ID302" s="330"/>
      <c r="IE302" s="330"/>
      <c r="IF302" s="330"/>
      <c r="IG302" s="330"/>
      <c r="IH302" s="330"/>
      <c r="II302" s="330"/>
      <c r="IJ302" s="330"/>
      <c r="IK302" s="330"/>
      <c r="IL302" s="330"/>
      <c r="IM302" s="330"/>
      <c r="IN302" s="330"/>
      <c r="IO302" s="330"/>
      <c r="IP302" s="330"/>
    </row>
    <row r="303" spans="1:250" s="589" customFormat="1" ht="24.75" x14ac:dyDescent="0.25">
      <c r="A303" s="620" t="s">
        <v>1079</v>
      </c>
      <c r="B303" s="587" t="s">
        <v>1080</v>
      </c>
      <c r="C303" s="556">
        <v>50</v>
      </c>
      <c r="D303" s="556">
        <v>0</v>
      </c>
      <c r="E303" s="557">
        <v>0</v>
      </c>
      <c r="F303" s="582">
        <v>2279</v>
      </c>
      <c r="G303" s="583"/>
      <c r="H303" s="1048">
        <f t="shared" si="10"/>
        <v>0</v>
      </c>
      <c r="I303" s="563"/>
      <c r="J303" s="330"/>
      <c r="K303" s="330"/>
      <c r="L303" s="330"/>
      <c r="M303" s="330"/>
      <c r="N303" s="330"/>
      <c r="O303" s="330"/>
      <c r="P303" s="330"/>
      <c r="Q303" s="330"/>
      <c r="R303" s="330"/>
      <c r="S303" s="330"/>
      <c r="T303" s="330"/>
      <c r="U303" s="330"/>
      <c r="V303" s="330"/>
      <c r="W303" s="330"/>
      <c r="X303" s="330"/>
      <c r="Y303" s="330"/>
      <c r="Z303" s="330"/>
      <c r="AA303" s="330"/>
      <c r="AB303" s="330"/>
      <c r="AC303" s="330"/>
      <c r="AD303" s="330"/>
      <c r="AE303" s="330"/>
      <c r="AF303" s="330"/>
      <c r="AG303" s="330"/>
      <c r="AH303" s="330"/>
      <c r="AI303" s="330"/>
      <c r="AJ303" s="330"/>
      <c r="AK303" s="330"/>
      <c r="AL303" s="330"/>
      <c r="AM303" s="330"/>
      <c r="AN303" s="330"/>
      <c r="AO303" s="330"/>
      <c r="AP303" s="330"/>
      <c r="AQ303" s="330"/>
      <c r="AR303" s="330"/>
      <c r="AS303" s="330"/>
      <c r="AT303" s="330"/>
      <c r="AU303" s="330"/>
      <c r="AV303" s="330"/>
      <c r="AW303" s="330"/>
      <c r="AX303" s="330"/>
      <c r="AY303" s="330"/>
      <c r="AZ303" s="330"/>
      <c r="BA303" s="330"/>
      <c r="BB303" s="330"/>
      <c r="BC303" s="330"/>
      <c r="BD303" s="330"/>
      <c r="BE303" s="330"/>
      <c r="BF303" s="330"/>
      <c r="BG303" s="330"/>
      <c r="BH303" s="330"/>
      <c r="BI303" s="330"/>
      <c r="BJ303" s="330"/>
      <c r="BK303" s="330"/>
      <c r="BL303" s="330"/>
      <c r="BM303" s="330"/>
      <c r="BN303" s="330"/>
      <c r="BO303" s="330"/>
      <c r="BP303" s="330"/>
      <c r="BQ303" s="330"/>
      <c r="BR303" s="330"/>
      <c r="BS303" s="330"/>
      <c r="BT303" s="330"/>
      <c r="BU303" s="330"/>
      <c r="BV303" s="330"/>
      <c r="BW303" s="330"/>
      <c r="BX303" s="330"/>
      <c r="BY303" s="330"/>
      <c r="BZ303" s="330"/>
      <c r="CA303" s="330"/>
      <c r="CB303" s="330"/>
      <c r="CC303" s="330"/>
      <c r="CD303" s="330"/>
      <c r="CE303" s="330"/>
      <c r="CF303" s="330"/>
      <c r="CG303" s="330"/>
      <c r="CH303" s="330"/>
      <c r="CI303" s="330"/>
      <c r="CJ303" s="330"/>
      <c r="CK303" s="330"/>
      <c r="CL303" s="330"/>
      <c r="CM303" s="330"/>
      <c r="CN303" s="330"/>
      <c r="CO303" s="330"/>
      <c r="CP303" s="330"/>
      <c r="CQ303" s="330"/>
      <c r="CR303" s="330"/>
      <c r="CS303" s="330"/>
      <c r="CT303" s="330"/>
      <c r="CU303" s="330"/>
      <c r="CV303" s="330"/>
      <c r="CW303" s="330"/>
      <c r="CX303" s="330"/>
      <c r="CY303" s="330"/>
      <c r="CZ303" s="330"/>
      <c r="DA303" s="330"/>
      <c r="DB303" s="330"/>
      <c r="DC303" s="330"/>
      <c r="DD303" s="330"/>
      <c r="DE303" s="330"/>
      <c r="DF303" s="330"/>
      <c r="DG303" s="330"/>
      <c r="DH303" s="330"/>
      <c r="DI303" s="330"/>
      <c r="DJ303" s="330"/>
      <c r="DK303" s="330"/>
      <c r="DL303" s="330"/>
      <c r="DM303" s="330"/>
      <c r="DN303" s="330"/>
      <c r="DO303" s="330"/>
      <c r="DP303" s="330"/>
      <c r="DQ303" s="330"/>
      <c r="DR303" s="330"/>
      <c r="DS303" s="330"/>
      <c r="DT303" s="330"/>
      <c r="DU303" s="330"/>
      <c r="DV303" s="330"/>
      <c r="DW303" s="330"/>
      <c r="DX303" s="330"/>
      <c r="DY303" s="330"/>
      <c r="DZ303" s="330"/>
      <c r="EA303" s="330"/>
      <c r="EB303" s="330"/>
      <c r="EC303" s="330"/>
      <c r="ED303" s="330"/>
      <c r="EE303" s="330"/>
      <c r="EF303" s="330"/>
      <c r="EG303" s="330"/>
      <c r="EH303" s="330"/>
      <c r="EI303" s="330"/>
      <c r="EJ303" s="330"/>
      <c r="EK303" s="330"/>
      <c r="EL303" s="330"/>
      <c r="EM303" s="330"/>
      <c r="EN303" s="330"/>
      <c r="EO303" s="330"/>
      <c r="EP303" s="330"/>
      <c r="EQ303" s="330"/>
      <c r="ER303" s="330"/>
      <c r="ES303" s="330"/>
      <c r="ET303" s="330"/>
      <c r="EU303" s="330"/>
      <c r="EV303" s="330"/>
      <c r="EW303" s="330"/>
      <c r="EX303" s="330"/>
      <c r="EY303" s="330"/>
      <c r="EZ303" s="330"/>
      <c r="FA303" s="330"/>
      <c r="FB303" s="330"/>
      <c r="FC303" s="330"/>
      <c r="FD303" s="330"/>
      <c r="FE303" s="330"/>
      <c r="FF303" s="330"/>
      <c r="FG303" s="330"/>
      <c r="FH303" s="330"/>
      <c r="FI303" s="330"/>
      <c r="FJ303" s="330"/>
      <c r="FK303" s="330"/>
      <c r="FL303" s="330"/>
      <c r="FM303" s="330"/>
      <c r="FN303" s="330"/>
      <c r="FO303" s="330"/>
      <c r="FP303" s="330"/>
      <c r="FQ303" s="330"/>
      <c r="FR303" s="330"/>
      <c r="FS303" s="330"/>
      <c r="FT303" s="330"/>
      <c r="FU303" s="330"/>
      <c r="FV303" s="330"/>
      <c r="FW303" s="330"/>
      <c r="FX303" s="330"/>
      <c r="FY303" s="330"/>
      <c r="FZ303" s="330"/>
      <c r="GA303" s="330"/>
      <c r="GB303" s="330"/>
      <c r="GC303" s="330"/>
      <c r="GD303" s="330"/>
      <c r="GE303" s="330"/>
      <c r="GF303" s="330"/>
      <c r="GG303" s="330"/>
      <c r="GH303" s="330"/>
      <c r="GI303" s="330"/>
      <c r="GJ303" s="330"/>
      <c r="GK303" s="330"/>
      <c r="GL303" s="330"/>
      <c r="GM303" s="330"/>
      <c r="GN303" s="330"/>
      <c r="GO303" s="330"/>
      <c r="GP303" s="330"/>
      <c r="GQ303" s="330"/>
      <c r="GR303" s="330"/>
      <c r="GS303" s="330"/>
      <c r="GT303" s="330"/>
      <c r="GU303" s="330"/>
      <c r="GV303" s="330"/>
      <c r="GW303" s="330"/>
      <c r="GX303" s="330"/>
      <c r="GY303" s="330"/>
      <c r="GZ303" s="330"/>
      <c r="HA303" s="330"/>
      <c r="HB303" s="330"/>
      <c r="HC303" s="330"/>
      <c r="HD303" s="330"/>
      <c r="HE303" s="330"/>
      <c r="HF303" s="330"/>
      <c r="HG303" s="330"/>
      <c r="HH303" s="330"/>
      <c r="HI303" s="330"/>
      <c r="HJ303" s="330"/>
      <c r="HK303" s="330"/>
      <c r="HL303" s="330"/>
      <c r="HM303" s="330"/>
      <c r="HN303" s="330"/>
      <c r="HO303" s="330"/>
      <c r="HP303" s="330"/>
      <c r="HQ303" s="330"/>
      <c r="HR303" s="330"/>
      <c r="HS303" s="330"/>
      <c r="HT303" s="330"/>
      <c r="HU303" s="330"/>
      <c r="HV303" s="330"/>
      <c r="HW303" s="330"/>
      <c r="HX303" s="330"/>
      <c r="HY303" s="330"/>
      <c r="HZ303" s="330"/>
      <c r="IA303" s="330"/>
      <c r="IB303" s="330"/>
      <c r="IC303" s="330"/>
      <c r="ID303" s="330"/>
      <c r="IE303" s="330"/>
      <c r="IF303" s="330"/>
      <c r="IG303" s="330"/>
      <c r="IH303" s="330"/>
      <c r="II303" s="330"/>
      <c r="IJ303" s="330"/>
      <c r="IK303" s="330"/>
      <c r="IL303" s="330"/>
      <c r="IM303" s="330"/>
      <c r="IN303" s="330"/>
      <c r="IO303" s="330"/>
      <c r="IP303" s="330"/>
    </row>
    <row r="304" spans="1:250" s="589" customFormat="1" ht="36.75" x14ac:dyDescent="0.25">
      <c r="A304" s="620" t="s">
        <v>1081</v>
      </c>
      <c r="B304" s="587" t="s">
        <v>1082</v>
      </c>
      <c r="C304" s="556">
        <v>0</v>
      </c>
      <c r="D304" s="556">
        <v>0</v>
      </c>
      <c r="E304" s="557">
        <v>7042</v>
      </c>
      <c r="F304" s="582">
        <v>2279</v>
      </c>
      <c r="G304" s="583"/>
      <c r="H304" s="1048">
        <f t="shared" si="10"/>
        <v>0</v>
      </c>
      <c r="I304" s="560" t="s">
        <v>1083</v>
      </c>
      <c r="J304" s="330"/>
      <c r="K304" s="330"/>
      <c r="L304" s="330"/>
      <c r="M304" s="330"/>
      <c r="N304" s="330"/>
      <c r="O304" s="330"/>
      <c r="P304" s="330"/>
      <c r="Q304" s="330"/>
      <c r="R304" s="330"/>
      <c r="S304" s="330"/>
      <c r="T304" s="330"/>
      <c r="U304" s="330"/>
      <c r="V304" s="330"/>
      <c r="W304" s="330"/>
      <c r="X304" s="330"/>
      <c r="Y304" s="330"/>
      <c r="Z304" s="330"/>
      <c r="AA304" s="330"/>
      <c r="AB304" s="330"/>
      <c r="AC304" s="330"/>
      <c r="AD304" s="330"/>
      <c r="AE304" s="330"/>
      <c r="AF304" s="330"/>
      <c r="AG304" s="330"/>
      <c r="AH304" s="330"/>
      <c r="AI304" s="330"/>
      <c r="AJ304" s="330"/>
      <c r="AK304" s="330"/>
      <c r="AL304" s="330"/>
      <c r="AM304" s="330"/>
      <c r="AN304" s="330"/>
      <c r="AO304" s="330"/>
      <c r="AP304" s="330"/>
      <c r="AQ304" s="330"/>
      <c r="AR304" s="330"/>
      <c r="AS304" s="330"/>
      <c r="AT304" s="330"/>
      <c r="AU304" s="330"/>
      <c r="AV304" s="330"/>
      <c r="AW304" s="330"/>
      <c r="AX304" s="330"/>
      <c r="AY304" s="330"/>
      <c r="AZ304" s="330"/>
      <c r="BA304" s="330"/>
      <c r="BB304" s="330"/>
      <c r="BC304" s="330"/>
      <c r="BD304" s="330"/>
      <c r="BE304" s="330"/>
      <c r="BF304" s="330"/>
      <c r="BG304" s="330"/>
      <c r="BH304" s="330"/>
      <c r="BI304" s="330"/>
      <c r="BJ304" s="330"/>
      <c r="BK304" s="330"/>
      <c r="BL304" s="330"/>
      <c r="BM304" s="330"/>
      <c r="BN304" s="330"/>
      <c r="BO304" s="330"/>
      <c r="BP304" s="330"/>
      <c r="BQ304" s="330"/>
      <c r="BR304" s="330"/>
      <c r="BS304" s="330"/>
      <c r="BT304" s="330"/>
      <c r="BU304" s="330"/>
      <c r="BV304" s="330"/>
      <c r="BW304" s="330"/>
      <c r="BX304" s="330"/>
      <c r="BY304" s="330"/>
      <c r="BZ304" s="330"/>
      <c r="CA304" s="330"/>
      <c r="CB304" s="330"/>
      <c r="CC304" s="330"/>
      <c r="CD304" s="330"/>
      <c r="CE304" s="330"/>
      <c r="CF304" s="330"/>
      <c r="CG304" s="330"/>
      <c r="CH304" s="330"/>
      <c r="CI304" s="330"/>
      <c r="CJ304" s="330"/>
      <c r="CK304" s="330"/>
      <c r="CL304" s="330"/>
      <c r="CM304" s="330"/>
      <c r="CN304" s="330"/>
      <c r="CO304" s="330"/>
      <c r="CP304" s="330"/>
      <c r="CQ304" s="330"/>
      <c r="CR304" s="330"/>
      <c r="CS304" s="330"/>
      <c r="CT304" s="330"/>
      <c r="CU304" s="330"/>
      <c r="CV304" s="330"/>
      <c r="CW304" s="330"/>
      <c r="CX304" s="330"/>
      <c r="CY304" s="330"/>
      <c r="CZ304" s="330"/>
      <c r="DA304" s="330"/>
      <c r="DB304" s="330"/>
      <c r="DC304" s="330"/>
      <c r="DD304" s="330"/>
      <c r="DE304" s="330"/>
      <c r="DF304" s="330"/>
      <c r="DG304" s="330"/>
      <c r="DH304" s="330"/>
      <c r="DI304" s="330"/>
      <c r="DJ304" s="330"/>
      <c r="DK304" s="330"/>
      <c r="DL304" s="330"/>
      <c r="DM304" s="330"/>
      <c r="DN304" s="330"/>
      <c r="DO304" s="330"/>
      <c r="DP304" s="330"/>
      <c r="DQ304" s="330"/>
      <c r="DR304" s="330"/>
      <c r="DS304" s="330"/>
      <c r="DT304" s="330"/>
      <c r="DU304" s="330"/>
      <c r="DV304" s="330"/>
      <c r="DW304" s="330"/>
      <c r="DX304" s="330"/>
      <c r="DY304" s="330"/>
      <c r="DZ304" s="330"/>
      <c r="EA304" s="330"/>
      <c r="EB304" s="330"/>
      <c r="EC304" s="330"/>
      <c r="ED304" s="330"/>
      <c r="EE304" s="330"/>
      <c r="EF304" s="330"/>
      <c r="EG304" s="330"/>
      <c r="EH304" s="330"/>
      <c r="EI304" s="330"/>
      <c r="EJ304" s="330"/>
      <c r="EK304" s="330"/>
      <c r="EL304" s="330"/>
      <c r="EM304" s="330"/>
      <c r="EN304" s="330"/>
      <c r="EO304" s="330"/>
      <c r="EP304" s="330"/>
      <c r="EQ304" s="330"/>
      <c r="ER304" s="330"/>
      <c r="ES304" s="330"/>
      <c r="ET304" s="330"/>
      <c r="EU304" s="330"/>
      <c r="EV304" s="330"/>
      <c r="EW304" s="330"/>
      <c r="EX304" s="330"/>
      <c r="EY304" s="330"/>
      <c r="EZ304" s="330"/>
      <c r="FA304" s="330"/>
      <c r="FB304" s="330"/>
      <c r="FC304" s="330"/>
      <c r="FD304" s="330"/>
      <c r="FE304" s="330"/>
      <c r="FF304" s="330"/>
      <c r="FG304" s="330"/>
      <c r="FH304" s="330"/>
      <c r="FI304" s="330"/>
      <c r="FJ304" s="330"/>
      <c r="FK304" s="330"/>
      <c r="FL304" s="330"/>
      <c r="FM304" s="330"/>
      <c r="FN304" s="330"/>
      <c r="FO304" s="330"/>
      <c r="FP304" s="330"/>
      <c r="FQ304" s="330"/>
      <c r="FR304" s="330"/>
      <c r="FS304" s="330"/>
      <c r="FT304" s="330"/>
      <c r="FU304" s="330"/>
      <c r="FV304" s="330"/>
      <c r="FW304" s="330"/>
      <c r="FX304" s="330"/>
      <c r="FY304" s="330"/>
      <c r="FZ304" s="330"/>
      <c r="GA304" s="330"/>
      <c r="GB304" s="330"/>
      <c r="GC304" s="330"/>
      <c r="GD304" s="330"/>
      <c r="GE304" s="330"/>
      <c r="GF304" s="330"/>
      <c r="GG304" s="330"/>
      <c r="GH304" s="330"/>
      <c r="GI304" s="330"/>
      <c r="GJ304" s="330"/>
      <c r="GK304" s="330"/>
      <c r="GL304" s="330"/>
      <c r="GM304" s="330"/>
      <c r="GN304" s="330"/>
      <c r="GO304" s="330"/>
      <c r="GP304" s="330"/>
      <c r="GQ304" s="330"/>
      <c r="GR304" s="330"/>
      <c r="GS304" s="330"/>
      <c r="GT304" s="330"/>
      <c r="GU304" s="330"/>
      <c r="GV304" s="330"/>
      <c r="GW304" s="330"/>
      <c r="GX304" s="330"/>
      <c r="GY304" s="330"/>
      <c r="GZ304" s="330"/>
      <c r="HA304" s="330"/>
      <c r="HB304" s="330"/>
      <c r="HC304" s="330"/>
      <c r="HD304" s="330"/>
      <c r="HE304" s="330"/>
      <c r="HF304" s="330"/>
      <c r="HG304" s="330"/>
      <c r="HH304" s="330"/>
      <c r="HI304" s="330"/>
      <c r="HJ304" s="330"/>
      <c r="HK304" s="330"/>
      <c r="HL304" s="330"/>
      <c r="HM304" s="330"/>
      <c r="HN304" s="330"/>
      <c r="HO304" s="330"/>
      <c r="HP304" s="330"/>
      <c r="HQ304" s="330"/>
      <c r="HR304" s="330"/>
      <c r="HS304" s="330"/>
      <c r="HT304" s="330"/>
      <c r="HU304" s="330"/>
      <c r="HV304" s="330"/>
      <c r="HW304" s="330"/>
      <c r="HX304" s="330"/>
      <c r="HY304" s="330"/>
      <c r="HZ304" s="330"/>
      <c r="IA304" s="330"/>
      <c r="IB304" s="330"/>
      <c r="IC304" s="330"/>
      <c r="ID304" s="330"/>
      <c r="IE304" s="330"/>
      <c r="IF304" s="330"/>
      <c r="IG304" s="330"/>
      <c r="IH304" s="330"/>
      <c r="II304" s="330"/>
      <c r="IJ304" s="330"/>
      <c r="IK304" s="330"/>
      <c r="IL304" s="330"/>
      <c r="IM304" s="330"/>
      <c r="IN304" s="330"/>
      <c r="IO304" s="330"/>
      <c r="IP304" s="330"/>
    </row>
    <row r="305" spans="1:250" s="589" customFormat="1" x14ac:dyDescent="0.25">
      <c r="A305" s="633" t="s">
        <v>1084</v>
      </c>
      <c r="B305" s="587" t="s">
        <v>1085</v>
      </c>
      <c r="C305" s="556">
        <v>400</v>
      </c>
      <c r="D305" s="556">
        <v>400</v>
      </c>
      <c r="E305" s="557">
        <v>600</v>
      </c>
      <c r="F305" s="582">
        <v>2390</v>
      </c>
      <c r="G305" s="583">
        <v>400</v>
      </c>
      <c r="H305" s="1048">
        <f t="shared" si="10"/>
        <v>570</v>
      </c>
      <c r="I305" s="563"/>
      <c r="J305" s="330"/>
      <c r="K305" s="330"/>
      <c r="L305" s="330"/>
      <c r="M305" s="330"/>
      <c r="N305" s="330"/>
      <c r="O305" s="330"/>
      <c r="P305" s="330"/>
      <c r="Q305" s="330"/>
      <c r="R305" s="330"/>
      <c r="S305" s="330"/>
      <c r="T305" s="330"/>
      <c r="U305" s="330"/>
      <c r="V305" s="330"/>
      <c r="W305" s="330"/>
      <c r="X305" s="330"/>
      <c r="Y305" s="330"/>
      <c r="Z305" s="330"/>
      <c r="AA305" s="330"/>
      <c r="AB305" s="330"/>
      <c r="AC305" s="330"/>
      <c r="AD305" s="330"/>
      <c r="AE305" s="330"/>
      <c r="AF305" s="330"/>
      <c r="AG305" s="330"/>
      <c r="AH305" s="330"/>
      <c r="AI305" s="330"/>
      <c r="AJ305" s="330"/>
      <c r="AK305" s="330"/>
      <c r="AL305" s="330"/>
      <c r="AM305" s="330"/>
      <c r="AN305" s="330"/>
      <c r="AO305" s="330"/>
      <c r="AP305" s="330"/>
      <c r="AQ305" s="330"/>
      <c r="AR305" s="330"/>
      <c r="AS305" s="330"/>
      <c r="AT305" s="330"/>
      <c r="AU305" s="330"/>
      <c r="AV305" s="330"/>
      <c r="AW305" s="330"/>
      <c r="AX305" s="330"/>
      <c r="AY305" s="330"/>
      <c r="AZ305" s="330"/>
      <c r="BA305" s="330"/>
      <c r="BB305" s="330"/>
      <c r="BC305" s="330"/>
      <c r="BD305" s="330"/>
      <c r="BE305" s="330"/>
      <c r="BF305" s="330"/>
      <c r="BG305" s="330"/>
      <c r="BH305" s="330"/>
      <c r="BI305" s="330"/>
      <c r="BJ305" s="330"/>
      <c r="BK305" s="330"/>
      <c r="BL305" s="330"/>
      <c r="BM305" s="330"/>
      <c r="BN305" s="330"/>
      <c r="BO305" s="330"/>
      <c r="BP305" s="330"/>
      <c r="BQ305" s="330"/>
      <c r="BR305" s="330"/>
      <c r="BS305" s="330"/>
      <c r="BT305" s="330"/>
      <c r="BU305" s="330"/>
      <c r="BV305" s="330"/>
      <c r="BW305" s="330"/>
      <c r="BX305" s="330"/>
      <c r="BY305" s="330"/>
      <c r="BZ305" s="330"/>
      <c r="CA305" s="330"/>
      <c r="CB305" s="330"/>
      <c r="CC305" s="330"/>
      <c r="CD305" s="330"/>
      <c r="CE305" s="330"/>
      <c r="CF305" s="330"/>
      <c r="CG305" s="330"/>
      <c r="CH305" s="330"/>
      <c r="CI305" s="330"/>
      <c r="CJ305" s="330"/>
      <c r="CK305" s="330"/>
      <c r="CL305" s="330"/>
      <c r="CM305" s="330"/>
      <c r="CN305" s="330"/>
      <c r="CO305" s="330"/>
      <c r="CP305" s="330"/>
      <c r="CQ305" s="330"/>
      <c r="CR305" s="330"/>
      <c r="CS305" s="330"/>
      <c r="CT305" s="330"/>
      <c r="CU305" s="330"/>
      <c r="CV305" s="330"/>
      <c r="CW305" s="330"/>
      <c r="CX305" s="330"/>
      <c r="CY305" s="330"/>
      <c r="CZ305" s="330"/>
      <c r="DA305" s="330"/>
      <c r="DB305" s="330"/>
      <c r="DC305" s="330"/>
      <c r="DD305" s="330"/>
      <c r="DE305" s="330"/>
      <c r="DF305" s="330"/>
      <c r="DG305" s="330"/>
      <c r="DH305" s="330"/>
      <c r="DI305" s="330"/>
      <c r="DJ305" s="330"/>
      <c r="DK305" s="330"/>
      <c r="DL305" s="330"/>
      <c r="DM305" s="330"/>
      <c r="DN305" s="330"/>
      <c r="DO305" s="330"/>
      <c r="DP305" s="330"/>
      <c r="DQ305" s="330"/>
      <c r="DR305" s="330"/>
      <c r="DS305" s="330"/>
      <c r="DT305" s="330"/>
      <c r="DU305" s="330"/>
      <c r="DV305" s="330"/>
      <c r="DW305" s="330"/>
      <c r="DX305" s="330"/>
      <c r="DY305" s="330"/>
      <c r="DZ305" s="330"/>
      <c r="EA305" s="330"/>
      <c r="EB305" s="330"/>
      <c r="EC305" s="330"/>
      <c r="ED305" s="330"/>
      <c r="EE305" s="330"/>
      <c r="EF305" s="330"/>
      <c r="EG305" s="330"/>
      <c r="EH305" s="330"/>
      <c r="EI305" s="330"/>
      <c r="EJ305" s="330"/>
      <c r="EK305" s="330"/>
      <c r="EL305" s="330"/>
      <c r="EM305" s="330"/>
      <c r="EN305" s="330"/>
      <c r="EO305" s="330"/>
      <c r="EP305" s="330"/>
      <c r="EQ305" s="330"/>
      <c r="ER305" s="330"/>
      <c r="ES305" s="330"/>
      <c r="ET305" s="330"/>
      <c r="EU305" s="330"/>
      <c r="EV305" s="330"/>
      <c r="EW305" s="330"/>
      <c r="EX305" s="330"/>
      <c r="EY305" s="330"/>
      <c r="EZ305" s="330"/>
      <c r="FA305" s="330"/>
      <c r="FB305" s="330"/>
      <c r="FC305" s="330"/>
      <c r="FD305" s="330"/>
      <c r="FE305" s="330"/>
      <c r="FF305" s="330"/>
      <c r="FG305" s="330"/>
      <c r="FH305" s="330"/>
      <c r="FI305" s="330"/>
      <c r="FJ305" s="330"/>
      <c r="FK305" s="330"/>
      <c r="FL305" s="330"/>
      <c r="FM305" s="330"/>
      <c r="FN305" s="330"/>
      <c r="FO305" s="330"/>
      <c r="FP305" s="330"/>
      <c r="FQ305" s="330"/>
      <c r="FR305" s="330"/>
      <c r="FS305" s="330"/>
      <c r="FT305" s="330"/>
      <c r="FU305" s="330"/>
      <c r="FV305" s="330"/>
      <c r="FW305" s="330"/>
      <c r="FX305" s="330"/>
      <c r="FY305" s="330"/>
      <c r="FZ305" s="330"/>
      <c r="GA305" s="330"/>
      <c r="GB305" s="330"/>
      <c r="GC305" s="330"/>
      <c r="GD305" s="330"/>
      <c r="GE305" s="330"/>
      <c r="GF305" s="330"/>
      <c r="GG305" s="330"/>
      <c r="GH305" s="330"/>
      <c r="GI305" s="330"/>
      <c r="GJ305" s="330"/>
      <c r="GK305" s="330"/>
      <c r="GL305" s="330"/>
      <c r="GM305" s="330"/>
      <c r="GN305" s="330"/>
      <c r="GO305" s="330"/>
      <c r="GP305" s="330"/>
      <c r="GQ305" s="330"/>
      <c r="GR305" s="330"/>
      <c r="GS305" s="330"/>
      <c r="GT305" s="330"/>
      <c r="GU305" s="330"/>
      <c r="GV305" s="330"/>
      <c r="GW305" s="330"/>
      <c r="GX305" s="330"/>
      <c r="GY305" s="330"/>
      <c r="GZ305" s="330"/>
      <c r="HA305" s="330"/>
      <c r="HB305" s="330"/>
      <c r="HC305" s="330"/>
      <c r="HD305" s="330"/>
      <c r="HE305" s="330"/>
      <c r="HF305" s="330"/>
      <c r="HG305" s="330"/>
      <c r="HH305" s="330"/>
      <c r="HI305" s="330"/>
      <c r="HJ305" s="330"/>
      <c r="HK305" s="330"/>
      <c r="HL305" s="330"/>
      <c r="HM305" s="330"/>
      <c r="HN305" s="330"/>
      <c r="HO305" s="330"/>
      <c r="HP305" s="330"/>
      <c r="HQ305" s="330"/>
      <c r="HR305" s="330"/>
      <c r="HS305" s="330"/>
      <c r="HT305" s="330"/>
      <c r="HU305" s="330"/>
      <c r="HV305" s="330"/>
      <c r="HW305" s="330"/>
      <c r="HX305" s="330"/>
      <c r="HY305" s="330"/>
      <c r="HZ305" s="330"/>
      <c r="IA305" s="330"/>
      <c r="IB305" s="330"/>
      <c r="IC305" s="330"/>
      <c r="ID305" s="330"/>
      <c r="IE305" s="330"/>
      <c r="IF305" s="330"/>
      <c r="IG305" s="330"/>
      <c r="IH305" s="330"/>
      <c r="II305" s="330"/>
      <c r="IJ305" s="330"/>
      <c r="IK305" s="330"/>
      <c r="IL305" s="330"/>
      <c r="IM305" s="330"/>
      <c r="IN305" s="330"/>
      <c r="IO305" s="330"/>
      <c r="IP305" s="330"/>
    </row>
    <row r="306" spans="1:250" s="589" customFormat="1" x14ac:dyDescent="0.25">
      <c r="A306" s="2255" t="s">
        <v>1086</v>
      </c>
      <c r="B306" s="2256" t="s">
        <v>1087</v>
      </c>
      <c r="C306" s="556">
        <v>150</v>
      </c>
      <c r="D306" s="556">
        <v>150</v>
      </c>
      <c r="E306" s="557">
        <v>150</v>
      </c>
      <c r="F306" s="582">
        <v>2264</v>
      </c>
      <c r="G306" s="583">
        <v>150</v>
      </c>
      <c r="H306" s="1048">
        <f t="shared" si="10"/>
        <v>214</v>
      </c>
      <c r="I306" s="563"/>
      <c r="J306" s="330"/>
      <c r="K306" s="330"/>
      <c r="L306" s="330"/>
      <c r="M306" s="330"/>
      <c r="N306" s="330"/>
      <c r="O306" s="330"/>
      <c r="P306" s="330"/>
      <c r="Q306" s="330"/>
      <c r="R306" s="330"/>
      <c r="S306" s="330"/>
      <c r="T306" s="330"/>
      <c r="U306" s="330"/>
      <c r="V306" s="330"/>
      <c r="W306" s="330"/>
      <c r="X306" s="330"/>
      <c r="Y306" s="330"/>
      <c r="Z306" s="330"/>
      <c r="AA306" s="330"/>
      <c r="AB306" s="330"/>
      <c r="AC306" s="330"/>
      <c r="AD306" s="330"/>
      <c r="AE306" s="330"/>
      <c r="AF306" s="330"/>
      <c r="AG306" s="330"/>
      <c r="AH306" s="330"/>
      <c r="AI306" s="330"/>
      <c r="AJ306" s="330"/>
      <c r="AK306" s="330"/>
      <c r="AL306" s="330"/>
      <c r="AM306" s="330"/>
      <c r="AN306" s="330"/>
      <c r="AO306" s="330"/>
      <c r="AP306" s="330"/>
      <c r="AQ306" s="330"/>
      <c r="AR306" s="330"/>
      <c r="AS306" s="330"/>
      <c r="AT306" s="330"/>
      <c r="AU306" s="330"/>
      <c r="AV306" s="330"/>
      <c r="AW306" s="330"/>
      <c r="AX306" s="330"/>
      <c r="AY306" s="330"/>
      <c r="AZ306" s="330"/>
      <c r="BA306" s="330"/>
      <c r="BB306" s="330"/>
      <c r="BC306" s="330"/>
      <c r="BD306" s="330"/>
      <c r="BE306" s="330"/>
      <c r="BF306" s="330"/>
      <c r="BG306" s="330"/>
      <c r="BH306" s="330"/>
      <c r="BI306" s="330"/>
      <c r="BJ306" s="330"/>
      <c r="BK306" s="330"/>
      <c r="BL306" s="330"/>
      <c r="BM306" s="330"/>
      <c r="BN306" s="330"/>
      <c r="BO306" s="330"/>
      <c r="BP306" s="330"/>
      <c r="BQ306" s="330"/>
      <c r="BR306" s="330"/>
      <c r="BS306" s="330"/>
      <c r="BT306" s="330"/>
      <c r="BU306" s="330"/>
      <c r="BV306" s="330"/>
      <c r="BW306" s="330"/>
      <c r="BX306" s="330"/>
      <c r="BY306" s="330"/>
      <c r="BZ306" s="330"/>
      <c r="CA306" s="330"/>
      <c r="CB306" s="330"/>
      <c r="CC306" s="330"/>
      <c r="CD306" s="330"/>
      <c r="CE306" s="330"/>
      <c r="CF306" s="330"/>
      <c r="CG306" s="330"/>
      <c r="CH306" s="330"/>
      <c r="CI306" s="330"/>
      <c r="CJ306" s="330"/>
      <c r="CK306" s="330"/>
      <c r="CL306" s="330"/>
      <c r="CM306" s="330"/>
      <c r="CN306" s="330"/>
      <c r="CO306" s="330"/>
      <c r="CP306" s="330"/>
      <c r="CQ306" s="330"/>
      <c r="CR306" s="330"/>
      <c r="CS306" s="330"/>
      <c r="CT306" s="330"/>
      <c r="CU306" s="330"/>
      <c r="CV306" s="330"/>
      <c r="CW306" s="330"/>
      <c r="CX306" s="330"/>
      <c r="CY306" s="330"/>
      <c r="CZ306" s="330"/>
      <c r="DA306" s="330"/>
      <c r="DB306" s="330"/>
      <c r="DC306" s="330"/>
      <c r="DD306" s="330"/>
      <c r="DE306" s="330"/>
      <c r="DF306" s="330"/>
      <c r="DG306" s="330"/>
      <c r="DH306" s="330"/>
      <c r="DI306" s="330"/>
      <c r="DJ306" s="330"/>
      <c r="DK306" s="330"/>
      <c r="DL306" s="330"/>
      <c r="DM306" s="330"/>
      <c r="DN306" s="330"/>
      <c r="DO306" s="330"/>
      <c r="DP306" s="330"/>
      <c r="DQ306" s="330"/>
      <c r="DR306" s="330"/>
      <c r="DS306" s="330"/>
      <c r="DT306" s="330"/>
      <c r="DU306" s="330"/>
      <c r="DV306" s="330"/>
      <c r="DW306" s="330"/>
      <c r="DX306" s="330"/>
      <c r="DY306" s="330"/>
      <c r="DZ306" s="330"/>
      <c r="EA306" s="330"/>
      <c r="EB306" s="330"/>
      <c r="EC306" s="330"/>
      <c r="ED306" s="330"/>
      <c r="EE306" s="330"/>
      <c r="EF306" s="330"/>
      <c r="EG306" s="330"/>
      <c r="EH306" s="330"/>
      <c r="EI306" s="330"/>
      <c r="EJ306" s="330"/>
      <c r="EK306" s="330"/>
      <c r="EL306" s="330"/>
      <c r="EM306" s="330"/>
      <c r="EN306" s="330"/>
      <c r="EO306" s="330"/>
      <c r="EP306" s="330"/>
      <c r="EQ306" s="330"/>
      <c r="ER306" s="330"/>
      <c r="ES306" s="330"/>
      <c r="ET306" s="330"/>
      <c r="EU306" s="330"/>
      <c r="EV306" s="330"/>
      <c r="EW306" s="330"/>
      <c r="EX306" s="330"/>
      <c r="EY306" s="330"/>
      <c r="EZ306" s="330"/>
      <c r="FA306" s="330"/>
      <c r="FB306" s="330"/>
      <c r="FC306" s="330"/>
      <c r="FD306" s="330"/>
      <c r="FE306" s="330"/>
      <c r="FF306" s="330"/>
      <c r="FG306" s="330"/>
      <c r="FH306" s="330"/>
      <c r="FI306" s="330"/>
      <c r="FJ306" s="330"/>
      <c r="FK306" s="330"/>
      <c r="FL306" s="330"/>
      <c r="FM306" s="330"/>
      <c r="FN306" s="330"/>
      <c r="FO306" s="330"/>
      <c r="FP306" s="330"/>
      <c r="FQ306" s="330"/>
      <c r="FR306" s="330"/>
      <c r="FS306" s="330"/>
      <c r="FT306" s="330"/>
      <c r="FU306" s="330"/>
      <c r="FV306" s="330"/>
      <c r="FW306" s="330"/>
      <c r="FX306" s="330"/>
      <c r="FY306" s="330"/>
      <c r="FZ306" s="330"/>
      <c r="GA306" s="330"/>
      <c r="GB306" s="330"/>
      <c r="GC306" s="330"/>
      <c r="GD306" s="330"/>
      <c r="GE306" s="330"/>
      <c r="GF306" s="330"/>
      <c r="GG306" s="330"/>
      <c r="GH306" s="330"/>
      <c r="GI306" s="330"/>
      <c r="GJ306" s="330"/>
      <c r="GK306" s="330"/>
      <c r="GL306" s="330"/>
      <c r="GM306" s="330"/>
      <c r="GN306" s="330"/>
      <c r="GO306" s="330"/>
      <c r="GP306" s="330"/>
      <c r="GQ306" s="330"/>
      <c r="GR306" s="330"/>
      <c r="GS306" s="330"/>
      <c r="GT306" s="330"/>
      <c r="GU306" s="330"/>
      <c r="GV306" s="330"/>
      <c r="GW306" s="330"/>
      <c r="GX306" s="330"/>
      <c r="GY306" s="330"/>
      <c r="GZ306" s="330"/>
      <c r="HA306" s="330"/>
      <c r="HB306" s="330"/>
      <c r="HC306" s="330"/>
      <c r="HD306" s="330"/>
      <c r="HE306" s="330"/>
      <c r="HF306" s="330"/>
      <c r="HG306" s="330"/>
      <c r="HH306" s="330"/>
      <c r="HI306" s="330"/>
      <c r="HJ306" s="330"/>
      <c r="HK306" s="330"/>
      <c r="HL306" s="330"/>
      <c r="HM306" s="330"/>
      <c r="HN306" s="330"/>
      <c r="HO306" s="330"/>
      <c r="HP306" s="330"/>
      <c r="HQ306" s="330"/>
      <c r="HR306" s="330"/>
      <c r="HS306" s="330"/>
      <c r="HT306" s="330"/>
      <c r="HU306" s="330"/>
      <c r="HV306" s="330"/>
      <c r="HW306" s="330"/>
      <c r="HX306" s="330"/>
      <c r="HY306" s="330"/>
      <c r="HZ306" s="330"/>
      <c r="IA306" s="330"/>
      <c r="IB306" s="330"/>
      <c r="IC306" s="330"/>
      <c r="ID306" s="330"/>
      <c r="IE306" s="330"/>
      <c r="IF306" s="330"/>
      <c r="IG306" s="330"/>
      <c r="IH306" s="330"/>
      <c r="II306" s="330"/>
      <c r="IJ306" s="330"/>
      <c r="IK306" s="330"/>
      <c r="IL306" s="330"/>
      <c r="IM306" s="330"/>
      <c r="IN306" s="330"/>
      <c r="IO306" s="330"/>
      <c r="IP306" s="330"/>
    </row>
    <row r="307" spans="1:250" s="589" customFormat="1" x14ac:dyDescent="0.25">
      <c r="A307" s="2255"/>
      <c r="B307" s="2256"/>
      <c r="C307" s="556">
        <v>136</v>
      </c>
      <c r="D307" s="556">
        <v>135</v>
      </c>
      <c r="E307" s="557">
        <v>218</v>
      </c>
      <c r="F307" s="582">
        <v>1150</v>
      </c>
      <c r="G307" s="583">
        <v>135</v>
      </c>
      <c r="H307" s="1048">
        <f t="shared" si="10"/>
        <v>193</v>
      </c>
      <c r="I307" s="563"/>
    </row>
    <row r="308" spans="1:250" s="589" customFormat="1" x14ac:dyDescent="0.25">
      <c r="A308" s="2255"/>
      <c r="B308" s="2256"/>
      <c r="C308" s="556">
        <v>0</v>
      </c>
      <c r="D308" s="556">
        <v>0</v>
      </c>
      <c r="E308" s="557">
        <v>53</v>
      </c>
      <c r="F308" s="582">
        <v>1210</v>
      </c>
      <c r="G308" s="583"/>
      <c r="H308" s="1048">
        <f t="shared" si="10"/>
        <v>0</v>
      </c>
      <c r="I308" s="563"/>
    </row>
    <row r="309" spans="1:250" s="589" customFormat="1" x14ac:dyDescent="0.25">
      <c r="A309" s="2255"/>
      <c r="B309" s="2256"/>
      <c r="C309" s="556">
        <v>136</v>
      </c>
      <c r="D309" s="556">
        <v>135</v>
      </c>
      <c r="E309" s="557">
        <v>0</v>
      </c>
      <c r="F309" s="582">
        <v>2279</v>
      </c>
      <c r="G309" s="583"/>
      <c r="H309" s="1048">
        <f t="shared" si="10"/>
        <v>0</v>
      </c>
      <c r="I309" s="563"/>
    </row>
    <row r="310" spans="1:250" s="589" customFormat="1" x14ac:dyDescent="0.25">
      <c r="A310" s="2255"/>
      <c r="B310" s="2256"/>
      <c r="C310" s="556">
        <v>29</v>
      </c>
      <c r="D310" s="556">
        <v>21</v>
      </c>
      <c r="E310" s="557">
        <v>30</v>
      </c>
      <c r="F310" s="582">
        <v>2311</v>
      </c>
      <c r="G310" s="583">
        <v>30</v>
      </c>
      <c r="H310" s="1048">
        <f t="shared" si="10"/>
        <v>43</v>
      </c>
      <c r="I310" s="563"/>
    </row>
    <row r="311" spans="1:250" s="589" customFormat="1" x14ac:dyDescent="0.25">
      <c r="A311" s="2255"/>
      <c r="B311" s="2256"/>
      <c r="C311" s="556">
        <v>100</v>
      </c>
      <c r="D311" s="556">
        <v>100</v>
      </c>
      <c r="E311" s="557">
        <v>100</v>
      </c>
      <c r="F311" s="582">
        <v>2390</v>
      </c>
      <c r="G311" s="583">
        <v>100</v>
      </c>
      <c r="H311" s="1048">
        <f t="shared" si="10"/>
        <v>143</v>
      </c>
      <c r="I311" s="563"/>
    </row>
    <row r="312" spans="1:250" s="589" customFormat="1" ht="36" x14ac:dyDescent="0.25">
      <c r="A312" s="634" t="s">
        <v>1088</v>
      </c>
      <c r="B312" s="635" t="s">
        <v>1089</v>
      </c>
      <c r="C312" s="556">
        <v>600</v>
      </c>
      <c r="D312" s="556">
        <v>600</v>
      </c>
      <c r="E312" s="557">
        <v>400</v>
      </c>
      <c r="F312" s="582">
        <v>2390</v>
      </c>
      <c r="G312" s="583">
        <v>400</v>
      </c>
      <c r="H312" s="1048">
        <f t="shared" si="10"/>
        <v>570</v>
      </c>
      <c r="I312" s="563"/>
    </row>
    <row r="313" spans="1:250" s="589" customFormat="1" x14ac:dyDescent="0.25">
      <c r="A313" s="2247" t="s">
        <v>1090</v>
      </c>
      <c r="B313" s="2249" t="s">
        <v>1091</v>
      </c>
      <c r="C313" s="556">
        <v>0</v>
      </c>
      <c r="D313" s="556">
        <v>0</v>
      </c>
      <c r="E313" s="557">
        <v>300</v>
      </c>
      <c r="F313" s="582">
        <v>2262</v>
      </c>
      <c r="G313" s="583"/>
      <c r="H313" s="1048">
        <f t="shared" si="10"/>
        <v>0</v>
      </c>
      <c r="I313" s="560" t="s">
        <v>1092</v>
      </c>
    </row>
    <row r="314" spans="1:250" s="589" customFormat="1" x14ac:dyDescent="0.25">
      <c r="A314" s="2258"/>
      <c r="B314" s="2259"/>
      <c r="C314" s="556">
        <v>0</v>
      </c>
      <c r="D314" s="556">
        <v>0</v>
      </c>
      <c r="E314" s="557">
        <v>200</v>
      </c>
      <c r="F314" s="582">
        <v>1150</v>
      </c>
      <c r="G314" s="583">
        <v>200</v>
      </c>
      <c r="H314" s="1048">
        <f t="shared" si="10"/>
        <v>285</v>
      </c>
      <c r="I314" s="560" t="s">
        <v>1093</v>
      </c>
    </row>
    <row r="315" spans="1:250" s="589" customFormat="1" x14ac:dyDescent="0.25">
      <c r="A315" s="2248"/>
      <c r="B315" s="2250"/>
      <c r="C315" s="556">
        <v>0</v>
      </c>
      <c r="D315" s="556">
        <v>0</v>
      </c>
      <c r="E315" s="557">
        <v>49</v>
      </c>
      <c r="F315" s="582">
        <v>1210</v>
      </c>
      <c r="G315" s="583">
        <v>49</v>
      </c>
      <c r="H315" s="1048">
        <f t="shared" si="10"/>
        <v>70</v>
      </c>
      <c r="I315" s="560"/>
    </row>
    <row r="316" spans="1:250" x14ac:dyDescent="0.25">
      <c r="A316" s="2255" t="s">
        <v>1094</v>
      </c>
      <c r="B316" s="2256" t="s">
        <v>1095</v>
      </c>
      <c r="C316" s="556">
        <v>0</v>
      </c>
      <c r="D316" s="556">
        <v>0</v>
      </c>
      <c r="E316" s="557">
        <v>200</v>
      </c>
      <c r="F316" s="582">
        <v>2279</v>
      </c>
      <c r="G316" s="583"/>
      <c r="H316" s="1048">
        <f t="shared" ref="H316:H357" si="12">ROUNDUP(G316/0.702804,0)</f>
        <v>0</v>
      </c>
      <c r="I316" s="563"/>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589"/>
      <c r="AL316" s="589"/>
      <c r="AM316" s="589"/>
      <c r="AN316" s="589"/>
      <c r="AO316" s="589"/>
      <c r="AP316" s="589"/>
      <c r="AQ316" s="589"/>
      <c r="AR316" s="589"/>
      <c r="AS316" s="589"/>
      <c r="AT316" s="589"/>
      <c r="AU316" s="589"/>
      <c r="AV316" s="589"/>
      <c r="AW316" s="589"/>
      <c r="AX316" s="589"/>
      <c r="AY316" s="589"/>
      <c r="AZ316" s="589"/>
      <c r="BA316" s="589"/>
      <c r="BB316" s="589"/>
      <c r="BC316" s="589"/>
      <c r="BD316" s="589"/>
      <c r="BE316" s="589"/>
      <c r="BF316" s="589"/>
      <c r="BG316" s="589"/>
      <c r="BH316" s="589"/>
      <c r="BI316" s="589"/>
      <c r="BJ316" s="589"/>
      <c r="BK316" s="589"/>
      <c r="BL316" s="589"/>
      <c r="BM316" s="589"/>
      <c r="BN316" s="589"/>
      <c r="BO316" s="589"/>
      <c r="BP316" s="589"/>
      <c r="BQ316" s="589"/>
      <c r="BR316" s="589"/>
      <c r="BS316" s="589"/>
      <c r="BT316" s="589"/>
      <c r="BU316" s="589"/>
      <c r="BV316" s="589"/>
      <c r="BW316" s="589"/>
      <c r="BX316" s="589"/>
      <c r="BY316" s="589"/>
      <c r="BZ316" s="589"/>
      <c r="CA316" s="589"/>
      <c r="CB316" s="589"/>
      <c r="CC316" s="589"/>
      <c r="CD316" s="589"/>
      <c r="CE316" s="589"/>
      <c r="CF316" s="589"/>
      <c r="CG316" s="589"/>
      <c r="CH316" s="589"/>
      <c r="CI316" s="589"/>
      <c r="CJ316" s="589"/>
      <c r="CK316" s="589"/>
      <c r="CL316" s="589"/>
      <c r="CM316" s="589"/>
      <c r="CN316" s="589"/>
      <c r="CO316" s="589"/>
      <c r="CP316" s="589"/>
      <c r="CQ316" s="589"/>
      <c r="CR316" s="589"/>
      <c r="CS316" s="589"/>
      <c r="CT316" s="589"/>
      <c r="CU316" s="589"/>
      <c r="CV316" s="589"/>
      <c r="CW316" s="589"/>
      <c r="CX316" s="589"/>
      <c r="CY316" s="589"/>
      <c r="CZ316" s="589"/>
      <c r="DA316" s="589"/>
      <c r="DB316" s="589"/>
      <c r="DC316" s="589"/>
      <c r="DD316" s="589"/>
      <c r="DE316" s="589"/>
      <c r="DF316" s="589"/>
      <c r="DG316" s="589"/>
      <c r="DH316" s="589"/>
      <c r="DI316" s="589"/>
      <c r="DJ316" s="589"/>
      <c r="DK316" s="589"/>
      <c r="DL316" s="589"/>
      <c r="DM316" s="589"/>
      <c r="DN316" s="589"/>
      <c r="DO316" s="589"/>
      <c r="DP316" s="589"/>
      <c r="DQ316" s="589"/>
      <c r="DR316" s="589"/>
      <c r="DS316" s="589"/>
      <c r="DT316" s="589"/>
      <c r="DU316" s="589"/>
      <c r="DV316" s="589"/>
      <c r="DW316" s="589"/>
      <c r="DX316" s="589"/>
      <c r="DY316" s="589"/>
      <c r="DZ316" s="589"/>
      <c r="EA316" s="589"/>
      <c r="EB316" s="589"/>
      <c r="EC316" s="589"/>
      <c r="ED316" s="589"/>
      <c r="EE316" s="589"/>
      <c r="EF316" s="589"/>
      <c r="EG316" s="589"/>
      <c r="EH316" s="589"/>
      <c r="EI316" s="589"/>
      <c r="EJ316" s="589"/>
      <c r="EK316" s="589"/>
      <c r="EL316" s="589"/>
      <c r="EM316" s="589"/>
      <c r="EN316" s="589"/>
      <c r="EO316" s="589"/>
      <c r="EP316" s="589"/>
      <c r="EQ316" s="589"/>
      <c r="ER316" s="589"/>
      <c r="ES316" s="589"/>
      <c r="ET316" s="589"/>
      <c r="EU316" s="589"/>
      <c r="EV316" s="589"/>
      <c r="EW316" s="589"/>
      <c r="EX316" s="589"/>
      <c r="EY316" s="589"/>
      <c r="EZ316" s="589"/>
      <c r="FA316" s="589"/>
      <c r="FB316" s="589"/>
      <c r="FC316" s="589"/>
      <c r="FD316" s="589"/>
      <c r="FE316" s="589"/>
      <c r="FF316" s="589"/>
      <c r="FG316" s="589"/>
      <c r="FH316" s="589"/>
      <c r="FI316" s="589"/>
      <c r="FJ316" s="589"/>
      <c r="FK316" s="589"/>
      <c r="FL316" s="589"/>
      <c r="FM316" s="589"/>
      <c r="FN316" s="589"/>
      <c r="FO316" s="589"/>
      <c r="FP316" s="589"/>
      <c r="FQ316" s="589"/>
      <c r="FR316" s="589"/>
      <c r="FS316" s="589"/>
      <c r="FT316" s="589"/>
      <c r="FU316" s="589"/>
      <c r="FV316" s="589"/>
      <c r="FW316" s="589"/>
      <c r="FX316" s="589"/>
      <c r="FY316" s="589"/>
      <c r="FZ316" s="589"/>
      <c r="GA316" s="589"/>
      <c r="GB316" s="589"/>
      <c r="GC316" s="589"/>
      <c r="GD316" s="589"/>
      <c r="GE316" s="589"/>
      <c r="GF316" s="589"/>
      <c r="GG316" s="589"/>
      <c r="GH316" s="589"/>
      <c r="GI316" s="589"/>
      <c r="GJ316" s="589"/>
      <c r="GK316" s="589"/>
      <c r="GL316" s="589"/>
      <c r="GM316" s="589"/>
      <c r="GN316" s="589"/>
      <c r="GO316" s="589"/>
      <c r="GP316" s="589"/>
      <c r="GQ316" s="589"/>
      <c r="GR316" s="589"/>
      <c r="GS316" s="589"/>
      <c r="GT316" s="589"/>
      <c r="GU316" s="589"/>
      <c r="GV316" s="589"/>
      <c r="GW316" s="589"/>
      <c r="GX316" s="589"/>
      <c r="GY316" s="589"/>
      <c r="GZ316" s="589"/>
      <c r="HA316" s="589"/>
      <c r="HB316" s="589"/>
      <c r="HC316" s="589"/>
      <c r="HD316" s="589"/>
      <c r="HE316" s="589"/>
      <c r="HF316" s="589"/>
      <c r="HG316" s="589"/>
      <c r="HH316" s="589"/>
      <c r="HI316" s="589"/>
      <c r="HJ316" s="589"/>
      <c r="HK316" s="589"/>
      <c r="HL316" s="589"/>
      <c r="HM316" s="589"/>
      <c r="HN316" s="589"/>
      <c r="HO316" s="589"/>
      <c r="HP316" s="589"/>
      <c r="HQ316" s="589"/>
      <c r="HR316" s="589"/>
      <c r="HS316" s="589"/>
      <c r="HT316" s="589"/>
      <c r="HU316" s="589"/>
      <c r="HV316" s="589"/>
      <c r="HW316" s="589"/>
      <c r="HX316" s="589"/>
      <c r="HY316" s="589"/>
      <c r="HZ316" s="589"/>
      <c r="IA316" s="589"/>
      <c r="IB316" s="589"/>
      <c r="IC316" s="589"/>
      <c r="ID316" s="589"/>
      <c r="IE316" s="589"/>
      <c r="IF316" s="589"/>
      <c r="IG316" s="589"/>
      <c r="IH316" s="589"/>
      <c r="II316" s="589"/>
      <c r="IJ316" s="589"/>
      <c r="IK316" s="589"/>
      <c r="IL316" s="589"/>
      <c r="IM316" s="589"/>
      <c r="IN316" s="589"/>
      <c r="IO316" s="589"/>
      <c r="IP316" s="589"/>
    </row>
    <row r="317" spans="1:250" x14ac:dyDescent="0.25">
      <c r="A317" s="2255"/>
      <c r="B317" s="2256"/>
      <c r="C317" s="556">
        <v>175</v>
      </c>
      <c r="D317" s="556">
        <v>78</v>
      </c>
      <c r="E317" s="557">
        <v>200</v>
      </c>
      <c r="F317" s="582">
        <v>2235</v>
      </c>
      <c r="G317" s="583">
        <v>80</v>
      </c>
      <c r="H317" s="1048">
        <f t="shared" si="12"/>
        <v>114</v>
      </c>
      <c r="I317" s="563"/>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589"/>
      <c r="AL317" s="589"/>
      <c r="AM317" s="589"/>
      <c r="AN317" s="589"/>
      <c r="AO317" s="589"/>
      <c r="AP317" s="589"/>
      <c r="AQ317" s="589"/>
      <c r="AR317" s="589"/>
      <c r="AS317" s="589"/>
      <c r="AT317" s="589"/>
      <c r="AU317" s="589"/>
      <c r="AV317" s="589"/>
      <c r="AW317" s="589"/>
      <c r="AX317" s="589"/>
      <c r="AY317" s="589"/>
      <c r="AZ317" s="589"/>
      <c r="BA317" s="589"/>
      <c r="BB317" s="589"/>
      <c r="BC317" s="589"/>
      <c r="BD317" s="589"/>
      <c r="BE317" s="589"/>
      <c r="BF317" s="589"/>
      <c r="BG317" s="589"/>
      <c r="BH317" s="589"/>
      <c r="BI317" s="589"/>
      <c r="BJ317" s="589"/>
      <c r="BK317" s="589"/>
      <c r="BL317" s="589"/>
      <c r="BM317" s="589"/>
      <c r="BN317" s="589"/>
      <c r="BO317" s="589"/>
      <c r="BP317" s="589"/>
      <c r="BQ317" s="589"/>
      <c r="BR317" s="589"/>
      <c r="BS317" s="589"/>
      <c r="BT317" s="589"/>
      <c r="BU317" s="589"/>
      <c r="BV317" s="589"/>
      <c r="BW317" s="589"/>
      <c r="BX317" s="589"/>
      <c r="BY317" s="589"/>
      <c r="BZ317" s="589"/>
      <c r="CA317" s="589"/>
      <c r="CB317" s="589"/>
      <c r="CC317" s="589"/>
      <c r="CD317" s="589"/>
      <c r="CE317" s="589"/>
      <c r="CF317" s="589"/>
      <c r="CG317" s="589"/>
      <c r="CH317" s="589"/>
      <c r="CI317" s="589"/>
      <c r="CJ317" s="589"/>
      <c r="CK317" s="589"/>
      <c r="CL317" s="589"/>
      <c r="CM317" s="589"/>
      <c r="CN317" s="589"/>
      <c r="CO317" s="589"/>
      <c r="CP317" s="589"/>
      <c r="CQ317" s="589"/>
      <c r="CR317" s="589"/>
      <c r="CS317" s="589"/>
      <c r="CT317" s="589"/>
      <c r="CU317" s="589"/>
      <c r="CV317" s="589"/>
      <c r="CW317" s="589"/>
      <c r="CX317" s="589"/>
      <c r="CY317" s="589"/>
      <c r="CZ317" s="589"/>
      <c r="DA317" s="589"/>
      <c r="DB317" s="589"/>
      <c r="DC317" s="589"/>
      <c r="DD317" s="589"/>
      <c r="DE317" s="589"/>
      <c r="DF317" s="589"/>
      <c r="DG317" s="589"/>
      <c r="DH317" s="589"/>
      <c r="DI317" s="589"/>
      <c r="DJ317" s="589"/>
      <c r="DK317" s="589"/>
      <c r="DL317" s="589"/>
      <c r="DM317" s="589"/>
      <c r="DN317" s="589"/>
      <c r="DO317" s="589"/>
      <c r="DP317" s="589"/>
      <c r="DQ317" s="589"/>
      <c r="DR317" s="589"/>
      <c r="DS317" s="589"/>
      <c r="DT317" s="589"/>
      <c r="DU317" s="589"/>
      <c r="DV317" s="589"/>
      <c r="DW317" s="589"/>
      <c r="DX317" s="589"/>
      <c r="DY317" s="589"/>
      <c r="DZ317" s="589"/>
      <c r="EA317" s="589"/>
      <c r="EB317" s="589"/>
      <c r="EC317" s="589"/>
      <c r="ED317" s="589"/>
      <c r="EE317" s="589"/>
      <c r="EF317" s="589"/>
      <c r="EG317" s="589"/>
      <c r="EH317" s="589"/>
      <c r="EI317" s="589"/>
      <c r="EJ317" s="589"/>
      <c r="EK317" s="589"/>
      <c r="EL317" s="589"/>
      <c r="EM317" s="589"/>
      <c r="EN317" s="589"/>
      <c r="EO317" s="589"/>
      <c r="EP317" s="589"/>
      <c r="EQ317" s="589"/>
      <c r="ER317" s="589"/>
      <c r="ES317" s="589"/>
      <c r="ET317" s="589"/>
      <c r="EU317" s="589"/>
      <c r="EV317" s="589"/>
      <c r="EW317" s="589"/>
      <c r="EX317" s="589"/>
      <c r="EY317" s="589"/>
      <c r="EZ317" s="589"/>
      <c r="FA317" s="589"/>
      <c r="FB317" s="589"/>
      <c r="FC317" s="589"/>
      <c r="FD317" s="589"/>
      <c r="FE317" s="589"/>
      <c r="FF317" s="589"/>
      <c r="FG317" s="589"/>
      <c r="FH317" s="589"/>
      <c r="FI317" s="589"/>
      <c r="FJ317" s="589"/>
      <c r="FK317" s="589"/>
      <c r="FL317" s="589"/>
      <c r="FM317" s="589"/>
      <c r="FN317" s="589"/>
      <c r="FO317" s="589"/>
      <c r="FP317" s="589"/>
      <c r="FQ317" s="589"/>
      <c r="FR317" s="589"/>
      <c r="FS317" s="589"/>
      <c r="FT317" s="589"/>
      <c r="FU317" s="589"/>
      <c r="FV317" s="589"/>
      <c r="FW317" s="589"/>
      <c r="FX317" s="589"/>
      <c r="FY317" s="589"/>
      <c r="FZ317" s="589"/>
      <c r="GA317" s="589"/>
      <c r="GB317" s="589"/>
      <c r="GC317" s="589"/>
      <c r="GD317" s="589"/>
      <c r="GE317" s="589"/>
      <c r="GF317" s="589"/>
      <c r="GG317" s="589"/>
      <c r="GH317" s="589"/>
      <c r="GI317" s="589"/>
      <c r="GJ317" s="589"/>
      <c r="GK317" s="589"/>
      <c r="GL317" s="589"/>
      <c r="GM317" s="589"/>
      <c r="GN317" s="589"/>
      <c r="GO317" s="589"/>
      <c r="GP317" s="589"/>
      <c r="GQ317" s="589"/>
      <c r="GR317" s="589"/>
      <c r="GS317" s="589"/>
      <c r="GT317" s="589"/>
      <c r="GU317" s="589"/>
      <c r="GV317" s="589"/>
      <c r="GW317" s="589"/>
      <c r="GX317" s="589"/>
      <c r="GY317" s="589"/>
      <c r="GZ317" s="589"/>
      <c r="HA317" s="589"/>
      <c r="HB317" s="589"/>
      <c r="HC317" s="589"/>
      <c r="HD317" s="589"/>
      <c r="HE317" s="589"/>
      <c r="HF317" s="589"/>
      <c r="HG317" s="589"/>
      <c r="HH317" s="589"/>
      <c r="HI317" s="589"/>
      <c r="HJ317" s="589"/>
      <c r="HK317" s="589"/>
      <c r="HL317" s="589"/>
      <c r="HM317" s="589"/>
      <c r="HN317" s="589"/>
      <c r="HO317" s="589"/>
      <c r="HP317" s="589"/>
      <c r="HQ317" s="589"/>
      <c r="HR317" s="589"/>
      <c r="HS317" s="589"/>
      <c r="HT317" s="589"/>
      <c r="HU317" s="589"/>
      <c r="HV317" s="589"/>
      <c r="HW317" s="589"/>
      <c r="HX317" s="589"/>
      <c r="HY317" s="589"/>
      <c r="HZ317" s="589"/>
      <c r="IA317" s="589"/>
      <c r="IB317" s="589"/>
      <c r="IC317" s="589"/>
      <c r="ID317" s="589"/>
      <c r="IE317" s="589"/>
      <c r="IF317" s="589"/>
      <c r="IG317" s="589"/>
      <c r="IH317" s="589"/>
      <c r="II317" s="589"/>
      <c r="IJ317" s="589"/>
      <c r="IK317" s="589"/>
      <c r="IL317" s="589"/>
      <c r="IM317" s="589"/>
      <c r="IN317" s="589"/>
      <c r="IO317" s="589"/>
      <c r="IP317" s="589"/>
    </row>
    <row r="318" spans="1:250" x14ac:dyDescent="0.25">
      <c r="A318" s="2255" t="s">
        <v>1096</v>
      </c>
      <c r="B318" s="2256" t="s">
        <v>1097</v>
      </c>
      <c r="C318" s="556">
        <v>300</v>
      </c>
      <c r="D318" s="556">
        <v>300</v>
      </c>
      <c r="E318" s="557">
        <v>0</v>
      </c>
      <c r="F318" s="582">
        <v>2231</v>
      </c>
      <c r="G318" s="583"/>
      <c r="H318" s="1048">
        <f t="shared" si="12"/>
        <v>0</v>
      </c>
      <c r="I318" s="563"/>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589"/>
      <c r="AL318" s="589"/>
      <c r="AM318" s="589"/>
      <c r="AN318" s="589"/>
      <c r="AO318" s="589"/>
      <c r="AP318" s="589"/>
      <c r="AQ318" s="589"/>
      <c r="AR318" s="589"/>
      <c r="AS318" s="589"/>
      <c r="AT318" s="589"/>
      <c r="AU318" s="589"/>
      <c r="AV318" s="589"/>
      <c r="AW318" s="589"/>
      <c r="AX318" s="589"/>
      <c r="AY318" s="589"/>
      <c r="AZ318" s="589"/>
      <c r="BA318" s="589"/>
      <c r="BB318" s="589"/>
      <c r="BC318" s="589"/>
      <c r="BD318" s="589"/>
      <c r="BE318" s="589"/>
      <c r="BF318" s="589"/>
      <c r="BG318" s="589"/>
      <c r="BH318" s="589"/>
      <c r="BI318" s="589"/>
      <c r="BJ318" s="589"/>
      <c r="BK318" s="589"/>
      <c r="BL318" s="589"/>
      <c r="BM318" s="589"/>
      <c r="BN318" s="589"/>
      <c r="BO318" s="589"/>
      <c r="BP318" s="589"/>
      <c r="BQ318" s="589"/>
      <c r="BR318" s="589"/>
      <c r="BS318" s="589"/>
      <c r="BT318" s="589"/>
      <c r="BU318" s="589"/>
      <c r="BV318" s="589"/>
      <c r="BW318" s="589"/>
      <c r="BX318" s="589"/>
      <c r="BY318" s="589"/>
      <c r="BZ318" s="589"/>
      <c r="CA318" s="589"/>
      <c r="CB318" s="589"/>
      <c r="CC318" s="589"/>
      <c r="CD318" s="589"/>
      <c r="CE318" s="589"/>
      <c r="CF318" s="589"/>
      <c r="CG318" s="589"/>
      <c r="CH318" s="589"/>
      <c r="CI318" s="589"/>
      <c r="CJ318" s="589"/>
      <c r="CK318" s="589"/>
      <c r="CL318" s="589"/>
      <c r="CM318" s="589"/>
      <c r="CN318" s="589"/>
      <c r="CO318" s="589"/>
      <c r="CP318" s="589"/>
      <c r="CQ318" s="589"/>
      <c r="CR318" s="589"/>
      <c r="CS318" s="589"/>
      <c r="CT318" s="589"/>
      <c r="CU318" s="589"/>
      <c r="CV318" s="589"/>
      <c r="CW318" s="589"/>
      <c r="CX318" s="589"/>
      <c r="CY318" s="589"/>
      <c r="CZ318" s="589"/>
      <c r="DA318" s="589"/>
      <c r="DB318" s="589"/>
      <c r="DC318" s="589"/>
      <c r="DD318" s="589"/>
      <c r="DE318" s="589"/>
      <c r="DF318" s="589"/>
      <c r="DG318" s="589"/>
      <c r="DH318" s="589"/>
      <c r="DI318" s="589"/>
      <c r="DJ318" s="589"/>
      <c r="DK318" s="589"/>
      <c r="DL318" s="589"/>
      <c r="DM318" s="589"/>
      <c r="DN318" s="589"/>
      <c r="DO318" s="589"/>
      <c r="DP318" s="589"/>
      <c r="DQ318" s="589"/>
      <c r="DR318" s="589"/>
      <c r="DS318" s="589"/>
      <c r="DT318" s="589"/>
      <c r="DU318" s="589"/>
      <c r="DV318" s="589"/>
      <c r="DW318" s="589"/>
      <c r="DX318" s="589"/>
      <c r="DY318" s="589"/>
      <c r="DZ318" s="589"/>
      <c r="EA318" s="589"/>
      <c r="EB318" s="589"/>
      <c r="EC318" s="589"/>
      <c r="ED318" s="589"/>
      <c r="EE318" s="589"/>
      <c r="EF318" s="589"/>
      <c r="EG318" s="589"/>
      <c r="EH318" s="589"/>
      <c r="EI318" s="589"/>
      <c r="EJ318" s="589"/>
      <c r="EK318" s="589"/>
      <c r="EL318" s="589"/>
      <c r="EM318" s="589"/>
      <c r="EN318" s="589"/>
      <c r="EO318" s="589"/>
      <c r="EP318" s="589"/>
      <c r="EQ318" s="589"/>
      <c r="ER318" s="589"/>
      <c r="ES318" s="589"/>
      <c r="ET318" s="589"/>
      <c r="EU318" s="589"/>
      <c r="EV318" s="589"/>
      <c r="EW318" s="589"/>
      <c r="EX318" s="589"/>
      <c r="EY318" s="589"/>
      <c r="EZ318" s="589"/>
      <c r="FA318" s="589"/>
      <c r="FB318" s="589"/>
      <c r="FC318" s="589"/>
      <c r="FD318" s="589"/>
      <c r="FE318" s="589"/>
      <c r="FF318" s="589"/>
      <c r="FG318" s="589"/>
      <c r="FH318" s="589"/>
      <c r="FI318" s="589"/>
      <c r="FJ318" s="589"/>
      <c r="FK318" s="589"/>
      <c r="FL318" s="589"/>
      <c r="FM318" s="589"/>
      <c r="FN318" s="589"/>
      <c r="FO318" s="589"/>
      <c r="FP318" s="589"/>
      <c r="FQ318" s="589"/>
      <c r="FR318" s="589"/>
      <c r="FS318" s="589"/>
      <c r="FT318" s="589"/>
      <c r="FU318" s="589"/>
      <c r="FV318" s="589"/>
      <c r="FW318" s="589"/>
      <c r="FX318" s="589"/>
      <c r="FY318" s="589"/>
      <c r="FZ318" s="589"/>
      <c r="GA318" s="589"/>
      <c r="GB318" s="589"/>
      <c r="GC318" s="589"/>
      <c r="GD318" s="589"/>
      <c r="GE318" s="589"/>
      <c r="GF318" s="589"/>
      <c r="GG318" s="589"/>
      <c r="GH318" s="589"/>
      <c r="GI318" s="589"/>
      <c r="GJ318" s="589"/>
      <c r="GK318" s="589"/>
      <c r="GL318" s="589"/>
      <c r="GM318" s="589"/>
      <c r="GN318" s="589"/>
      <c r="GO318" s="589"/>
      <c r="GP318" s="589"/>
      <c r="GQ318" s="589"/>
      <c r="GR318" s="589"/>
      <c r="GS318" s="589"/>
      <c r="GT318" s="589"/>
      <c r="GU318" s="589"/>
      <c r="GV318" s="589"/>
      <c r="GW318" s="589"/>
      <c r="GX318" s="589"/>
      <c r="GY318" s="589"/>
      <c r="GZ318" s="589"/>
      <c r="HA318" s="589"/>
      <c r="HB318" s="589"/>
      <c r="HC318" s="589"/>
      <c r="HD318" s="589"/>
      <c r="HE318" s="589"/>
      <c r="HF318" s="589"/>
      <c r="HG318" s="589"/>
      <c r="HH318" s="589"/>
      <c r="HI318" s="589"/>
      <c r="HJ318" s="589"/>
      <c r="HK318" s="589"/>
      <c r="HL318" s="589"/>
      <c r="HM318" s="589"/>
      <c r="HN318" s="589"/>
      <c r="HO318" s="589"/>
      <c r="HP318" s="589"/>
      <c r="HQ318" s="589"/>
      <c r="HR318" s="589"/>
      <c r="HS318" s="589"/>
      <c r="HT318" s="589"/>
      <c r="HU318" s="589"/>
      <c r="HV318" s="589"/>
      <c r="HW318" s="589"/>
      <c r="HX318" s="589"/>
      <c r="HY318" s="589"/>
      <c r="HZ318" s="589"/>
      <c r="IA318" s="589"/>
      <c r="IB318" s="589"/>
      <c r="IC318" s="589"/>
      <c r="ID318" s="589"/>
      <c r="IE318" s="589"/>
      <c r="IF318" s="589"/>
      <c r="IG318" s="589"/>
      <c r="IH318" s="589"/>
      <c r="II318" s="589"/>
      <c r="IJ318" s="589"/>
      <c r="IK318" s="589"/>
      <c r="IL318" s="589"/>
      <c r="IM318" s="589"/>
      <c r="IN318" s="589"/>
      <c r="IO318" s="589"/>
      <c r="IP318" s="589"/>
    </row>
    <row r="319" spans="1:250" x14ac:dyDescent="0.25">
      <c r="A319" s="2255"/>
      <c r="B319" s="2256"/>
      <c r="C319" s="556">
        <v>300</v>
      </c>
      <c r="D319" s="556">
        <v>300</v>
      </c>
      <c r="E319" s="557">
        <v>0</v>
      </c>
      <c r="F319" s="582">
        <v>2390</v>
      </c>
      <c r="G319" s="583"/>
      <c r="H319" s="1048">
        <f t="shared" si="12"/>
        <v>0</v>
      </c>
      <c r="I319" s="563"/>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589"/>
      <c r="AL319" s="589"/>
      <c r="AM319" s="589"/>
      <c r="AN319" s="589"/>
      <c r="AO319" s="589"/>
      <c r="AP319" s="589"/>
      <c r="AQ319" s="589"/>
      <c r="AR319" s="589"/>
      <c r="AS319" s="589"/>
      <c r="AT319" s="589"/>
      <c r="AU319" s="589"/>
      <c r="AV319" s="589"/>
      <c r="AW319" s="589"/>
      <c r="AX319" s="589"/>
      <c r="AY319" s="589"/>
      <c r="AZ319" s="589"/>
      <c r="BA319" s="589"/>
      <c r="BB319" s="589"/>
      <c r="BC319" s="589"/>
      <c r="BD319" s="589"/>
      <c r="BE319" s="589"/>
      <c r="BF319" s="589"/>
      <c r="BG319" s="589"/>
      <c r="BH319" s="589"/>
      <c r="BI319" s="589"/>
      <c r="BJ319" s="589"/>
      <c r="BK319" s="589"/>
      <c r="BL319" s="589"/>
      <c r="BM319" s="589"/>
      <c r="BN319" s="589"/>
      <c r="BO319" s="589"/>
      <c r="BP319" s="589"/>
      <c r="BQ319" s="589"/>
      <c r="BR319" s="589"/>
      <c r="BS319" s="589"/>
      <c r="BT319" s="589"/>
      <c r="BU319" s="589"/>
      <c r="BV319" s="589"/>
      <c r="BW319" s="589"/>
      <c r="BX319" s="589"/>
      <c r="BY319" s="589"/>
      <c r="BZ319" s="589"/>
      <c r="CA319" s="589"/>
      <c r="CB319" s="589"/>
      <c r="CC319" s="589"/>
      <c r="CD319" s="589"/>
      <c r="CE319" s="589"/>
      <c r="CF319" s="589"/>
      <c r="CG319" s="589"/>
      <c r="CH319" s="589"/>
      <c r="CI319" s="589"/>
      <c r="CJ319" s="589"/>
      <c r="CK319" s="589"/>
      <c r="CL319" s="589"/>
      <c r="CM319" s="589"/>
      <c r="CN319" s="589"/>
      <c r="CO319" s="589"/>
      <c r="CP319" s="589"/>
      <c r="CQ319" s="589"/>
      <c r="CR319" s="589"/>
      <c r="CS319" s="589"/>
      <c r="CT319" s="589"/>
      <c r="CU319" s="589"/>
      <c r="CV319" s="589"/>
      <c r="CW319" s="589"/>
      <c r="CX319" s="589"/>
      <c r="CY319" s="589"/>
      <c r="CZ319" s="589"/>
      <c r="DA319" s="589"/>
      <c r="DB319" s="589"/>
      <c r="DC319" s="589"/>
      <c r="DD319" s="589"/>
      <c r="DE319" s="589"/>
      <c r="DF319" s="589"/>
      <c r="DG319" s="589"/>
      <c r="DH319" s="589"/>
      <c r="DI319" s="589"/>
      <c r="DJ319" s="589"/>
      <c r="DK319" s="589"/>
      <c r="DL319" s="589"/>
      <c r="DM319" s="589"/>
      <c r="DN319" s="589"/>
      <c r="DO319" s="589"/>
      <c r="DP319" s="589"/>
      <c r="DQ319" s="589"/>
      <c r="DR319" s="589"/>
      <c r="DS319" s="589"/>
      <c r="DT319" s="589"/>
      <c r="DU319" s="589"/>
      <c r="DV319" s="589"/>
      <c r="DW319" s="589"/>
      <c r="DX319" s="589"/>
      <c r="DY319" s="589"/>
      <c r="DZ319" s="589"/>
      <c r="EA319" s="589"/>
      <c r="EB319" s="589"/>
      <c r="EC319" s="589"/>
      <c r="ED319" s="589"/>
      <c r="EE319" s="589"/>
      <c r="EF319" s="589"/>
      <c r="EG319" s="589"/>
      <c r="EH319" s="589"/>
      <c r="EI319" s="589"/>
      <c r="EJ319" s="589"/>
      <c r="EK319" s="589"/>
      <c r="EL319" s="589"/>
      <c r="EM319" s="589"/>
      <c r="EN319" s="589"/>
      <c r="EO319" s="589"/>
      <c r="EP319" s="589"/>
      <c r="EQ319" s="589"/>
      <c r="ER319" s="589"/>
      <c r="ES319" s="589"/>
      <c r="ET319" s="589"/>
      <c r="EU319" s="589"/>
      <c r="EV319" s="589"/>
      <c r="EW319" s="589"/>
      <c r="EX319" s="589"/>
      <c r="EY319" s="589"/>
      <c r="EZ319" s="589"/>
      <c r="FA319" s="589"/>
      <c r="FB319" s="589"/>
      <c r="FC319" s="589"/>
      <c r="FD319" s="589"/>
      <c r="FE319" s="589"/>
      <c r="FF319" s="589"/>
      <c r="FG319" s="589"/>
      <c r="FH319" s="589"/>
      <c r="FI319" s="589"/>
      <c r="FJ319" s="589"/>
      <c r="FK319" s="589"/>
      <c r="FL319" s="589"/>
      <c r="FM319" s="589"/>
      <c r="FN319" s="589"/>
      <c r="FO319" s="589"/>
      <c r="FP319" s="589"/>
      <c r="FQ319" s="589"/>
      <c r="FR319" s="589"/>
      <c r="FS319" s="589"/>
      <c r="FT319" s="589"/>
      <c r="FU319" s="589"/>
      <c r="FV319" s="589"/>
      <c r="FW319" s="589"/>
      <c r="FX319" s="589"/>
      <c r="FY319" s="589"/>
      <c r="FZ319" s="589"/>
      <c r="GA319" s="589"/>
      <c r="GB319" s="589"/>
      <c r="GC319" s="589"/>
      <c r="GD319" s="589"/>
      <c r="GE319" s="589"/>
      <c r="GF319" s="589"/>
      <c r="GG319" s="589"/>
      <c r="GH319" s="589"/>
      <c r="GI319" s="589"/>
      <c r="GJ319" s="589"/>
      <c r="GK319" s="589"/>
      <c r="GL319" s="589"/>
      <c r="GM319" s="589"/>
      <c r="GN319" s="589"/>
      <c r="GO319" s="589"/>
      <c r="GP319" s="589"/>
      <c r="GQ319" s="589"/>
      <c r="GR319" s="589"/>
      <c r="GS319" s="589"/>
      <c r="GT319" s="589"/>
      <c r="GU319" s="589"/>
      <c r="GV319" s="589"/>
      <c r="GW319" s="589"/>
      <c r="GX319" s="589"/>
      <c r="GY319" s="589"/>
      <c r="GZ319" s="589"/>
      <c r="HA319" s="589"/>
      <c r="HB319" s="589"/>
      <c r="HC319" s="589"/>
      <c r="HD319" s="589"/>
      <c r="HE319" s="589"/>
      <c r="HF319" s="589"/>
      <c r="HG319" s="589"/>
      <c r="HH319" s="589"/>
      <c r="HI319" s="589"/>
      <c r="HJ319" s="589"/>
      <c r="HK319" s="589"/>
      <c r="HL319" s="589"/>
      <c r="HM319" s="589"/>
      <c r="HN319" s="589"/>
      <c r="HO319" s="589"/>
      <c r="HP319" s="589"/>
      <c r="HQ319" s="589"/>
      <c r="HR319" s="589"/>
      <c r="HS319" s="589"/>
      <c r="HT319" s="589"/>
      <c r="HU319" s="589"/>
      <c r="HV319" s="589"/>
      <c r="HW319" s="589"/>
      <c r="HX319" s="589"/>
      <c r="HY319" s="589"/>
      <c r="HZ319" s="589"/>
      <c r="IA319" s="589"/>
      <c r="IB319" s="589"/>
      <c r="IC319" s="589"/>
      <c r="ID319" s="589"/>
      <c r="IE319" s="589"/>
      <c r="IF319" s="589"/>
      <c r="IG319" s="589"/>
      <c r="IH319" s="589"/>
      <c r="II319" s="589"/>
      <c r="IJ319" s="589"/>
      <c r="IK319" s="589"/>
      <c r="IL319" s="589"/>
      <c r="IM319" s="589"/>
      <c r="IN319" s="589"/>
      <c r="IO319" s="589"/>
      <c r="IP319" s="589"/>
    </row>
    <row r="320" spans="1:250" x14ac:dyDescent="0.25">
      <c r="A320" s="2255"/>
      <c r="B320" s="2256"/>
      <c r="C320" s="556">
        <v>150</v>
      </c>
      <c r="D320" s="556">
        <v>150</v>
      </c>
      <c r="E320" s="557">
        <v>0</v>
      </c>
      <c r="F320" s="582">
        <v>2264</v>
      </c>
      <c r="G320" s="583"/>
      <c r="H320" s="1048">
        <f t="shared" si="12"/>
        <v>0</v>
      </c>
      <c r="I320" s="563"/>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589"/>
      <c r="AL320" s="589"/>
      <c r="AM320" s="589"/>
      <c r="AN320" s="589"/>
      <c r="AO320" s="589"/>
      <c r="AP320" s="589"/>
      <c r="AQ320" s="589"/>
      <c r="AR320" s="589"/>
      <c r="AS320" s="589"/>
      <c r="AT320" s="589"/>
      <c r="AU320" s="589"/>
      <c r="AV320" s="589"/>
      <c r="AW320" s="589"/>
      <c r="AX320" s="589"/>
      <c r="AY320" s="589"/>
      <c r="AZ320" s="589"/>
      <c r="BA320" s="589"/>
      <c r="BB320" s="589"/>
      <c r="BC320" s="589"/>
      <c r="BD320" s="589"/>
      <c r="BE320" s="589"/>
      <c r="BF320" s="589"/>
      <c r="BG320" s="589"/>
      <c r="BH320" s="589"/>
      <c r="BI320" s="589"/>
      <c r="BJ320" s="589"/>
      <c r="BK320" s="589"/>
      <c r="BL320" s="589"/>
      <c r="BM320" s="589"/>
      <c r="BN320" s="589"/>
      <c r="BO320" s="589"/>
      <c r="BP320" s="589"/>
      <c r="BQ320" s="589"/>
      <c r="BR320" s="589"/>
      <c r="BS320" s="589"/>
      <c r="BT320" s="589"/>
      <c r="BU320" s="589"/>
      <c r="BV320" s="589"/>
      <c r="BW320" s="589"/>
      <c r="BX320" s="589"/>
      <c r="BY320" s="589"/>
      <c r="BZ320" s="589"/>
      <c r="CA320" s="589"/>
      <c r="CB320" s="589"/>
      <c r="CC320" s="589"/>
      <c r="CD320" s="589"/>
      <c r="CE320" s="589"/>
      <c r="CF320" s="589"/>
      <c r="CG320" s="589"/>
      <c r="CH320" s="589"/>
      <c r="CI320" s="589"/>
      <c r="CJ320" s="589"/>
      <c r="CK320" s="589"/>
      <c r="CL320" s="589"/>
      <c r="CM320" s="589"/>
      <c r="CN320" s="589"/>
      <c r="CO320" s="589"/>
      <c r="CP320" s="589"/>
      <c r="CQ320" s="589"/>
      <c r="CR320" s="589"/>
      <c r="CS320" s="589"/>
      <c r="CT320" s="589"/>
      <c r="CU320" s="589"/>
      <c r="CV320" s="589"/>
      <c r="CW320" s="589"/>
      <c r="CX320" s="589"/>
      <c r="CY320" s="589"/>
      <c r="CZ320" s="589"/>
      <c r="DA320" s="589"/>
      <c r="DB320" s="589"/>
      <c r="DC320" s="589"/>
      <c r="DD320" s="589"/>
      <c r="DE320" s="589"/>
      <c r="DF320" s="589"/>
      <c r="DG320" s="589"/>
      <c r="DH320" s="589"/>
      <c r="DI320" s="589"/>
      <c r="DJ320" s="589"/>
      <c r="DK320" s="589"/>
      <c r="DL320" s="589"/>
      <c r="DM320" s="589"/>
      <c r="DN320" s="589"/>
      <c r="DO320" s="589"/>
      <c r="DP320" s="589"/>
      <c r="DQ320" s="589"/>
      <c r="DR320" s="589"/>
      <c r="DS320" s="589"/>
      <c r="DT320" s="589"/>
      <c r="DU320" s="589"/>
      <c r="DV320" s="589"/>
      <c r="DW320" s="589"/>
      <c r="DX320" s="589"/>
      <c r="DY320" s="589"/>
      <c r="DZ320" s="589"/>
      <c r="EA320" s="589"/>
      <c r="EB320" s="589"/>
      <c r="EC320" s="589"/>
      <c r="ED320" s="589"/>
      <c r="EE320" s="589"/>
      <c r="EF320" s="589"/>
      <c r="EG320" s="589"/>
      <c r="EH320" s="589"/>
      <c r="EI320" s="589"/>
      <c r="EJ320" s="589"/>
      <c r="EK320" s="589"/>
      <c r="EL320" s="589"/>
      <c r="EM320" s="589"/>
      <c r="EN320" s="589"/>
      <c r="EO320" s="589"/>
      <c r="EP320" s="589"/>
      <c r="EQ320" s="589"/>
      <c r="ER320" s="589"/>
      <c r="ES320" s="589"/>
      <c r="ET320" s="589"/>
      <c r="EU320" s="589"/>
      <c r="EV320" s="589"/>
      <c r="EW320" s="589"/>
      <c r="EX320" s="589"/>
      <c r="EY320" s="589"/>
      <c r="EZ320" s="589"/>
      <c r="FA320" s="589"/>
      <c r="FB320" s="589"/>
      <c r="FC320" s="589"/>
      <c r="FD320" s="589"/>
      <c r="FE320" s="589"/>
      <c r="FF320" s="589"/>
      <c r="FG320" s="589"/>
      <c r="FH320" s="589"/>
      <c r="FI320" s="589"/>
      <c r="FJ320" s="589"/>
      <c r="FK320" s="589"/>
      <c r="FL320" s="589"/>
      <c r="FM320" s="589"/>
      <c r="FN320" s="589"/>
      <c r="FO320" s="589"/>
      <c r="FP320" s="589"/>
      <c r="FQ320" s="589"/>
      <c r="FR320" s="589"/>
      <c r="FS320" s="589"/>
      <c r="FT320" s="589"/>
      <c r="FU320" s="589"/>
      <c r="FV320" s="589"/>
      <c r="FW320" s="589"/>
      <c r="FX320" s="589"/>
      <c r="FY320" s="589"/>
      <c r="FZ320" s="589"/>
      <c r="GA320" s="589"/>
      <c r="GB320" s="589"/>
      <c r="GC320" s="589"/>
      <c r="GD320" s="589"/>
      <c r="GE320" s="589"/>
      <c r="GF320" s="589"/>
      <c r="GG320" s="589"/>
      <c r="GH320" s="589"/>
      <c r="GI320" s="589"/>
      <c r="GJ320" s="589"/>
      <c r="GK320" s="589"/>
      <c r="GL320" s="589"/>
      <c r="GM320" s="589"/>
      <c r="GN320" s="589"/>
      <c r="GO320" s="589"/>
      <c r="GP320" s="589"/>
      <c r="GQ320" s="589"/>
      <c r="GR320" s="589"/>
      <c r="GS320" s="589"/>
      <c r="GT320" s="589"/>
      <c r="GU320" s="589"/>
      <c r="GV320" s="589"/>
      <c r="GW320" s="589"/>
      <c r="GX320" s="589"/>
      <c r="GY320" s="589"/>
      <c r="GZ320" s="589"/>
      <c r="HA320" s="589"/>
      <c r="HB320" s="589"/>
      <c r="HC320" s="589"/>
      <c r="HD320" s="589"/>
      <c r="HE320" s="589"/>
      <c r="HF320" s="589"/>
      <c r="HG320" s="589"/>
      <c r="HH320" s="589"/>
      <c r="HI320" s="589"/>
      <c r="HJ320" s="589"/>
      <c r="HK320" s="589"/>
      <c r="HL320" s="589"/>
      <c r="HM320" s="589"/>
      <c r="HN320" s="589"/>
      <c r="HO320" s="589"/>
      <c r="HP320" s="589"/>
      <c r="HQ320" s="589"/>
      <c r="HR320" s="589"/>
      <c r="HS320" s="589"/>
      <c r="HT320" s="589"/>
      <c r="HU320" s="589"/>
      <c r="HV320" s="589"/>
      <c r="HW320" s="589"/>
      <c r="HX320" s="589"/>
      <c r="HY320" s="589"/>
      <c r="HZ320" s="589"/>
      <c r="IA320" s="589"/>
      <c r="IB320" s="589"/>
      <c r="IC320" s="589"/>
      <c r="ID320" s="589"/>
      <c r="IE320" s="589"/>
      <c r="IF320" s="589"/>
      <c r="IG320" s="589"/>
      <c r="IH320" s="589"/>
      <c r="II320" s="589"/>
      <c r="IJ320" s="589"/>
      <c r="IK320" s="589"/>
      <c r="IL320" s="589"/>
      <c r="IM320" s="589"/>
      <c r="IN320" s="589"/>
      <c r="IO320" s="589"/>
      <c r="IP320" s="589"/>
    </row>
    <row r="321" spans="1:9" x14ac:dyDescent="0.25">
      <c r="A321" s="633" t="s">
        <v>1098</v>
      </c>
      <c r="B321" s="636" t="s">
        <v>1099</v>
      </c>
      <c r="C321" s="556">
        <v>500</v>
      </c>
      <c r="D321" s="556">
        <v>500</v>
      </c>
      <c r="E321" s="557">
        <v>200</v>
      </c>
      <c r="F321" s="582">
        <v>2279</v>
      </c>
      <c r="G321" s="583"/>
      <c r="H321" s="1048">
        <f t="shared" si="12"/>
        <v>0</v>
      </c>
      <c r="I321" s="563"/>
    </row>
    <row r="322" spans="1:9" x14ac:dyDescent="0.25">
      <c r="A322" s="2255" t="s">
        <v>1100</v>
      </c>
      <c r="B322" s="2256" t="s">
        <v>1101</v>
      </c>
      <c r="C322" s="556">
        <v>0</v>
      </c>
      <c r="D322" s="556">
        <v>0</v>
      </c>
      <c r="E322" s="557">
        <v>400</v>
      </c>
      <c r="F322" s="582">
        <v>2231</v>
      </c>
      <c r="G322" s="583"/>
      <c r="H322" s="1048">
        <f t="shared" si="12"/>
        <v>0</v>
      </c>
      <c r="I322" s="560" t="s">
        <v>929</v>
      </c>
    </row>
    <row r="323" spans="1:9" x14ac:dyDescent="0.25">
      <c r="A323" s="2255"/>
      <c r="B323" s="2256"/>
      <c r="C323" s="556">
        <v>0</v>
      </c>
      <c r="D323" s="556">
        <v>0</v>
      </c>
      <c r="E323" s="557">
        <v>400</v>
      </c>
      <c r="F323" s="582">
        <v>2390</v>
      </c>
      <c r="G323" s="583"/>
      <c r="H323" s="1048">
        <f t="shared" si="12"/>
        <v>0</v>
      </c>
      <c r="I323" s="560" t="s">
        <v>201</v>
      </c>
    </row>
    <row r="324" spans="1:9" x14ac:dyDescent="0.25">
      <c r="A324" s="2255"/>
      <c r="B324" s="2256"/>
      <c r="C324" s="556">
        <v>0</v>
      </c>
      <c r="D324" s="556">
        <v>0</v>
      </c>
      <c r="E324" s="557">
        <v>300</v>
      </c>
      <c r="F324" s="582">
        <v>1150</v>
      </c>
      <c r="G324" s="583"/>
      <c r="H324" s="1048">
        <f t="shared" si="12"/>
        <v>0</v>
      </c>
      <c r="I324" s="560" t="s">
        <v>1093</v>
      </c>
    </row>
    <row r="325" spans="1:9" x14ac:dyDescent="0.25">
      <c r="A325" s="2255"/>
      <c r="B325" s="2256"/>
      <c r="C325" s="556">
        <v>0</v>
      </c>
      <c r="D325" s="556">
        <v>0</v>
      </c>
      <c r="E325" s="557">
        <v>73</v>
      </c>
      <c r="F325" s="582">
        <v>1210</v>
      </c>
      <c r="G325" s="583"/>
      <c r="H325" s="1048">
        <f t="shared" si="12"/>
        <v>0</v>
      </c>
      <c r="I325" s="560"/>
    </row>
    <row r="326" spans="1:9" x14ac:dyDescent="0.25">
      <c r="A326" s="2255"/>
      <c r="B326" s="2256"/>
      <c r="C326" s="556">
        <v>0</v>
      </c>
      <c r="D326" s="556">
        <v>0</v>
      </c>
      <c r="E326" s="557">
        <v>30</v>
      </c>
      <c r="F326" s="582">
        <v>2390</v>
      </c>
      <c r="G326" s="583"/>
      <c r="H326" s="1048">
        <f t="shared" si="12"/>
        <v>0</v>
      </c>
      <c r="I326" s="560" t="s">
        <v>1102</v>
      </c>
    </row>
    <row r="327" spans="1:9" x14ac:dyDescent="0.25">
      <c r="A327" s="2255"/>
      <c r="B327" s="2256"/>
      <c r="C327" s="556">
        <v>0</v>
      </c>
      <c r="D327" s="556">
        <v>0</v>
      </c>
      <c r="E327" s="557">
        <v>50</v>
      </c>
      <c r="F327" s="582">
        <v>2311</v>
      </c>
      <c r="G327" s="583"/>
      <c r="H327" s="1048">
        <f t="shared" si="12"/>
        <v>0</v>
      </c>
      <c r="I327" s="560" t="s">
        <v>1103</v>
      </c>
    </row>
    <row r="328" spans="1:9" x14ac:dyDescent="0.25">
      <c r="A328" s="2255" t="s">
        <v>1104</v>
      </c>
      <c r="B328" s="2256" t="s">
        <v>1105</v>
      </c>
      <c r="C328" s="556">
        <v>0</v>
      </c>
      <c r="D328" s="556">
        <v>0</v>
      </c>
      <c r="E328" s="557">
        <v>300</v>
      </c>
      <c r="F328" s="582">
        <v>1150</v>
      </c>
      <c r="G328" s="583"/>
      <c r="H328" s="1048">
        <f t="shared" si="12"/>
        <v>0</v>
      </c>
      <c r="I328" s="560" t="s">
        <v>1093</v>
      </c>
    </row>
    <row r="329" spans="1:9" x14ac:dyDescent="0.25">
      <c r="A329" s="2255"/>
      <c r="B329" s="2256"/>
      <c r="C329" s="556">
        <v>0</v>
      </c>
      <c r="D329" s="556">
        <v>0</v>
      </c>
      <c r="E329" s="557">
        <v>73</v>
      </c>
      <c r="F329" s="582">
        <v>1210</v>
      </c>
      <c r="G329" s="583"/>
      <c r="H329" s="1048">
        <f t="shared" si="12"/>
        <v>0</v>
      </c>
      <c r="I329" s="560"/>
    </row>
    <row r="330" spans="1:9" x14ac:dyDescent="0.25">
      <c r="A330" s="2255"/>
      <c r="B330" s="2256"/>
      <c r="C330" s="556">
        <v>0</v>
      </c>
      <c r="D330" s="556">
        <v>0</v>
      </c>
      <c r="E330" s="557">
        <v>200</v>
      </c>
      <c r="F330" s="582">
        <v>2231</v>
      </c>
      <c r="G330" s="583"/>
      <c r="H330" s="1048">
        <f t="shared" si="12"/>
        <v>0</v>
      </c>
      <c r="I330" s="560" t="s">
        <v>929</v>
      </c>
    </row>
    <row r="331" spans="1:9" x14ac:dyDescent="0.25">
      <c r="A331" s="2255"/>
      <c r="B331" s="2256"/>
      <c r="C331" s="556">
        <v>0</v>
      </c>
      <c r="D331" s="556">
        <v>0</v>
      </c>
      <c r="E331" s="557">
        <v>100</v>
      </c>
      <c r="F331" s="582">
        <v>2370</v>
      </c>
      <c r="G331" s="583"/>
      <c r="H331" s="1048">
        <f t="shared" si="12"/>
        <v>0</v>
      </c>
      <c r="I331" s="560" t="s">
        <v>1106</v>
      </c>
    </row>
    <row r="332" spans="1:9" x14ac:dyDescent="0.25">
      <c r="A332" s="2255" t="s">
        <v>1107</v>
      </c>
      <c r="B332" s="2256" t="s">
        <v>1108</v>
      </c>
      <c r="C332" s="556">
        <v>0</v>
      </c>
      <c r="D332" s="556">
        <v>0</v>
      </c>
      <c r="E332" s="557">
        <v>1000</v>
      </c>
      <c r="F332" s="582">
        <v>1150</v>
      </c>
      <c r="G332" s="583">
        <v>700</v>
      </c>
      <c r="H332" s="1048">
        <f t="shared" si="12"/>
        <v>997</v>
      </c>
      <c r="I332" s="560" t="s">
        <v>1109</v>
      </c>
    </row>
    <row r="333" spans="1:9" x14ac:dyDescent="0.25">
      <c r="A333" s="2255"/>
      <c r="B333" s="2256"/>
      <c r="C333" s="556">
        <v>0</v>
      </c>
      <c r="D333" s="556">
        <v>0</v>
      </c>
      <c r="E333" s="557">
        <v>241</v>
      </c>
      <c r="F333" s="582">
        <v>1210</v>
      </c>
      <c r="G333" s="583">
        <v>166</v>
      </c>
      <c r="H333" s="1048">
        <f t="shared" si="12"/>
        <v>237</v>
      </c>
      <c r="I333" s="560"/>
    </row>
    <row r="334" spans="1:9" x14ac:dyDescent="0.25">
      <c r="A334" s="2255"/>
      <c r="B334" s="2256"/>
      <c r="C334" s="556">
        <v>0</v>
      </c>
      <c r="D334" s="556">
        <v>0</v>
      </c>
      <c r="E334" s="557">
        <v>400</v>
      </c>
      <c r="F334" s="582">
        <v>2231</v>
      </c>
      <c r="G334" s="583">
        <v>300</v>
      </c>
      <c r="H334" s="1048">
        <f t="shared" si="12"/>
        <v>427</v>
      </c>
      <c r="I334" s="560" t="s">
        <v>929</v>
      </c>
    </row>
    <row r="335" spans="1:9" x14ac:dyDescent="0.25">
      <c r="A335" s="2255"/>
      <c r="B335" s="2256"/>
      <c r="C335" s="556">
        <v>0</v>
      </c>
      <c r="D335" s="556">
        <v>0</v>
      </c>
      <c r="E335" s="557">
        <v>100</v>
      </c>
      <c r="F335" s="582">
        <v>2311</v>
      </c>
      <c r="G335" s="583">
        <v>100</v>
      </c>
      <c r="H335" s="1048">
        <f t="shared" si="12"/>
        <v>143</v>
      </c>
      <c r="I335" s="560" t="s">
        <v>1103</v>
      </c>
    </row>
    <row r="336" spans="1:9" x14ac:dyDescent="0.25">
      <c r="A336" s="2255"/>
      <c r="B336" s="2256"/>
      <c r="C336" s="556">
        <v>0</v>
      </c>
      <c r="D336" s="556">
        <v>0</v>
      </c>
      <c r="E336" s="557">
        <v>400</v>
      </c>
      <c r="F336" s="582">
        <v>2261</v>
      </c>
      <c r="G336" s="583">
        <v>400</v>
      </c>
      <c r="H336" s="1048">
        <f t="shared" si="12"/>
        <v>570</v>
      </c>
      <c r="I336" s="560" t="s">
        <v>260</v>
      </c>
    </row>
    <row r="337" spans="1:250" x14ac:dyDescent="0.25">
      <c r="A337" s="2255" t="s">
        <v>1110</v>
      </c>
      <c r="B337" s="2256" t="s">
        <v>1111</v>
      </c>
      <c r="C337" s="556">
        <v>0</v>
      </c>
      <c r="D337" s="556">
        <v>0</v>
      </c>
      <c r="E337" s="557">
        <v>25</v>
      </c>
      <c r="F337" s="582">
        <v>2311</v>
      </c>
      <c r="G337" s="583">
        <v>25</v>
      </c>
      <c r="H337" s="1048">
        <f t="shared" si="12"/>
        <v>36</v>
      </c>
      <c r="I337" s="563"/>
    </row>
    <row r="338" spans="1:250" x14ac:dyDescent="0.25">
      <c r="A338" s="2255"/>
      <c r="B338" s="2256"/>
      <c r="C338" s="556">
        <v>0</v>
      </c>
      <c r="D338" s="556">
        <v>0</v>
      </c>
      <c r="E338" s="557">
        <v>200</v>
      </c>
      <c r="F338" s="582">
        <v>2279</v>
      </c>
      <c r="G338" s="583"/>
      <c r="H338" s="1048">
        <f t="shared" si="12"/>
        <v>0</v>
      </c>
      <c r="I338" s="563"/>
    </row>
    <row r="339" spans="1:250" x14ac:dyDescent="0.25">
      <c r="A339" s="2255"/>
      <c r="B339" s="2256"/>
      <c r="C339" s="556">
        <v>0</v>
      </c>
      <c r="D339" s="556">
        <v>0</v>
      </c>
      <c r="E339" s="557">
        <v>400</v>
      </c>
      <c r="F339" s="582">
        <v>2261</v>
      </c>
      <c r="G339" s="583"/>
      <c r="H339" s="1048">
        <f t="shared" si="12"/>
        <v>0</v>
      </c>
      <c r="I339" s="563"/>
    </row>
    <row r="340" spans="1:250" x14ac:dyDescent="0.25">
      <c r="A340" s="2255"/>
      <c r="B340" s="2256"/>
      <c r="C340" s="556">
        <v>0</v>
      </c>
      <c r="D340" s="556">
        <v>0</v>
      </c>
      <c r="E340" s="557">
        <v>120</v>
      </c>
      <c r="F340" s="582">
        <v>2231</v>
      </c>
      <c r="G340" s="583"/>
      <c r="H340" s="1048">
        <f t="shared" si="12"/>
        <v>0</v>
      </c>
      <c r="I340" s="563"/>
    </row>
    <row r="341" spans="1:250" s="637" customFormat="1" ht="15.75" x14ac:dyDescent="0.25">
      <c r="A341" s="2255"/>
      <c r="B341" s="2256"/>
      <c r="C341" s="556">
        <v>0</v>
      </c>
      <c r="D341" s="556">
        <v>0</v>
      </c>
      <c r="E341" s="557">
        <v>300</v>
      </c>
      <c r="F341" s="582">
        <v>2262</v>
      </c>
      <c r="G341" s="583"/>
      <c r="H341" s="1048">
        <f t="shared" si="12"/>
        <v>0</v>
      </c>
      <c r="I341" s="560" t="s">
        <v>1060</v>
      </c>
      <c r="J341" s="330"/>
      <c r="K341" s="330"/>
      <c r="L341" s="330"/>
      <c r="M341" s="330"/>
      <c r="N341" s="330"/>
      <c r="O341" s="330"/>
      <c r="P341" s="330"/>
      <c r="Q341" s="330"/>
      <c r="R341" s="330"/>
      <c r="S341" s="330"/>
      <c r="T341" s="330"/>
      <c r="U341" s="330"/>
      <c r="V341" s="330"/>
      <c r="W341" s="330"/>
      <c r="X341" s="330"/>
      <c r="Y341" s="330"/>
      <c r="Z341" s="330"/>
      <c r="AA341" s="330"/>
      <c r="AB341" s="330"/>
      <c r="AC341" s="330"/>
      <c r="AD341" s="330"/>
      <c r="AE341" s="330"/>
      <c r="AF341" s="330"/>
      <c r="AG341" s="330"/>
      <c r="AH341" s="330"/>
      <c r="AI341" s="330"/>
      <c r="AJ341" s="330"/>
      <c r="AK341" s="330"/>
      <c r="AL341" s="330"/>
      <c r="AM341" s="330"/>
      <c r="AN341" s="330"/>
      <c r="AO341" s="330"/>
      <c r="AP341" s="330"/>
      <c r="AQ341" s="330"/>
      <c r="AR341" s="330"/>
      <c r="AS341" s="330"/>
      <c r="AT341" s="330"/>
      <c r="AU341" s="330"/>
      <c r="AV341" s="330"/>
      <c r="AW341" s="330"/>
      <c r="AX341" s="330"/>
      <c r="AY341" s="330"/>
      <c r="AZ341" s="330"/>
      <c r="BA341" s="330"/>
      <c r="BB341" s="330"/>
      <c r="BC341" s="330"/>
      <c r="BD341" s="330"/>
      <c r="BE341" s="330"/>
      <c r="BF341" s="330"/>
      <c r="BG341" s="330"/>
      <c r="BH341" s="330"/>
      <c r="BI341" s="330"/>
      <c r="BJ341" s="330"/>
      <c r="BK341" s="330"/>
      <c r="BL341" s="330"/>
      <c r="BM341" s="330"/>
      <c r="BN341" s="330"/>
      <c r="BO341" s="330"/>
      <c r="BP341" s="330"/>
      <c r="BQ341" s="330"/>
      <c r="BR341" s="330"/>
      <c r="BS341" s="330"/>
      <c r="BT341" s="330"/>
      <c r="BU341" s="330"/>
      <c r="BV341" s="330"/>
      <c r="BW341" s="330"/>
      <c r="BX341" s="330"/>
      <c r="BY341" s="330"/>
      <c r="BZ341" s="330"/>
      <c r="CA341" s="330"/>
      <c r="CB341" s="330"/>
      <c r="CC341" s="330"/>
      <c r="CD341" s="330"/>
      <c r="CE341" s="330"/>
      <c r="CF341" s="330"/>
      <c r="CG341" s="330"/>
      <c r="CH341" s="330"/>
      <c r="CI341" s="330"/>
      <c r="CJ341" s="330"/>
      <c r="CK341" s="330"/>
      <c r="CL341" s="330"/>
      <c r="CM341" s="330"/>
      <c r="CN341" s="330"/>
      <c r="CO341" s="330"/>
      <c r="CP341" s="330"/>
      <c r="CQ341" s="330"/>
      <c r="CR341" s="330"/>
      <c r="CS341" s="330"/>
      <c r="CT341" s="330"/>
      <c r="CU341" s="330"/>
      <c r="CV341" s="330"/>
      <c r="CW341" s="330"/>
      <c r="CX341" s="330"/>
      <c r="CY341" s="330"/>
      <c r="CZ341" s="330"/>
      <c r="DA341" s="330"/>
      <c r="DB341" s="330"/>
      <c r="DC341" s="330"/>
      <c r="DD341" s="330"/>
      <c r="DE341" s="330"/>
      <c r="DF341" s="330"/>
      <c r="DG341" s="330"/>
      <c r="DH341" s="330"/>
      <c r="DI341" s="330"/>
      <c r="DJ341" s="330"/>
      <c r="DK341" s="330"/>
      <c r="DL341" s="330"/>
      <c r="DM341" s="330"/>
      <c r="DN341" s="330"/>
      <c r="DO341" s="330"/>
      <c r="DP341" s="330"/>
      <c r="DQ341" s="330"/>
      <c r="DR341" s="330"/>
      <c r="DS341" s="330"/>
      <c r="DT341" s="330"/>
      <c r="DU341" s="330"/>
      <c r="DV341" s="330"/>
      <c r="DW341" s="330"/>
      <c r="DX341" s="330"/>
      <c r="DY341" s="330"/>
      <c r="DZ341" s="330"/>
      <c r="EA341" s="330"/>
      <c r="EB341" s="330"/>
      <c r="EC341" s="330"/>
      <c r="ED341" s="330"/>
      <c r="EE341" s="330"/>
      <c r="EF341" s="330"/>
      <c r="EG341" s="330"/>
      <c r="EH341" s="330"/>
      <c r="EI341" s="330"/>
      <c r="EJ341" s="330"/>
      <c r="EK341" s="330"/>
      <c r="EL341" s="330"/>
      <c r="EM341" s="330"/>
      <c r="EN341" s="330"/>
      <c r="EO341" s="330"/>
      <c r="EP341" s="330"/>
      <c r="EQ341" s="330"/>
      <c r="ER341" s="330"/>
      <c r="ES341" s="330"/>
      <c r="ET341" s="330"/>
      <c r="EU341" s="330"/>
      <c r="EV341" s="330"/>
      <c r="EW341" s="330"/>
      <c r="EX341" s="330"/>
      <c r="EY341" s="330"/>
      <c r="EZ341" s="330"/>
      <c r="FA341" s="330"/>
      <c r="FB341" s="330"/>
      <c r="FC341" s="330"/>
      <c r="FD341" s="330"/>
      <c r="FE341" s="330"/>
      <c r="FF341" s="330"/>
      <c r="FG341" s="330"/>
      <c r="FH341" s="330"/>
      <c r="FI341" s="330"/>
      <c r="FJ341" s="330"/>
      <c r="FK341" s="330"/>
      <c r="FL341" s="330"/>
      <c r="FM341" s="330"/>
      <c r="FN341" s="330"/>
      <c r="FO341" s="330"/>
      <c r="FP341" s="330"/>
      <c r="FQ341" s="330"/>
      <c r="FR341" s="330"/>
      <c r="FS341" s="330"/>
      <c r="FT341" s="330"/>
      <c r="FU341" s="330"/>
      <c r="FV341" s="330"/>
      <c r="FW341" s="330"/>
      <c r="FX341" s="330"/>
      <c r="FY341" s="330"/>
      <c r="FZ341" s="330"/>
      <c r="GA341" s="330"/>
      <c r="GB341" s="330"/>
      <c r="GC341" s="330"/>
      <c r="GD341" s="330"/>
      <c r="GE341" s="330"/>
      <c r="GF341" s="330"/>
      <c r="GG341" s="330"/>
      <c r="GH341" s="330"/>
      <c r="GI341" s="330"/>
      <c r="GJ341" s="330"/>
      <c r="GK341" s="330"/>
      <c r="GL341" s="330"/>
      <c r="GM341" s="330"/>
      <c r="GN341" s="330"/>
      <c r="GO341" s="330"/>
      <c r="GP341" s="330"/>
      <c r="GQ341" s="330"/>
      <c r="GR341" s="330"/>
      <c r="GS341" s="330"/>
      <c r="GT341" s="330"/>
      <c r="GU341" s="330"/>
      <c r="GV341" s="330"/>
      <c r="GW341" s="330"/>
      <c r="GX341" s="330"/>
      <c r="GY341" s="330"/>
      <c r="GZ341" s="330"/>
      <c r="HA341" s="330"/>
      <c r="HB341" s="330"/>
      <c r="HC341" s="330"/>
      <c r="HD341" s="330"/>
      <c r="HE341" s="330"/>
      <c r="HF341" s="330"/>
      <c r="HG341" s="330"/>
      <c r="HH341" s="330"/>
      <c r="HI341" s="330"/>
      <c r="HJ341" s="330"/>
      <c r="HK341" s="330"/>
      <c r="HL341" s="330"/>
      <c r="HM341" s="330"/>
      <c r="HN341" s="330"/>
      <c r="HO341" s="330"/>
      <c r="HP341" s="330"/>
      <c r="HQ341" s="330"/>
      <c r="HR341" s="330"/>
      <c r="HS341" s="330"/>
      <c r="HT341" s="330"/>
      <c r="HU341" s="330"/>
      <c r="HV341" s="330"/>
      <c r="HW341" s="330"/>
      <c r="HX341" s="330"/>
      <c r="HY341" s="330"/>
      <c r="HZ341" s="330"/>
      <c r="IA341" s="330"/>
      <c r="IB341" s="330"/>
      <c r="IC341" s="330"/>
      <c r="ID341" s="330"/>
      <c r="IE341" s="330"/>
      <c r="IF341" s="330"/>
      <c r="IG341" s="330"/>
      <c r="IH341" s="330"/>
      <c r="II341" s="330"/>
      <c r="IJ341" s="330"/>
      <c r="IK341" s="330"/>
      <c r="IL341" s="330"/>
      <c r="IM341" s="330"/>
      <c r="IN341" s="330"/>
      <c r="IO341" s="330"/>
      <c r="IP341" s="330"/>
    </row>
    <row r="342" spans="1:250" s="638" customFormat="1" x14ac:dyDescent="0.25">
      <c r="A342" s="2255"/>
      <c r="B342" s="2256"/>
      <c r="C342" s="556">
        <v>0</v>
      </c>
      <c r="D342" s="556">
        <v>0</v>
      </c>
      <c r="E342" s="557">
        <v>300</v>
      </c>
      <c r="F342" s="582">
        <v>1150</v>
      </c>
      <c r="G342" s="583"/>
      <c r="H342" s="1048">
        <f t="shared" si="12"/>
        <v>0</v>
      </c>
      <c r="I342" s="563"/>
      <c r="J342" s="330"/>
      <c r="K342" s="330"/>
      <c r="L342" s="330"/>
      <c r="M342" s="330"/>
      <c r="N342" s="330"/>
      <c r="O342" s="330"/>
      <c r="P342" s="330"/>
      <c r="Q342" s="330"/>
      <c r="R342" s="330"/>
      <c r="S342" s="330"/>
      <c r="T342" s="330"/>
      <c r="U342" s="330"/>
      <c r="V342" s="330"/>
      <c r="W342" s="330"/>
      <c r="X342" s="330"/>
      <c r="Y342" s="330"/>
      <c r="Z342" s="330"/>
      <c r="AA342" s="330"/>
      <c r="AB342" s="330"/>
      <c r="AC342" s="330"/>
      <c r="AD342" s="330"/>
      <c r="AE342" s="330"/>
      <c r="AF342" s="330"/>
      <c r="AG342" s="330"/>
      <c r="AH342" s="330"/>
      <c r="AI342" s="330"/>
      <c r="AJ342" s="330"/>
      <c r="AK342" s="330"/>
      <c r="AL342" s="330"/>
      <c r="AM342" s="330"/>
      <c r="AN342" s="330"/>
      <c r="AO342" s="330"/>
      <c r="AP342" s="330"/>
      <c r="AQ342" s="330"/>
      <c r="AR342" s="330"/>
      <c r="AS342" s="330"/>
      <c r="AT342" s="330"/>
      <c r="AU342" s="330"/>
      <c r="AV342" s="330"/>
      <c r="AW342" s="330"/>
      <c r="AX342" s="330"/>
      <c r="AY342" s="330"/>
      <c r="AZ342" s="330"/>
      <c r="BA342" s="330"/>
      <c r="BB342" s="330"/>
      <c r="BC342" s="330"/>
      <c r="BD342" s="330"/>
      <c r="BE342" s="330"/>
      <c r="BF342" s="330"/>
      <c r="BG342" s="330"/>
      <c r="BH342" s="330"/>
      <c r="BI342" s="330"/>
      <c r="BJ342" s="330"/>
      <c r="BK342" s="330"/>
      <c r="BL342" s="330"/>
      <c r="BM342" s="330"/>
      <c r="BN342" s="330"/>
      <c r="BO342" s="330"/>
      <c r="BP342" s="330"/>
      <c r="BQ342" s="330"/>
      <c r="BR342" s="330"/>
      <c r="BS342" s="330"/>
      <c r="BT342" s="330"/>
      <c r="BU342" s="330"/>
      <c r="BV342" s="330"/>
      <c r="BW342" s="330"/>
      <c r="BX342" s="330"/>
      <c r="BY342" s="330"/>
      <c r="BZ342" s="330"/>
      <c r="CA342" s="330"/>
      <c r="CB342" s="330"/>
      <c r="CC342" s="330"/>
      <c r="CD342" s="330"/>
      <c r="CE342" s="330"/>
      <c r="CF342" s="330"/>
      <c r="CG342" s="330"/>
      <c r="CH342" s="330"/>
      <c r="CI342" s="330"/>
      <c r="CJ342" s="330"/>
      <c r="CK342" s="330"/>
      <c r="CL342" s="330"/>
      <c r="CM342" s="330"/>
      <c r="CN342" s="330"/>
      <c r="CO342" s="330"/>
      <c r="CP342" s="330"/>
      <c r="CQ342" s="330"/>
      <c r="CR342" s="330"/>
      <c r="CS342" s="330"/>
      <c r="CT342" s="330"/>
      <c r="CU342" s="330"/>
      <c r="CV342" s="330"/>
      <c r="CW342" s="330"/>
      <c r="CX342" s="330"/>
      <c r="CY342" s="330"/>
      <c r="CZ342" s="330"/>
      <c r="DA342" s="330"/>
      <c r="DB342" s="330"/>
      <c r="DC342" s="330"/>
      <c r="DD342" s="330"/>
      <c r="DE342" s="330"/>
      <c r="DF342" s="330"/>
      <c r="DG342" s="330"/>
      <c r="DH342" s="330"/>
      <c r="DI342" s="330"/>
      <c r="DJ342" s="330"/>
      <c r="DK342" s="330"/>
      <c r="DL342" s="330"/>
      <c r="DM342" s="330"/>
      <c r="DN342" s="330"/>
      <c r="DO342" s="330"/>
      <c r="DP342" s="330"/>
      <c r="DQ342" s="330"/>
      <c r="DR342" s="330"/>
      <c r="DS342" s="330"/>
      <c r="DT342" s="330"/>
      <c r="DU342" s="330"/>
      <c r="DV342" s="330"/>
      <c r="DW342" s="330"/>
      <c r="DX342" s="330"/>
      <c r="DY342" s="330"/>
      <c r="DZ342" s="330"/>
      <c r="EA342" s="330"/>
      <c r="EB342" s="330"/>
      <c r="EC342" s="330"/>
      <c r="ED342" s="330"/>
      <c r="EE342" s="330"/>
      <c r="EF342" s="330"/>
      <c r="EG342" s="330"/>
      <c r="EH342" s="330"/>
      <c r="EI342" s="330"/>
      <c r="EJ342" s="330"/>
      <c r="EK342" s="330"/>
      <c r="EL342" s="330"/>
      <c r="EM342" s="330"/>
      <c r="EN342" s="330"/>
      <c r="EO342" s="330"/>
      <c r="EP342" s="330"/>
      <c r="EQ342" s="330"/>
      <c r="ER342" s="330"/>
      <c r="ES342" s="330"/>
      <c r="ET342" s="330"/>
      <c r="EU342" s="330"/>
      <c r="EV342" s="330"/>
      <c r="EW342" s="330"/>
      <c r="EX342" s="330"/>
      <c r="EY342" s="330"/>
      <c r="EZ342" s="330"/>
      <c r="FA342" s="330"/>
      <c r="FB342" s="330"/>
      <c r="FC342" s="330"/>
      <c r="FD342" s="330"/>
      <c r="FE342" s="330"/>
      <c r="FF342" s="330"/>
      <c r="FG342" s="330"/>
      <c r="FH342" s="330"/>
      <c r="FI342" s="330"/>
      <c r="FJ342" s="330"/>
      <c r="FK342" s="330"/>
      <c r="FL342" s="330"/>
      <c r="FM342" s="330"/>
      <c r="FN342" s="330"/>
      <c r="FO342" s="330"/>
      <c r="FP342" s="330"/>
      <c r="FQ342" s="330"/>
      <c r="FR342" s="330"/>
      <c r="FS342" s="330"/>
      <c r="FT342" s="330"/>
      <c r="FU342" s="330"/>
      <c r="FV342" s="330"/>
      <c r="FW342" s="330"/>
      <c r="FX342" s="330"/>
      <c r="FY342" s="330"/>
      <c r="FZ342" s="330"/>
      <c r="GA342" s="330"/>
      <c r="GB342" s="330"/>
      <c r="GC342" s="330"/>
      <c r="GD342" s="330"/>
      <c r="GE342" s="330"/>
      <c r="GF342" s="330"/>
      <c r="GG342" s="330"/>
      <c r="GH342" s="330"/>
      <c r="GI342" s="330"/>
      <c r="GJ342" s="330"/>
      <c r="GK342" s="330"/>
      <c r="GL342" s="330"/>
      <c r="GM342" s="330"/>
      <c r="GN342" s="330"/>
      <c r="GO342" s="330"/>
      <c r="GP342" s="330"/>
      <c r="GQ342" s="330"/>
      <c r="GR342" s="330"/>
      <c r="GS342" s="330"/>
      <c r="GT342" s="330"/>
      <c r="GU342" s="330"/>
      <c r="GV342" s="330"/>
      <c r="GW342" s="330"/>
      <c r="GX342" s="330"/>
      <c r="GY342" s="330"/>
      <c r="GZ342" s="330"/>
      <c r="HA342" s="330"/>
      <c r="HB342" s="330"/>
      <c r="HC342" s="330"/>
      <c r="HD342" s="330"/>
      <c r="HE342" s="330"/>
      <c r="HF342" s="330"/>
      <c r="HG342" s="330"/>
      <c r="HH342" s="330"/>
      <c r="HI342" s="330"/>
      <c r="HJ342" s="330"/>
      <c r="HK342" s="330"/>
      <c r="HL342" s="330"/>
      <c r="HM342" s="330"/>
      <c r="HN342" s="330"/>
      <c r="HO342" s="330"/>
      <c r="HP342" s="330"/>
      <c r="HQ342" s="330"/>
      <c r="HR342" s="330"/>
      <c r="HS342" s="330"/>
      <c r="HT342" s="330"/>
      <c r="HU342" s="330"/>
      <c r="HV342" s="330"/>
      <c r="HW342" s="330"/>
      <c r="HX342" s="330"/>
      <c r="HY342" s="330"/>
      <c r="HZ342" s="330"/>
      <c r="IA342" s="330"/>
      <c r="IB342" s="330"/>
      <c r="IC342" s="330"/>
      <c r="ID342" s="330"/>
      <c r="IE342" s="330"/>
      <c r="IF342" s="330"/>
      <c r="IG342" s="330"/>
      <c r="IH342" s="330"/>
      <c r="II342" s="330"/>
      <c r="IJ342" s="330"/>
      <c r="IK342" s="330"/>
      <c r="IL342" s="330"/>
      <c r="IM342" s="330"/>
      <c r="IN342" s="330"/>
      <c r="IO342" s="330"/>
      <c r="IP342" s="330"/>
    </row>
    <row r="343" spans="1:250" s="638" customFormat="1" x14ac:dyDescent="0.25">
      <c r="A343" s="2255"/>
      <c r="B343" s="2256"/>
      <c r="C343" s="556">
        <v>0</v>
      </c>
      <c r="D343" s="556">
        <v>0</v>
      </c>
      <c r="E343" s="557">
        <v>75</v>
      </c>
      <c r="F343" s="582">
        <v>1210</v>
      </c>
      <c r="G343" s="583"/>
      <c r="H343" s="1048">
        <f t="shared" si="12"/>
        <v>0</v>
      </c>
      <c r="I343" s="563"/>
      <c r="J343" s="330"/>
      <c r="K343" s="330"/>
      <c r="L343" s="330"/>
      <c r="M343" s="330"/>
      <c r="N343" s="330"/>
      <c r="O343" s="330"/>
      <c r="P343" s="330"/>
      <c r="Q343" s="330"/>
      <c r="R343" s="330"/>
      <c r="S343" s="330"/>
      <c r="T343" s="330"/>
      <c r="U343" s="330"/>
      <c r="V343" s="330"/>
      <c r="W343" s="330"/>
      <c r="X343" s="330"/>
      <c r="Y343" s="330"/>
      <c r="Z343" s="330"/>
      <c r="AA343" s="330"/>
      <c r="AB343" s="330"/>
      <c r="AC343" s="330"/>
      <c r="AD343" s="330"/>
      <c r="AE343" s="330"/>
      <c r="AF343" s="330"/>
      <c r="AG343" s="330"/>
      <c r="AH343" s="330"/>
      <c r="AI343" s="330"/>
      <c r="AJ343" s="330"/>
      <c r="AK343" s="330"/>
      <c r="AL343" s="330"/>
      <c r="AM343" s="330"/>
      <c r="AN343" s="330"/>
      <c r="AO343" s="330"/>
      <c r="AP343" s="330"/>
      <c r="AQ343" s="330"/>
      <c r="AR343" s="330"/>
      <c r="AS343" s="330"/>
      <c r="AT343" s="330"/>
      <c r="AU343" s="330"/>
      <c r="AV343" s="330"/>
      <c r="AW343" s="330"/>
      <c r="AX343" s="330"/>
      <c r="AY343" s="330"/>
      <c r="AZ343" s="330"/>
      <c r="BA343" s="330"/>
      <c r="BB343" s="330"/>
      <c r="BC343" s="330"/>
      <c r="BD343" s="330"/>
      <c r="BE343" s="330"/>
      <c r="BF343" s="330"/>
      <c r="BG343" s="330"/>
      <c r="BH343" s="330"/>
      <c r="BI343" s="330"/>
      <c r="BJ343" s="330"/>
      <c r="BK343" s="330"/>
      <c r="BL343" s="330"/>
      <c r="BM343" s="330"/>
      <c r="BN343" s="330"/>
      <c r="BO343" s="330"/>
      <c r="BP343" s="330"/>
      <c r="BQ343" s="330"/>
      <c r="BR343" s="330"/>
      <c r="BS343" s="330"/>
      <c r="BT343" s="330"/>
      <c r="BU343" s="330"/>
      <c r="BV343" s="330"/>
      <c r="BW343" s="330"/>
      <c r="BX343" s="330"/>
      <c r="BY343" s="330"/>
      <c r="BZ343" s="330"/>
      <c r="CA343" s="330"/>
      <c r="CB343" s="330"/>
      <c r="CC343" s="330"/>
      <c r="CD343" s="330"/>
      <c r="CE343" s="330"/>
      <c r="CF343" s="330"/>
      <c r="CG343" s="330"/>
      <c r="CH343" s="330"/>
      <c r="CI343" s="330"/>
      <c r="CJ343" s="330"/>
      <c r="CK343" s="330"/>
      <c r="CL343" s="330"/>
      <c r="CM343" s="330"/>
      <c r="CN343" s="330"/>
      <c r="CO343" s="330"/>
      <c r="CP343" s="330"/>
      <c r="CQ343" s="330"/>
      <c r="CR343" s="330"/>
      <c r="CS343" s="330"/>
      <c r="CT343" s="330"/>
      <c r="CU343" s="330"/>
      <c r="CV343" s="330"/>
      <c r="CW343" s="330"/>
      <c r="CX343" s="330"/>
      <c r="CY343" s="330"/>
      <c r="CZ343" s="330"/>
      <c r="DA343" s="330"/>
      <c r="DB343" s="330"/>
      <c r="DC343" s="330"/>
      <c r="DD343" s="330"/>
      <c r="DE343" s="330"/>
      <c r="DF343" s="330"/>
      <c r="DG343" s="330"/>
      <c r="DH343" s="330"/>
      <c r="DI343" s="330"/>
      <c r="DJ343" s="330"/>
      <c r="DK343" s="330"/>
      <c r="DL343" s="330"/>
      <c r="DM343" s="330"/>
      <c r="DN343" s="330"/>
      <c r="DO343" s="330"/>
      <c r="DP343" s="330"/>
      <c r="DQ343" s="330"/>
      <c r="DR343" s="330"/>
      <c r="DS343" s="330"/>
      <c r="DT343" s="330"/>
      <c r="DU343" s="330"/>
      <c r="DV343" s="330"/>
      <c r="DW343" s="330"/>
      <c r="DX343" s="330"/>
      <c r="DY343" s="330"/>
      <c r="DZ343" s="330"/>
      <c r="EA343" s="330"/>
      <c r="EB343" s="330"/>
      <c r="EC343" s="330"/>
      <c r="ED343" s="330"/>
      <c r="EE343" s="330"/>
      <c r="EF343" s="330"/>
      <c r="EG343" s="330"/>
      <c r="EH343" s="330"/>
      <c r="EI343" s="330"/>
      <c r="EJ343" s="330"/>
      <c r="EK343" s="330"/>
      <c r="EL343" s="330"/>
      <c r="EM343" s="330"/>
      <c r="EN343" s="330"/>
      <c r="EO343" s="330"/>
      <c r="EP343" s="330"/>
      <c r="EQ343" s="330"/>
      <c r="ER343" s="330"/>
      <c r="ES343" s="330"/>
      <c r="ET343" s="330"/>
      <c r="EU343" s="330"/>
      <c r="EV343" s="330"/>
      <c r="EW343" s="330"/>
      <c r="EX343" s="330"/>
      <c r="EY343" s="330"/>
      <c r="EZ343" s="330"/>
      <c r="FA343" s="330"/>
      <c r="FB343" s="330"/>
      <c r="FC343" s="330"/>
      <c r="FD343" s="330"/>
      <c r="FE343" s="330"/>
      <c r="FF343" s="330"/>
      <c r="FG343" s="330"/>
      <c r="FH343" s="330"/>
      <c r="FI343" s="330"/>
      <c r="FJ343" s="330"/>
      <c r="FK343" s="330"/>
      <c r="FL343" s="330"/>
      <c r="FM343" s="330"/>
      <c r="FN343" s="330"/>
      <c r="FO343" s="330"/>
      <c r="FP343" s="330"/>
      <c r="FQ343" s="330"/>
      <c r="FR343" s="330"/>
      <c r="FS343" s="330"/>
      <c r="FT343" s="330"/>
      <c r="FU343" s="330"/>
      <c r="FV343" s="330"/>
      <c r="FW343" s="330"/>
      <c r="FX343" s="330"/>
      <c r="FY343" s="330"/>
      <c r="FZ343" s="330"/>
      <c r="GA343" s="330"/>
      <c r="GB343" s="330"/>
      <c r="GC343" s="330"/>
      <c r="GD343" s="330"/>
      <c r="GE343" s="330"/>
      <c r="GF343" s="330"/>
      <c r="GG343" s="330"/>
      <c r="GH343" s="330"/>
      <c r="GI343" s="330"/>
      <c r="GJ343" s="330"/>
      <c r="GK343" s="330"/>
      <c r="GL343" s="330"/>
      <c r="GM343" s="330"/>
      <c r="GN343" s="330"/>
      <c r="GO343" s="330"/>
      <c r="GP343" s="330"/>
      <c r="GQ343" s="330"/>
      <c r="GR343" s="330"/>
      <c r="GS343" s="330"/>
      <c r="GT343" s="330"/>
      <c r="GU343" s="330"/>
      <c r="GV343" s="330"/>
      <c r="GW343" s="330"/>
      <c r="GX343" s="330"/>
      <c r="GY343" s="330"/>
      <c r="GZ343" s="330"/>
      <c r="HA343" s="330"/>
      <c r="HB343" s="330"/>
      <c r="HC343" s="330"/>
      <c r="HD343" s="330"/>
      <c r="HE343" s="330"/>
      <c r="HF343" s="330"/>
      <c r="HG343" s="330"/>
      <c r="HH343" s="330"/>
      <c r="HI343" s="330"/>
      <c r="HJ343" s="330"/>
      <c r="HK343" s="330"/>
      <c r="HL343" s="330"/>
      <c r="HM343" s="330"/>
      <c r="HN343" s="330"/>
      <c r="HO343" s="330"/>
      <c r="HP343" s="330"/>
      <c r="HQ343" s="330"/>
      <c r="HR343" s="330"/>
      <c r="HS343" s="330"/>
      <c r="HT343" s="330"/>
      <c r="HU343" s="330"/>
      <c r="HV343" s="330"/>
      <c r="HW343" s="330"/>
      <c r="HX343" s="330"/>
      <c r="HY343" s="330"/>
      <c r="HZ343" s="330"/>
      <c r="IA343" s="330"/>
      <c r="IB343" s="330"/>
      <c r="IC343" s="330"/>
      <c r="ID343" s="330"/>
      <c r="IE343" s="330"/>
      <c r="IF343" s="330"/>
      <c r="IG343" s="330"/>
      <c r="IH343" s="330"/>
      <c r="II343" s="330"/>
      <c r="IJ343" s="330"/>
      <c r="IK343" s="330"/>
      <c r="IL343" s="330"/>
      <c r="IM343" s="330"/>
      <c r="IN343" s="330"/>
      <c r="IO343" s="330"/>
      <c r="IP343" s="330"/>
    </row>
    <row r="344" spans="1:250" s="639" customFormat="1" x14ac:dyDescent="0.25">
      <c r="A344" s="2251" t="s">
        <v>1112</v>
      </c>
      <c r="B344" s="2253" t="s">
        <v>1113</v>
      </c>
      <c r="C344" s="556">
        <v>0</v>
      </c>
      <c r="D344" s="556">
        <v>0</v>
      </c>
      <c r="E344" s="557">
        <v>2000</v>
      </c>
      <c r="F344" s="582">
        <v>1150</v>
      </c>
      <c r="G344" s="583"/>
      <c r="H344" s="1048">
        <f t="shared" si="12"/>
        <v>0</v>
      </c>
      <c r="I344" s="560" t="s">
        <v>1114</v>
      </c>
      <c r="J344" s="330"/>
      <c r="K344" s="330"/>
      <c r="L344" s="330"/>
      <c r="M344" s="330"/>
      <c r="N344" s="330"/>
      <c r="O344" s="330"/>
      <c r="P344" s="330"/>
      <c r="Q344" s="330"/>
      <c r="R344" s="330"/>
      <c r="S344" s="330"/>
      <c r="T344" s="330"/>
      <c r="U344" s="330"/>
      <c r="V344" s="330"/>
      <c r="W344" s="330"/>
      <c r="X344" s="330"/>
      <c r="Y344" s="330"/>
      <c r="Z344" s="330"/>
      <c r="AA344" s="330"/>
      <c r="AB344" s="330"/>
      <c r="AC344" s="330"/>
      <c r="AD344" s="330"/>
      <c r="AE344" s="330"/>
      <c r="AF344" s="330"/>
      <c r="AG344" s="330"/>
      <c r="AH344" s="330"/>
      <c r="AI344" s="330"/>
      <c r="AJ344" s="330"/>
      <c r="AK344" s="330"/>
      <c r="AL344" s="330"/>
      <c r="AM344" s="330"/>
      <c r="AN344" s="330"/>
      <c r="AO344" s="330"/>
      <c r="AP344" s="330"/>
      <c r="AQ344" s="330"/>
      <c r="AR344" s="330"/>
      <c r="AS344" s="330"/>
      <c r="AT344" s="330"/>
      <c r="AU344" s="330"/>
      <c r="AV344" s="330"/>
      <c r="AW344" s="330"/>
      <c r="AX344" s="330"/>
      <c r="AY344" s="330"/>
      <c r="AZ344" s="330"/>
      <c r="BA344" s="330"/>
      <c r="BB344" s="330"/>
      <c r="BC344" s="330"/>
      <c r="BD344" s="330"/>
      <c r="BE344" s="330"/>
      <c r="BF344" s="330"/>
      <c r="BG344" s="330"/>
      <c r="BH344" s="330"/>
      <c r="BI344" s="330"/>
      <c r="BJ344" s="330"/>
      <c r="BK344" s="330"/>
      <c r="BL344" s="330"/>
      <c r="BM344" s="330"/>
      <c r="BN344" s="330"/>
      <c r="BO344" s="330"/>
      <c r="BP344" s="330"/>
      <c r="BQ344" s="330"/>
      <c r="BR344" s="330"/>
      <c r="BS344" s="330"/>
      <c r="BT344" s="330"/>
      <c r="BU344" s="330"/>
      <c r="BV344" s="330"/>
      <c r="BW344" s="330"/>
      <c r="BX344" s="330"/>
      <c r="BY344" s="330"/>
      <c r="BZ344" s="330"/>
      <c r="CA344" s="330"/>
      <c r="CB344" s="330"/>
      <c r="CC344" s="330"/>
      <c r="CD344" s="330"/>
      <c r="CE344" s="330"/>
      <c r="CF344" s="330"/>
      <c r="CG344" s="330"/>
      <c r="CH344" s="330"/>
      <c r="CI344" s="330"/>
      <c r="CJ344" s="330"/>
      <c r="CK344" s="330"/>
      <c r="CL344" s="330"/>
      <c r="CM344" s="330"/>
      <c r="CN344" s="330"/>
      <c r="CO344" s="330"/>
      <c r="CP344" s="330"/>
      <c r="CQ344" s="330"/>
      <c r="CR344" s="330"/>
      <c r="CS344" s="330"/>
      <c r="CT344" s="330"/>
      <c r="CU344" s="330"/>
      <c r="CV344" s="330"/>
      <c r="CW344" s="330"/>
      <c r="CX344" s="330"/>
      <c r="CY344" s="330"/>
      <c r="CZ344" s="330"/>
      <c r="DA344" s="330"/>
      <c r="DB344" s="330"/>
      <c r="DC344" s="330"/>
      <c r="DD344" s="330"/>
      <c r="DE344" s="330"/>
      <c r="DF344" s="330"/>
      <c r="DG344" s="330"/>
      <c r="DH344" s="330"/>
      <c r="DI344" s="330"/>
      <c r="DJ344" s="330"/>
      <c r="DK344" s="330"/>
      <c r="DL344" s="330"/>
      <c r="DM344" s="330"/>
      <c r="DN344" s="330"/>
      <c r="DO344" s="330"/>
      <c r="DP344" s="330"/>
      <c r="DQ344" s="330"/>
      <c r="DR344" s="330"/>
      <c r="DS344" s="330"/>
      <c r="DT344" s="330"/>
      <c r="DU344" s="330"/>
      <c r="DV344" s="330"/>
      <c r="DW344" s="330"/>
      <c r="DX344" s="330"/>
      <c r="DY344" s="330"/>
      <c r="DZ344" s="330"/>
      <c r="EA344" s="330"/>
      <c r="EB344" s="330"/>
      <c r="EC344" s="330"/>
      <c r="ED344" s="330"/>
      <c r="EE344" s="330"/>
      <c r="EF344" s="330"/>
      <c r="EG344" s="330"/>
      <c r="EH344" s="330"/>
      <c r="EI344" s="330"/>
      <c r="EJ344" s="330"/>
      <c r="EK344" s="330"/>
      <c r="EL344" s="330"/>
      <c r="EM344" s="330"/>
      <c r="EN344" s="330"/>
      <c r="EO344" s="330"/>
      <c r="EP344" s="330"/>
      <c r="EQ344" s="330"/>
      <c r="ER344" s="330"/>
      <c r="ES344" s="330"/>
      <c r="ET344" s="330"/>
      <c r="EU344" s="330"/>
      <c r="EV344" s="330"/>
      <c r="EW344" s="330"/>
      <c r="EX344" s="330"/>
      <c r="EY344" s="330"/>
      <c r="EZ344" s="330"/>
      <c r="FA344" s="330"/>
      <c r="FB344" s="330"/>
      <c r="FC344" s="330"/>
      <c r="FD344" s="330"/>
      <c r="FE344" s="330"/>
      <c r="FF344" s="330"/>
      <c r="FG344" s="330"/>
      <c r="FH344" s="330"/>
      <c r="FI344" s="330"/>
      <c r="FJ344" s="330"/>
      <c r="FK344" s="330"/>
      <c r="FL344" s="330"/>
      <c r="FM344" s="330"/>
      <c r="FN344" s="330"/>
      <c r="FO344" s="330"/>
      <c r="FP344" s="330"/>
      <c r="FQ344" s="330"/>
      <c r="FR344" s="330"/>
      <c r="FS344" s="330"/>
      <c r="FT344" s="330"/>
      <c r="FU344" s="330"/>
      <c r="FV344" s="330"/>
      <c r="FW344" s="330"/>
      <c r="FX344" s="330"/>
      <c r="FY344" s="330"/>
      <c r="FZ344" s="330"/>
      <c r="GA344" s="330"/>
      <c r="GB344" s="330"/>
      <c r="GC344" s="330"/>
      <c r="GD344" s="330"/>
      <c r="GE344" s="330"/>
      <c r="GF344" s="330"/>
      <c r="GG344" s="330"/>
      <c r="GH344" s="330"/>
      <c r="GI344" s="330"/>
      <c r="GJ344" s="330"/>
      <c r="GK344" s="330"/>
      <c r="GL344" s="330"/>
      <c r="GM344" s="330"/>
      <c r="GN344" s="330"/>
      <c r="GO344" s="330"/>
      <c r="GP344" s="330"/>
      <c r="GQ344" s="330"/>
      <c r="GR344" s="330"/>
      <c r="GS344" s="330"/>
      <c r="GT344" s="330"/>
      <c r="GU344" s="330"/>
      <c r="GV344" s="330"/>
      <c r="GW344" s="330"/>
      <c r="GX344" s="330"/>
      <c r="GY344" s="330"/>
      <c r="GZ344" s="330"/>
      <c r="HA344" s="330"/>
      <c r="HB344" s="330"/>
      <c r="HC344" s="330"/>
      <c r="HD344" s="330"/>
      <c r="HE344" s="330"/>
      <c r="HF344" s="330"/>
      <c r="HG344" s="330"/>
      <c r="HH344" s="330"/>
      <c r="HI344" s="330"/>
      <c r="HJ344" s="330"/>
      <c r="HK344" s="330"/>
      <c r="HL344" s="330"/>
      <c r="HM344" s="330"/>
      <c r="HN344" s="330"/>
      <c r="HO344" s="330"/>
      <c r="HP344" s="330"/>
      <c r="HQ344" s="330"/>
      <c r="HR344" s="330"/>
      <c r="HS344" s="330"/>
      <c r="HT344" s="330"/>
      <c r="HU344" s="330"/>
      <c r="HV344" s="330"/>
      <c r="HW344" s="330"/>
      <c r="HX344" s="330"/>
      <c r="HY344" s="330"/>
      <c r="HZ344" s="330"/>
      <c r="IA344" s="330"/>
      <c r="IB344" s="330"/>
      <c r="IC344" s="330"/>
      <c r="ID344" s="330"/>
      <c r="IE344" s="330"/>
      <c r="IF344" s="330"/>
      <c r="IG344" s="330"/>
      <c r="IH344" s="330"/>
      <c r="II344" s="330"/>
      <c r="IJ344" s="330"/>
      <c r="IK344" s="330"/>
      <c r="IL344" s="330"/>
      <c r="IM344" s="330"/>
      <c r="IN344" s="330"/>
      <c r="IO344" s="330"/>
      <c r="IP344" s="330"/>
    </row>
    <row r="345" spans="1:250" s="639" customFormat="1" x14ac:dyDescent="0.25">
      <c r="A345" s="2252"/>
      <c r="B345" s="2254"/>
      <c r="C345" s="556">
        <v>0</v>
      </c>
      <c r="D345" s="556">
        <v>0</v>
      </c>
      <c r="E345" s="557">
        <v>482</v>
      </c>
      <c r="F345" s="582">
        <v>1210</v>
      </c>
      <c r="G345" s="583"/>
      <c r="H345" s="1048">
        <f t="shared" si="12"/>
        <v>0</v>
      </c>
      <c r="I345" s="560"/>
      <c r="J345" s="330"/>
      <c r="K345" s="330"/>
      <c r="L345" s="330"/>
      <c r="M345" s="330"/>
      <c r="N345" s="330"/>
      <c r="O345" s="330"/>
      <c r="P345" s="330"/>
      <c r="Q345" s="330"/>
      <c r="R345" s="330"/>
      <c r="S345" s="330"/>
      <c r="T345" s="330"/>
      <c r="U345" s="330"/>
      <c r="V345" s="330"/>
      <c r="W345" s="330"/>
      <c r="X345" s="330"/>
      <c r="Y345" s="330"/>
      <c r="Z345" s="330"/>
      <c r="AA345" s="330"/>
      <c r="AB345" s="330"/>
      <c r="AC345" s="330"/>
      <c r="AD345" s="330"/>
      <c r="AE345" s="330"/>
      <c r="AF345" s="330"/>
      <c r="AG345" s="330"/>
      <c r="AH345" s="330"/>
      <c r="AI345" s="330"/>
      <c r="AJ345" s="330"/>
      <c r="AK345" s="330"/>
      <c r="AL345" s="330"/>
      <c r="AM345" s="330"/>
      <c r="AN345" s="330"/>
      <c r="AO345" s="330"/>
      <c r="AP345" s="330"/>
      <c r="AQ345" s="330"/>
      <c r="AR345" s="330"/>
      <c r="AS345" s="330"/>
      <c r="AT345" s="330"/>
      <c r="AU345" s="330"/>
      <c r="AV345" s="330"/>
      <c r="AW345" s="330"/>
      <c r="AX345" s="330"/>
      <c r="AY345" s="330"/>
      <c r="AZ345" s="330"/>
      <c r="BA345" s="330"/>
      <c r="BB345" s="330"/>
      <c r="BC345" s="330"/>
      <c r="BD345" s="330"/>
      <c r="BE345" s="330"/>
      <c r="BF345" s="330"/>
      <c r="BG345" s="330"/>
      <c r="BH345" s="330"/>
      <c r="BI345" s="330"/>
      <c r="BJ345" s="330"/>
      <c r="BK345" s="330"/>
      <c r="BL345" s="330"/>
      <c r="BM345" s="330"/>
      <c r="BN345" s="330"/>
      <c r="BO345" s="330"/>
      <c r="BP345" s="330"/>
      <c r="BQ345" s="330"/>
      <c r="BR345" s="330"/>
      <c r="BS345" s="330"/>
      <c r="BT345" s="330"/>
      <c r="BU345" s="330"/>
      <c r="BV345" s="330"/>
      <c r="BW345" s="330"/>
      <c r="BX345" s="330"/>
      <c r="BY345" s="330"/>
      <c r="BZ345" s="330"/>
      <c r="CA345" s="330"/>
      <c r="CB345" s="330"/>
      <c r="CC345" s="330"/>
      <c r="CD345" s="330"/>
      <c r="CE345" s="330"/>
      <c r="CF345" s="330"/>
      <c r="CG345" s="330"/>
      <c r="CH345" s="330"/>
      <c r="CI345" s="330"/>
      <c r="CJ345" s="330"/>
      <c r="CK345" s="330"/>
      <c r="CL345" s="330"/>
      <c r="CM345" s="330"/>
      <c r="CN345" s="330"/>
      <c r="CO345" s="330"/>
      <c r="CP345" s="330"/>
      <c r="CQ345" s="330"/>
      <c r="CR345" s="330"/>
      <c r="CS345" s="330"/>
      <c r="CT345" s="330"/>
      <c r="CU345" s="330"/>
      <c r="CV345" s="330"/>
      <c r="CW345" s="330"/>
      <c r="CX345" s="330"/>
      <c r="CY345" s="330"/>
      <c r="CZ345" s="330"/>
      <c r="DA345" s="330"/>
      <c r="DB345" s="330"/>
      <c r="DC345" s="330"/>
      <c r="DD345" s="330"/>
      <c r="DE345" s="330"/>
      <c r="DF345" s="330"/>
      <c r="DG345" s="330"/>
      <c r="DH345" s="330"/>
      <c r="DI345" s="330"/>
      <c r="DJ345" s="330"/>
      <c r="DK345" s="330"/>
      <c r="DL345" s="330"/>
      <c r="DM345" s="330"/>
      <c r="DN345" s="330"/>
      <c r="DO345" s="330"/>
      <c r="DP345" s="330"/>
      <c r="DQ345" s="330"/>
      <c r="DR345" s="330"/>
      <c r="DS345" s="330"/>
      <c r="DT345" s="330"/>
      <c r="DU345" s="330"/>
      <c r="DV345" s="330"/>
      <c r="DW345" s="330"/>
      <c r="DX345" s="330"/>
      <c r="DY345" s="330"/>
      <c r="DZ345" s="330"/>
      <c r="EA345" s="330"/>
      <c r="EB345" s="330"/>
      <c r="EC345" s="330"/>
      <c r="ED345" s="330"/>
      <c r="EE345" s="330"/>
      <c r="EF345" s="330"/>
      <c r="EG345" s="330"/>
      <c r="EH345" s="330"/>
      <c r="EI345" s="330"/>
      <c r="EJ345" s="330"/>
      <c r="EK345" s="330"/>
      <c r="EL345" s="330"/>
      <c r="EM345" s="330"/>
      <c r="EN345" s="330"/>
      <c r="EO345" s="330"/>
      <c r="EP345" s="330"/>
      <c r="EQ345" s="330"/>
      <c r="ER345" s="330"/>
      <c r="ES345" s="330"/>
      <c r="ET345" s="330"/>
      <c r="EU345" s="330"/>
      <c r="EV345" s="330"/>
      <c r="EW345" s="330"/>
      <c r="EX345" s="330"/>
      <c r="EY345" s="330"/>
      <c r="EZ345" s="330"/>
      <c r="FA345" s="330"/>
      <c r="FB345" s="330"/>
      <c r="FC345" s="330"/>
      <c r="FD345" s="330"/>
      <c r="FE345" s="330"/>
      <c r="FF345" s="330"/>
      <c r="FG345" s="330"/>
      <c r="FH345" s="330"/>
      <c r="FI345" s="330"/>
      <c r="FJ345" s="330"/>
      <c r="FK345" s="330"/>
      <c r="FL345" s="330"/>
      <c r="FM345" s="330"/>
      <c r="FN345" s="330"/>
      <c r="FO345" s="330"/>
      <c r="FP345" s="330"/>
      <c r="FQ345" s="330"/>
      <c r="FR345" s="330"/>
      <c r="FS345" s="330"/>
      <c r="FT345" s="330"/>
      <c r="FU345" s="330"/>
      <c r="FV345" s="330"/>
      <c r="FW345" s="330"/>
      <c r="FX345" s="330"/>
      <c r="FY345" s="330"/>
      <c r="FZ345" s="330"/>
      <c r="GA345" s="330"/>
      <c r="GB345" s="330"/>
      <c r="GC345" s="330"/>
      <c r="GD345" s="330"/>
      <c r="GE345" s="330"/>
      <c r="GF345" s="330"/>
      <c r="GG345" s="330"/>
      <c r="GH345" s="330"/>
      <c r="GI345" s="330"/>
      <c r="GJ345" s="330"/>
      <c r="GK345" s="330"/>
      <c r="GL345" s="330"/>
      <c r="GM345" s="330"/>
      <c r="GN345" s="330"/>
      <c r="GO345" s="330"/>
      <c r="GP345" s="330"/>
      <c r="GQ345" s="330"/>
      <c r="GR345" s="330"/>
      <c r="GS345" s="330"/>
      <c r="GT345" s="330"/>
      <c r="GU345" s="330"/>
      <c r="GV345" s="330"/>
      <c r="GW345" s="330"/>
      <c r="GX345" s="330"/>
      <c r="GY345" s="330"/>
      <c r="GZ345" s="330"/>
      <c r="HA345" s="330"/>
      <c r="HB345" s="330"/>
      <c r="HC345" s="330"/>
      <c r="HD345" s="330"/>
      <c r="HE345" s="330"/>
      <c r="HF345" s="330"/>
      <c r="HG345" s="330"/>
      <c r="HH345" s="330"/>
      <c r="HI345" s="330"/>
      <c r="HJ345" s="330"/>
      <c r="HK345" s="330"/>
      <c r="HL345" s="330"/>
      <c r="HM345" s="330"/>
      <c r="HN345" s="330"/>
      <c r="HO345" s="330"/>
      <c r="HP345" s="330"/>
      <c r="HQ345" s="330"/>
      <c r="HR345" s="330"/>
      <c r="HS345" s="330"/>
      <c r="HT345" s="330"/>
      <c r="HU345" s="330"/>
      <c r="HV345" s="330"/>
      <c r="HW345" s="330"/>
      <c r="HX345" s="330"/>
      <c r="HY345" s="330"/>
      <c r="HZ345" s="330"/>
      <c r="IA345" s="330"/>
      <c r="IB345" s="330"/>
      <c r="IC345" s="330"/>
      <c r="ID345" s="330"/>
      <c r="IE345" s="330"/>
      <c r="IF345" s="330"/>
      <c r="IG345" s="330"/>
      <c r="IH345" s="330"/>
      <c r="II345" s="330"/>
      <c r="IJ345" s="330"/>
      <c r="IK345" s="330"/>
      <c r="IL345" s="330"/>
      <c r="IM345" s="330"/>
      <c r="IN345" s="330"/>
      <c r="IO345" s="330"/>
      <c r="IP345" s="330"/>
    </row>
    <row r="346" spans="1:250" ht="15.75" x14ac:dyDescent="0.25">
      <c r="A346" s="2255" t="s">
        <v>1115</v>
      </c>
      <c r="B346" s="2256" t="s">
        <v>1116</v>
      </c>
      <c r="C346" s="556">
        <v>225</v>
      </c>
      <c r="D346" s="556">
        <v>225</v>
      </c>
      <c r="E346" s="557">
        <v>0</v>
      </c>
      <c r="F346" s="582">
        <v>2390</v>
      </c>
      <c r="G346" s="583"/>
      <c r="H346" s="1048">
        <f t="shared" si="12"/>
        <v>0</v>
      </c>
      <c r="I346" s="563"/>
      <c r="J346" s="637"/>
      <c r="K346" s="637"/>
      <c r="L346" s="637"/>
      <c r="M346" s="637"/>
      <c r="N346" s="637"/>
      <c r="O346" s="637"/>
      <c r="P346" s="637"/>
      <c r="Q346" s="637"/>
      <c r="R346" s="637"/>
      <c r="S346" s="637"/>
      <c r="T346" s="637"/>
      <c r="U346" s="637"/>
      <c r="V346" s="637"/>
      <c r="W346" s="637"/>
      <c r="X346" s="637"/>
      <c r="Y346" s="637"/>
      <c r="Z346" s="637"/>
      <c r="AA346" s="637"/>
      <c r="AB346" s="637"/>
      <c r="AC346" s="637"/>
      <c r="AD346" s="637"/>
      <c r="AE346" s="637"/>
      <c r="AF346" s="637"/>
      <c r="AG346" s="637"/>
      <c r="AH346" s="637"/>
      <c r="AI346" s="637"/>
      <c r="AJ346" s="637"/>
      <c r="AK346" s="637"/>
      <c r="AL346" s="637"/>
      <c r="AM346" s="637"/>
      <c r="AN346" s="637"/>
      <c r="AO346" s="637"/>
      <c r="AP346" s="637"/>
      <c r="AQ346" s="637"/>
      <c r="AR346" s="637"/>
      <c r="AS346" s="637"/>
      <c r="AT346" s="637"/>
      <c r="AU346" s="637"/>
      <c r="AV346" s="637"/>
      <c r="AW346" s="637"/>
      <c r="AX346" s="637"/>
      <c r="AY346" s="637"/>
      <c r="AZ346" s="637"/>
      <c r="BA346" s="637"/>
      <c r="BB346" s="637"/>
      <c r="BC346" s="637"/>
      <c r="BD346" s="637"/>
      <c r="BE346" s="637"/>
      <c r="BF346" s="637"/>
      <c r="BG346" s="637"/>
      <c r="BH346" s="637"/>
      <c r="BI346" s="637"/>
      <c r="BJ346" s="637"/>
      <c r="BK346" s="637"/>
      <c r="BL346" s="637"/>
      <c r="BM346" s="637"/>
      <c r="BN346" s="637"/>
      <c r="BO346" s="637"/>
      <c r="BP346" s="637"/>
      <c r="BQ346" s="637"/>
      <c r="BR346" s="637"/>
      <c r="BS346" s="637"/>
      <c r="BT346" s="637"/>
      <c r="BU346" s="637"/>
      <c r="BV346" s="637"/>
      <c r="BW346" s="637"/>
      <c r="BX346" s="637"/>
      <c r="BY346" s="637"/>
      <c r="BZ346" s="637"/>
      <c r="CA346" s="637"/>
      <c r="CB346" s="637"/>
      <c r="CC346" s="637"/>
      <c r="CD346" s="637"/>
      <c r="CE346" s="637"/>
      <c r="CF346" s="637"/>
      <c r="CG346" s="637"/>
      <c r="CH346" s="637"/>
      <c r="CI346" s="637"/>
      <c r="CJ346" s="637"/>
      <c r="CK346" s="637"/>
      <c r="CL346" s="637"/>
      <c r="CM346" s="637"/>
      <c r="CN346" s="637"/>
      <c r="CO346" s="637"/>
      <c r="CP346" s="637"/>
      <c r="CQ346" s="637"/>
      <c r="CR346" s="637"/>
      <c r="CS346" s="637"/>
      <c r="CT346" s="637"/>
      <c r="CU346" s="637"/>
      <c r="CV346" s="637"/>
      <c r="CW346" s="637"/>
      <c r="CX346" s="637"/>
      <c r="CY346" s="637"/>
      <c r="CZ346" s="637"/>
      <c r="DA346" s="637"/>
      <c r="DB346" s="637"/>
      <c r="DC346" s="637"/>
      <c r="DD346" s="637"/>
      <c r="DE346" s="637"/>
      <c r="DF346" s="637"/>
      <c r="DG346" s="637"/>
      <c r="DH346" s="637"/>
      <c r="DI346" s="637"/>
      <c r="DJ346" s="637"/>
      <c r="DK346" s="637"/>
      <c r="DL346" s="637"/>
      <c r="DM346" s="637"/>
      <c r="DN346" s="637"/>
      <c r="DO346" s="637"/>
      <c r="DP346" s="637"/>
      <c r="DQ346" s="637"/>
      <c r="DR346" s="637"/>
      <c r="DS346" s="637"/>
      <c r="DT346" s="637"/>
      <c r="DU346" s="637"/>
      <c r="DV346" s="637"/>
      <c r="DW346" s="637"/>
      <c r="DX346" s="637"/>
      <c r="DY346" s="637"/>
      <c r="DZ346" s="637"/>
      <c r="EA346" s="637"/>
      <c r="EB346" s="637"/>
      <c r="EC346" s="637"/>
      <c r="ED346" s="637"/>
      <c r="EE346" s="637"/>
      <c r="EF346" s="637"/>
      <c r="EG346" s="637"/>
      <c r="EH346" s="637"/>
      <c r="EI346" s="637"/>
      <c r="EJ346" s="637"/>
      <c r="EK346" s="637"/>
      <c r="EL346" s="637"/>
      <c r="EM346" s="637"/>
      <c r="EN346" s="637"/>
      <c r="EO346" s="637"/>
      <c r="EP346" s="637"/>
      <c r="EQ346" s="637"/>
      <c r="ER346" s="637"/>
      <c r="ES346" s="637"/>
      <c r="ET346" s="637"/>
      <c r="EU346" s="637"/>
      <c r="EV346" s="637"/>
      <c r="EW346" s="637"/>
      <c r="EX346" s="637"/>
      <c r="EY346" s="637"/>
      <c r="EZ346" s="637"/>
      <c r="FA346" s="637"/>
      <c r="FB346" s="637"/>
      <c r="FC346" s="637"/>
      <c r="FD346" s="637"/>
      <c r="FE346" s="637"/>
      <c r="FF346" s="637"/>
      <c r="FG346" s="637"/>
      <c r="FH346" s="637"/>
      <c r="FI346" s="637"/>
      <c r="FJ346" s="637"/>
      <c r="FK346" s="637"/>
      <c r="FL346" s="637"/>
      <c r="FM346" s="637"/>
      <c r="FN346" s="637"/>
      <c r="FO346" s="637"/>
      <c r="FP346" s="637"/>
      <c r="FQ346" s="637"/>
      <c r="FR346" s="637"/>
      <c r="FS346" s="637"/>
      <c r="FT346" s="637"/>
      <c r="FU346" s="637"/>
      <c r="FV346" s="637"/>
      <c r="FW346" s="637"/>
      <c r="FX346" s="637"/>
      <c r="FY346" s="637"/>
      <c r="FZ346" s="637"/>
      <c r="GA346" s="637"/>
      <c r="GB346" s="637"/>
      <c r="GC346" s="637"/>
      <c r="GD346" s="637"/>
      <c r="GE346" s="637"/>
      <c r="GF346" s="637"/>
      <c r="GG346" s="637"/>
      <c r="GH346" s="637"/>
      <c r="GI346" s="637"/>
      <c r="GJ346" s="637"/>
      <c r="GK346" s="637"/>
      <c r="GL346" s="637"/>
      <c r="GM346" s="637"/>
      <c r="GN346" s="637"/>
      <c r="GO346" s="637"/>
      <c r="GP346" s="637"/>
      <c r="GQ346" s="637"/>
      <c r="GR346" s="637"/>
      <c r="GS346" s="637"/>
      <c r="GT346" s="637"/>
      <c r="GU346" s="637"/>
      <c r="GV346" s="637"/>
      <c r="GW346" s="637"/>
      <c r="GX346" s="637"/>
      <c r="GY346" s="637"/>
      <c r="GZ346" s="637"/>
      <c r="HA346" s="637"/>
      <c r="HB346" s="637"/>
      <c r="HC346" s="637"/>
      <c r="HD346" s="637"/>
      <c r="HE346" s="637"/>
      <c r="HF346" s="637"/>
      <c r="HG346" s="637"/>
      <c r="HH346" s="637"/>
      <c r="HI346" s="637"/>
      <c r="HJ346" s="637"/>
      <c r="HK346" s="637"/>
      <c r="HL346" s="637"/>
      <c r="HM346" s="637"/>
      <c r="HN346" s="637"/>
      <c r="HO346" s="637"/>
      <c r="HP346" s="637"/>
      <c r="HQ346" s="637"/>
      <c r="HR346" s="637"/>
      <c r="HS346" s="637"/>
      <c r="HT346" s="637"/>
      <c r="HU346" s="637"/>
      <c r="HV346" s="637"/>
      <c r="HW346" s="637"/>
      <c r="HX346" s="637"/>
      <c r="HY346" s="637"/>
      <c r="HZ346" s="637"/>
      <c r="IA346" s="637"/>
      <c r="IB346" s="637"/>
      <c r="IC346" s="637"/>
      <c r="ID346" s="637"/>
      <c r="IE346" s="637"/>
      <c r="IF346" s="637"/>
      <c r="IG346" s="637"/>
      <c r="IH346" s="637"/>
      <c r="II346" s="637"/>
      <c r="IJ346" s="637"/>
      <c r="IK346" s="637"/>
      <c r="IL346" s="637"/>
      <c r="IM346" s="637"/>
      <c r="IN346" s="637"/>
      <c r="IO346" s="637"/>
      <c r="IP346" s="637"/>
    </row>
    <row r="347" spans="1:250" x14ac:dyDescent="0.25">
      <c r="A347" s="2255"/>
      <c r="B347" s="2256"/>
      <c r="C347" s="556">
        <v>400</v>
      </c>
      <c r="D347" s="556">
        <v>400</v>
      </c>
      <c r="E347" s="557">
        <v>0</v>
      </c>
      <c r="F347" s="582">
        <v>2261</v>
      </c>
      <c r="G347" s="583"/>
      <c r="H347" s="1048">
        <f t="shared" si="12"/>
        <v>0</v>
      </c>
      <c r="I347" s="563"/>
      <c r="J347" s="638"/>
      <c r="K347" s="638"/>
      <c r="L347" s="638"/>
      <c r="M347" s="638"/>
      <c r="N347" s="638"/>
      <c r="O347" s="638"/>
      <c r="P347" s="638"/>
      <c r="Q347" s="638"/>
      <c r="R347" s="638"/>
      <c r="S347" s="638"/>
      <c r="T347" s="638"/>
      <c r="U347" s="638"/>
      <c r="V347" s="638"/>
      <c r="W347" s="638"/>
      <c r="X347" s="638"/>
      <c r="Y347" s="638"/>
      <c r="Z347" s="638"/>
      <c r="AA347" s="638"/>
      <c r="AB347" s="638"/>
      <c r="AC347" s="638"/>
      <c r="AD347" s="638"/>
      <c r="AE347" s="638"/>
      <c r="AF347" s="638"/>
      <c r="AG347" s="638"/>
      <c r="AH347" s="638"/>
      <c r="AI347" s="638"/>
      <c r="AJ347" s="638"/>
      <c r="AK347" s="638"/>
      <c r="AL347" s="638"/>
      <c r="AM347" s="638"/>
      <c r="AN347" s="638"/>
      <c r="AO347" s="638"/>
      <c r="AP347" s="638"/>
      <c r="AQ347" s="638"/>
      <c r="AR347" s="638"/>
      <c r="AS347" s="638"/>
      <c r="AT347" s="638"/>
      <c r="AU347" s="638"/>
      <c r="AV347" s="638"/>
      <c r="AW347" s="638"/>
      <c r="AX347" s="638"/>
      <c r="AY347" s="638"/>
      <c r="AZ347" s="638"/>
      <c r="BA347" s="638"/>
      <c r="BB347" s="638"/>
      <c r="BC347" s="638"/>
      <c r="BD347" s="638"/>
      <c r="BE347" s="638"/>
      <c r="BF347" s="638"/>
      <c r="BG347" s="638"/>
      <c r="BH347" s="638"/>
      <c r="BI347" s="638"/>
      <c r="BJ347" s="638"/>
      <c r="BK347" s="638"/>
      <c r="BL347" s="638"/>
      <c r="BM347" s="638"/>
      <c r="BN347" s="638"/>
      <c r="BO347" s="638"/>
      <c r="BP347" s="638"/>
      <c r="BQ347" s="638"/>
      <c r="BR347" s="638"/>
      <c r="BS347" s="638"/>
      <c r="BT347" s="638"/>
      <c r="BU347" s="638"/>
      <c r="BV347" s="638"/>
      <c r="BW347" s="638"/>
      <c r="BX347" s="638"/>
      <c r="BY347" s="638"/>
      <c r="BZ347" s="638"/>
      <c r="CA347" s="638"/>
      <c r="CB347" s="638"/>
      <c r="CC347" s="638"/>
      <c r="CD347" s="638"/>
      <c r="CE347" s="638"/>
      <c r="CF347" s="638"/>
      <c r="CG347" s="638"/>
      <c r="CH347" s="638"/>
      <c r="CI347" s="638"/>
      <c r="CJ347" s="638"/>
      <c r="CK347" s="638"/>
      <c r="CL347" s="638"/>
      <c r="CM347" s="638"/>
      <c r="CN347" s="638"/>
      <c r="CO347" s="638"/>
      <c r="CP347" s="638"/>
      <c r="CQ347" s="638"/>
      <c r="CR347" s="638"/>
      <c r="CS347" s="638"/>
      <c r="CT347" s="638"/>
      <c r="CU347" s="638"/>
      <c r="CV347" s="638"/>
      <c r="CW347" s="638"/>
      <c r="CX347" s="638"/>
      <c r="CY347" s="638"/>
      <c r="CZ347" s="638"/>
      <c r="DA347" s="638"/>
      <c r="DB347" s="638"/>
      <c r="DC347" s="638"/>
      <c r="DD347" s="638"/>
      <c r="DE347" s="638"/>
      <c r="DF347" s="638"/>
      <c r="DG347" s="638"/>
      <c r="DH347" s="638"/>
      <c r="DI347" s="638"/>
      <c r="DJ347" s="638"/>
      <c r="DK347" s="638"/>
      <c r="DL347" s="638"/>
      <c r="DM347" s="638"/>
      <c r="DN347" s="638"/>
      <c r="DO347" s="638"/>
      <c r="DP347" s="638"/>
      <c r="DQ347" s="638"/>
      <c r="DR347" s="638"/>
      <c r="DS347" s="638"/>
      <c r="DT347" s="638"/>
      <c r="DU347" s="638"/>
      <c r="DV347" s="638"/>
      <c r="DW347" s="638"/>
      <c r="DX347" s="638"/>
      <c r="DY347" s="638"/>
      <c r="DZ347" s="638"/>
      <c r="EA347" s="638"/>
      <c r="EB347" s="638"/>
      <c r="EC347" s="638"/>
      <c r="ED347" s="638"/>
      <c r="EE347" s="638"/>
      <c r="EF347" s="638"/>
      <c r="EG347" s="638"/>
      <c r="EH347" s="638"/>
      <c r="EI347" s="638"/>
      <c r="EJ347" s="638"/>
      <c r="EK347" s="638"/>
      <c r="EL347" s="638"/>
      <c r="EM347" s="638"/>
      <c r="EN347" s="638"/>
      <c r="EO347" s="638"/>
      <c r="EP347" s="638"/>
      <c r="EQ347" s="638"/>
      <c r="ER347" s="638"/>
      <c r="ES347" s="638"/>
      <c r="ET347" s="638"/>
      <c r="EU347" s="638"/>
      <c r="EV347" s="638"/>
      <c r="EW347" s="638"/>
      <c r="EX347" s="638"/>
      <c r="EY347" s="638"/>
      <c r="EZ347" s="638"/>
      <c r="FA347" s="638"/>
      <c r="FB347" s="638"/>
      <c r="FC347" s="638"/>
      <c r="FD347" s="638"/>
      <c r="FE347" s="638"/>
      <c r="FF347" s="638"/>
      <c r="FG347" s="638"/>
      <c r="FH347" s="638"/>
      <c r="FI347" s="638"/>
      <c r="FJ347" s="638"/>
      <c r="FK347" s="638"/>
      <c r="FL347" s="638"/>
      <c r="FM347" s="638"/>
      <c r="FN347" s="638"/>
      <c r="FO347" s="638"/>
      <c r="FP347" s="638"/>
      <c r="FQ347" s="638"/>
      <c r="FR347" s="638"/>
      <c r="FS347" s="638"/>
      <c r="FT347" s="638"/>
      <c r="FU347" s="638"/>
      <c r="FV347" s="638"/>
      <c r="FW347" s="638"/>
      <c r="FX347" s="638"/>
      <c r="FY347" s="638"/>
      <c r="FZ347" s="638"/>
      <c r="GA347" s="638"/>
      <c r="GB347" s="638"/>
      <c r="GC347" s="638"/>
      <c r="GD347" s="638"/>
      <c r="GE347" s="638"/>
      <c r="GF347" s="638"/>
      <c r="GG347" s="638"/>
      <c r="GH347" s="638"/>
      <c r="GI347" s="638"/>
      <c r="GJ347" s="638"/>
      <c r="GK347" s="638"/>
      <c r="GL347" s="638"/>
      <c r="GM347" s="638"/>
      <c r="GN347" s="638"/>
      <c r="GO347" s="638"/>
      <c r="GP347" s="638"/>
      <c r="GQ347" s="638"/>
      <c r="GR347" s="638"/>
      <c r="GS347" s="638"/>
      <c r="GT347" s="638"/>
      <c r="GU347" s="638"/>
      <c r="GV347" s="638"/>
      <c r="GW347" s="638"/>
      <c r="GX347" s="638"/>
      <c r="GY347" s="638"/>
      <c r="GZ347" s="638"/>
      <c r="HA347" s="638"/>
      <c r="HB347" s="638"/>
      <c r="HC347" s="638"/>
      <c r="HD347" s="638"/>
      <c r="HE347" s="638"/>
      <c r="HF347" s="638"/>
      <c r="HG347" s="638"/>
      <c r="HH347" s="638"/>
      <c r="HI347" s="638"/>
      <c r="HJ347" s="638"/>
      <c r="HK347" s="638"/>
      <c r="HL347" s="638"/>
      <c r="HM347" s="638"/>
      <c r="HN347" s="638"/>
      <c r="HO347" s="638"/>
      <c r="HP347" s="638"/>
      <c r="HQ347" s="638"/>
      <c r="HR347" s="638"/>
      <c r="HS347" s="638"/>
      <c r="HT347" s="638"/>
      <c r="HU347" s="638"/>
      <c r="HV347" s="638"/>
      <c r="HW347" s="638"/>
      <c r="HX347" s="638"/>
      <c r="HY347" s="638"/>
      <c r="HZ347" s="638"/>
      <c r="IA347" s="638"/>
      <c r="IB347" s="638"/>
      <c r="IC347" s="638"/>
      <c r="ID347" s="638"/>
      <c r="IE347" s="638"/>
      <c r="IF347" s="638"/>
      <c r="IG347" s="638"/>
      <c r="IH347" s="638"/>
      <c r="II347" s="638"/>
      <c r="IJ347" s="638"/>
      <c r="IK347" s="638"/>
      <c r="IL347" s="638"/>
      <c r="IM347" s="638"/>
      <c r="IN347" s="638"/>
      <c r="IO347" s="638"/>
      <c r="IP347" s="638"/>
    </row>
    <row r="348" spans="1:250" x14ac:dyDescent="0.25">
      <c r="A348" s="2255"/>
      <c r="B348" s="2256"/>
      <c r="C348" s="556">
        <v>120</v>
      </c>
      <c r="D348" s="556">
        <v>120</v>
      </c>
      <c r="E348" s="557">
        <v>0</v>
      </c>
      <c r="F348" s="582">
        <v>2231</v>
      </c>
      <c r="G348" s="583"/>
      <c r="H348" s="1048">
        <f t="shared" si="12"/>
        <v>0</v>
      </c>
      <c r="I348" s="563"/>
      <c r="J348" s="638"/>
      <c r="K348" s="638"/>
      <c r="L348" s="638"/>
      <c r="M348" s="638"/>
      <c r="N348" s="638"/>
      <c r="O348" s="638"/>
      <c r="P348" s="638"/>
      <c r="Q348" s="638"/>
      <c r="R348" s="638"/>
      <c r="S348" s="638"/>
      <c r="T348" s="638"/>
      <c r="U348" s="638"/>
      <c r="V348" s="638"/>
      <c r="W348" s="638"/>
      <c r="X348" s="638"/>
      <c r="Y348" s="638"/>
      <c r="Z348" s="638"/>
      <c r="AA348" s="638"/>
      <c r="AB348" s="638"/>
      <c r="AC348" s="638"/>
      <c r="AD348" s="638"/>
      <c r="AE348" s="638"/>
      <c r="AF348" s="638"/>
      <c r="AG348" s="638"/>
      <c r="AH348" s="638"/>
      <c r="AI348" s="638"/>
      <c r="AJ348" s="638"/>
      <c r="AK348" s="638"/>
      <c r="AL348" s="638"/>
      <c r="AM348" s="638"/>
      <c r="AN348" s="638"/>
      <c r="AO348" s="638"/>
      <c r="AP348" s="638"/>
      <c r="AQ348" s="638"/>
      <c r="AR348" s="638"/>
      <c r="AS348" s="638"/>
      <c r="AT348" s="638"/>
      <c r="AU348" s="638"/>
      <c r="AV348" s="638"/>
      <c r="AW348" s="638"/>
      <c r="AX348" s="638"/>
      <c r="AY348" s="638"/>
      <c r="AZ348" s="638"/>
      <c r="BA348" s="638"/>
      <c r="BB348" s="638"/>
      <c r="BC348" s="638"/>
      <c r="BD348" s="638"/>
      <c r="BE348" s="638"/>
      <c r="BF348" s="638"/>
      <c r="BG348" s="638"/>
      <c r="BH348" s="638"/>
      <c r="BI348" s="638"/>
      <c r="BJ348" s="638"/>
      <c r="BK348" s="638"/>
      <c r="BL348" s="638"/>
      <c r="BM348" s="638"/>
      <c r="BN348" s="638"/>
      <c r="BO348" s="638"/>
      <c r="BP348" s="638"/>
      <c r="BQ348" s="638"/>
      <c r="BR348" s="638"/>
      <c r="BS348" s="638"/>
      <c r="BT348" s="638"/>
      <c r="BU348" s="638"/>
      <c r="BV348" s="638"/>
      <c r="BW348" s="638"/>
      <c r="BX348" s="638"/>
      <c r="BY348" s="638"/>
      <c r="BZ348" s="638"/>
      <c r="CA348" s="638"/>
      <c r="CB348" s="638"/>
      <c r="CC348" s="638"/>
      <c r="CD348" s="638"/>
      <c r="CE348" s="638"/>
      <c r="CF348" s="638"/>
      <c r="CG348" s="638"/>
      <c r="CH348" s="638"/>
      <c r="CI348" s="638"/>
      <c r="CJ348" s="638"/>
      <c r="CK348" s="638"/>
      <c r="CL348" s="638"/>
      <c r="CM348" s="638"/>
      <c r="CN348" s="638"/>
      <c r="CO348" s="638"/>
      <c r="CP348" s="638"/>
      <c r="CQ348" s="638"/>
      <c r="CR348" s="638"/>
      <c r="CS348" s="638"/>
      <c r="CT348" s="638"/>
      <c r="CU348" s="638"/>
      <c r="CV348" s="638"/>
      <c r="CW348" s="638"/>
      <c r="CX348" s="638"/>
      <c r="CY348" s="638"/>
      <c r="CZ348" s="638"/>
      <c r="DA348" s="638"/>
      <c r="DB348" s="638"/>
      <c r="DC348" s="638"/>
      <c r="DD348" s="638"/>
      <c r="DE348" s="638"/>
      <c r="DF348" s="638"/>
      <c r="DG348" s="638"/>
      <c r="DH348" s="638"/>
      <c r="DI348" s="638"/>
      <c r="DJ348" s="638"/>
      <c r="DK348" s="638"/>
      <c r="DL348" s="638"/>
      <c r="DM348" s="638"/>
      <c r="DN348" s="638"/>
      <c r="DO348" s="638"/>
      <c r="DP348" s="638"/>
      <c r="DQ348" s="638"/>
      <c r="DR348" s="638"/>
      <c r="DS348" s="638"/>
      <c r="DT348" s="638"/>
      <c r="DU348" s="638"/>
      <c r="DV348" s="638"/>
      <c r="DW348" s="638"/>
      <c r="DX348" s="638"/>
      <c r="DY348" s="638"/>
      <c r="DZ348" s="638"/>
      <c r="EA348" s="638"/>
      <c r="EB348" s="638"/>
      <c r="EC348" s="638"/>
      <c r="ED348" s="638"/>
      <c r="EE348" s="638"/>
      <c r="EF348" s="638"/>
      <c r="EG348" s="638"/>
      <c r="EH348" s="638"/>
      <c r="EI348" s="638"/>
      <c r="EJ348" s="638"/>
      <c r="EK348" s="638"/>
      <c r="EL348" s="638"/>
      <c r="EM348" s="638"/>
      <c r="EN348" s="638"/>
      <c r="EO348" s="638"/>
      <c r="EP348" s="638"/>
      <c r="EQ348" s="638"/>
      <c r="ER348" s="638"/>
      <c r="ES348" s="638"/>
      <c r="ET348" s="638"/>
      <c r="EU348" s="638"/>
      <c r="EV348" s="638"/>
      <c r="EW348" s="638"/>
      <c r="EX348" s="638"/>
      <c r="EY348" s="638"/>
      <c r="EZ348" s="638"/>
      <c r="FA348" s="638"/>
      <c r="FB348" s="638"/>
      <c r="FC348" s="638"/>
      <c r="FD348" s="638"/>
      <c r="FE348" s="638"/>
      <c r="FF348" s="638"/>
      <c r="FG348" s="638"/>
      <c r="FH348" s="638"/>
      <c r="FI348" s="638"/>
      <c r="FJ348" s="638"/>
      <c r="FK348" s="638"/>
      <c r="FL348" s="638"/>
      <c r="FM348" s="638"/>
      <c r="FN348" s="638"/>
      <c r="FO348" s="638"/>
      <c r="FP348" s="638"/>
      <c r="FQ348" s="638"/>
      <c r="FR348" s="638"/>
      <c r="FS348" s="638"/>
      <c r="FT348" s="638"/>
      <c r="FU348" s="638"/>
      <c r="FV348" s="638"/>
      <c r="FW348" s="638"/>
      <c r="FX348" s="638"/>
      <c r="FY348" s="638"/>
      <c r="FZ348" s="638"/>
      <c r="GA348" s="638"/>
      <c r="GB348" s="638"/>
      <c r="GC348" s="638"/>
      <c r="GD348" s="638"/>
      <c r="GE348" s="638"/>
      <c r="GF348" s="638"/>
      <c r="GG348" s="638"/>
      <c r="GH348" s="638"/>
      <c r="GI348" s="638"/>
      <c r="GJ348" s="638"/>
      <c r="GK348" s="638"/>
      <c r="GL348" s="638"/>
      <c r="GM348" s="638"/>
      <c r="GN348" s="638"/>
      <c r="GO348" s="638"/>
      <c r="GP348" s="638"/>
      <c r="GQ348" s="638"/>
      <c r="GR348" s="638"/>
      <c r="GS348" s="638"/>
      <c r="GT348" s="638"/>
      <c r="GU348" s="638"/>
      <c r="GV348" s="638"/>
      <c r="GW348" s="638"/>
      <c r="GX348" s="638"/>
      <c r="GY348" s="638"/>
      <c r="GZ348" s="638"/>
      <c r="HA348" s="638"/>
      <c r="HB348" s="638"/>
      <c r="HC348" s="638"/>
      <c r="HD348" s="638"/>
      <c r="HE348" s="638"/>
      <c r="HF348" s="638"/>
      <c r="HG348" s="638"/>
      <c r="HH348" s="638"/>
      <c r="HI348" s="638"/>
      <c r="HJ348" s="638"/>
      <c r="HK348" s="638"/>
      <c r="HL348" s="638"/>
      <c r="HM348" s="638"/>
      <c r="HN348" s="638"/>
      <c r="HO348" s="638"/>
      <c r="HP348" s="638"/>
      <c r="HQ348" s="638"/>
      <c r="HR348" s="638"/>
      <c r="HS348" s="638"/>
      <c r="HT348" s="638"/>
      <c r="HU348" s="638"/>
      <c r="HV348" s="638"/>
      <c r="HW348" s="638"/>
      <c r="HX348" s="638"/>
      <c r="HY348" s="638"/>
      <c r="HZ348" s="638"/>
      <c r="IA348" s="638"/>
      <c r="IB348" s="638"/>
      <c r="IC348" s="638"/>
      <c r="ID348" s="638"/>
      <c r="IE348" s="638"/>
      <c r="IF348" s="638"/>
      <c r="IG348" s="638"/>
      <c r="IH348" s="638"/>
      <c r="II348" s="638"/>
      <c r="IJ348" s="638"/>
      <c r="IK348" s="638"/>
      <c r="IL348" s="638"/>
      <c r="IM348" s="638"/>
      <c r="IN348" s="638"/>
      <c r="IO348" s="638"/>
      <c r="IP348" s="638"/>
    </row>
    <row r="349" spans="1:250" x14ac:dyDescent="0.25">
      <c r="A349" s="2255"/>
      <c r="B349" s="2256"/>
      <c r="C349" s="556">
        <v>300</v>
      </c>
      <c r="D349" s="556">
        <v>300</v>
      </c>
      <c r="E349" s="557">
        <v>0</v>
      </c>
      <c r="F349" s="582">
        <v>1150</v>
      </c>
      <c r="G349" s="583"/>
      <c r="H349" s="1048">
        <f t="shared" si="12"/>
        <v>0</v>
      </c>
      <c r="I349" s="563"/>
      <c r="J349" s="639"/>
      <c r="K349" s="639"/>
      <c r="L349" s="639"/>
      <c r="M349" s="639"/>
      <c r="N349" s="639"/>
      <c r="O349" s="639"/>
      <c r="P349" s="639"/>
      <c r="Q349" s="639"/>
      <c r="R349" s="639"/>
      <c r="S349" s="639"/>
      <c r="T349" s="639"/>
      <c r="U349" s="639"/>
      <c r="V349" s="639"/>
      <c r="W349" s="639"/>
      <c r="X349" s="639"/>
      <c r="Y349" s="639"/>
      <c r="Z349" s="639"/>
      <c r="AA349" s="639"/>
      <c r="AB349" s="639"/>
      <c r="AC349" s="639"/>
      <c r="AD349" s="639"/>
      <c r="AE349" s="639"/>
      <c r="AF349" s="639"/>
      <c r="AG349" s="639"/>
      <c r="AH349" s="639"/>
      <c r="AI349" s="639"/>
      <c r="AJ349" s="639"/>
      <c r="AK349" s="639"/>
      <c r="AL349" s="639"/>
      <c r="AM349" s="639"/>
      <c r="AN349" s="639"/>
      <c r="AO349" s="639"/>
      <c r="AP349" s="639"/>
      <c r="AQ349" s="639"/>
      <c r="AR349" s="639"/>
      <c r="AS349" s="639"/>
      <c r="AT349" s="639"/>
      <c r="AU349" s="639"/>
      <c r="AV349" s="639"/>
      <c r="AW349" s="639"/>
      <c r="AX349" s="639"/>
      <c r="AY349" s="639"/>
      <c r="AZ349" s="639"/>
      <c r="BA349" s="639"/>
      <c r="BB349" s="639"/>
      <c r="BC349" s="639"/>
      <c r="BD349" s="639"/>
      <c r="BE349" s="639"/>
      <c r="BF349" s="639"/>
      <c r="BG349" s="639"/>
      <c r="BH349" s="639"/>
      <c r="BI349" s="639"/>
      <c r="BJ349" s="639"/>
      <c r="BK349" s="639"/>
      <c r="BL349" s="639"/>
      <c r="BM349" s="639"/>
      <c r="BN349" s="639"/>
      <c r="BO349" s="639"/>
      <c r="BP349" s="639"/>
      <c r="BQ349" s="639"/>
      <c r="BR349" s="639"/>
      <c r="BS349" s="639"/>
      <c r="BT349" s="639"/>
      <c r="BU349" s="639"/>
      <c r="BV349" s="639"/>
      <c r="BW349" s="639"/>
      <c r="BX349" s="639"/>
      <c r="BY349" s="639"/>
      <c r="BZ349" s="639"/>
      <c r="CA349" s="639"/>
      <c r="CB349" s="639"/>
      <c r="CC349" s="639"/>
      <c r="CD349" s="639"/>
      <c r="CE349" s="639"/>
      <c r="CF349" s="639"/>
      <c r="CG349" s="639"/>
      <c r="CH349" s="639"/>
      <c r="CI349" s="639"/>
      <c r="CJ349" s="639"/>
      <c r="CK349" s="639"/>
      <c r="CL349" s="639"/>
      <c r="CM349" s="639"/>
      <c r="CN349" s="639"/>
      <c r="CO349" s="639"/>
      <c r="CP349" s="639"/>
      <c r="CQ349" s="639"/>
      <c r="CR349" s="639"/>
      <c r="CS349" s="639"/>
      <c r="CT349" s="639"/>
      <c r="CU349" s="639"/>
      <c r="CV349" s="639"/>
      <c r="CW349" s="639"/>
      <c r="CX349" s="639"/>
      <c r="CY349" s="639"/>
      <c r="CZ349" s="639"/>
      <c r="DA349" s="639"/>
      <c r="DB349" s="639"/>
      <c r="DC349" s="639"/>
      <c r="DD349" s="639"/>
      <c r="DE349" s="639"/>
      <c r="DF349" s="639"/>
      <c r="DG349" s="639"/>
      <c r="DH349" s="639"/>
      <c r="DI349" s="639"/>
      <c r="DJ349" s="639"/>
      <c r="DK349" s="639"/>
      <c r="DL349" s="639"/>
      <c r="DM349" s="639"/>
      <c r="DN349" s="639"/>
      <c r="DO349" s="639"/>
      <c r="DP349" s="639"/>
      <c r="DQ349" s="639"/>
      <c r="DR349" s="639"/>
      <c r="DS349" s="639"/>
      <c r="DT349" s="639"/>
      <c r="DU349" s="639"/>
      <c r="DV349" s="639"/>
      <c r="DW349" s="639"/>
      <c r="DX349" s="639"/>
      <c r="DY349" s="639"/>
      <c r="DZ349" s="639"/>
      <c r="EA349" s="639"/>
      <c r="EB349" s="639"/>
      <c r="EC349" s="639"/>
      <c r="ED349" s="639"/>
      <c r="EE349" s="639"/>
      <c r="EF349" s="639"/>
      <c r="EG349" s="639"/>
      <c r="EH349" s="639"/>
      <c r="EI349" s="639"/>
      <c r="EJ349" s="639"/>
      <c r="EK349" s="639"/>
      <c r="EL349" s="639"/>
      <c r="EM349" s="639"/>
      <c r="EN349" s="639"/>
      <c r="EO349" s="639"/>
      <c r="EP349" s="639"/>
      <c r="EQ349" s="639"/>
      <c r="ER349" s="639"/>
      <c r="ES349" s="639"/>
      <c r="ET349" s="639"/>
      <c r="EU349" s="639"/>
      <c r="EV349" s="639"/>
      <c r="EW349" s="639"/>
      <c r="EX349" s="639"/>
      <c r="EY349" s="639"/>
      <c r="EZ349" s="639"/>
      <c r="FA349" s="639"/>
      <c r="FB349" s="639"/>
      <c r="FC349" s="639"/>
      <c r="FD349" s="639"/>
      <c r="FE349" s="639"/>
      <c r="FF349" s="639"/>
      <c r="FG349" s="639"/>
      <c r="FH349" s="639"/>
      <c r="FI349" s="639"/>
      <c r="FJ349" s="639"/>
      <c r="FK349" s="639"/>
      <c r="FL349" s="639"/>
      <c r="FM349" s="639"/>
      <c r="FN349" s="639"/>
      <c r="FO349" s="639"/>
      <c r="FP349" s="639"/>
      <c r="FQ349" s="639"/>
      <c r="FR349" s="639"/>
      <c r="FS349" s="639"/>
      <c r="FT349" s="639"/>
      <c r="FU349" s="639"/>
      <c r="FV349" s="639"/>
      <c r="FW349" s="639"/>
      <c r="FX349" s="639"/>
      <c r="FY349" s="639"/>
      <c r="FZ349" s="639"/>
      <c r="GA349" s="639"/>
      <c r="GB349" s="639"/>
      <c r="GC349" s="639"/>
      <c r="GD349" s="639"/>
      <c r="GE349" s="639"/>
      <c r="GF349" s="639"/>
      <c r="GG349" s="639"/>
      <c r="GH349" s="639"/>
      <c r="GI349" s="639"/>
      <c r="GJ349" s="639"/>
      <c r="GK349" s="639"/>
      <c r="GL349" s="639"/>
      <c r="GM349" s="639"/>
      <c r="GN349" s="639"/>
      <c r="GO349" s="639"/>
      <c r="GP349" s="639"/>
      <c r="GQ349" s="639"/>
      <c r="GR349" s="639"/>
      <c r="GS349" s="639"/>
      <c r="GT349" s="639"/>
      <c r="GU349" s="639"/>
      <c r="GV349" s="639"/>
      <c r="GW349" s="639"/>
      <c r="GX349" s="639"/>
      <c r="GY349" s="639"/>
      <c r="GZ349" s="639"/>
      <c r="HA349" s="639"/>
      <c r="HB349" s="639"/>
      <c r="HC349" s="639"/>
      <c r="HD349" s="639"/>
      <c r="HE349" s="639"/>
      <c r="HF349" s="639"/>
      <c r="HG349" s="639"/>
      <c r="HH349" s="639"/>
      <c r="HI349" s="639"/>
      <c r="HJ349" s="639"/>
      <c r="HK349" s="639"/>
      <c r="HL349" s="639"/>
      <c r="HM349" s="639"/>
      <c r="HN349" s="639"/>
      <c r="HO349" s="639"/>
      <c r="HP349" s="639"/>
      <c r="HQ349" s="639"/>
      <c r="HR349" s="639"/>
      <c r="HS349" s="639"/>
      <c r="HT349" s="639"/>
      <c r="HU349" s="639"/>
      <c r="HV349" s="639"/>
      <c r="HW349" s="639"/>
      <c r="HX349" s="639"/>
      <c r="HY349" s="639"/>
      <c r="HZ349" s="639"/>
      <c r="IA349" s="639"/>
      <c r="IB349" s="639"/>
      <c r="IC349" s="639"/>
      <c r="ID349" s="639"/>
      <c r="IE349" s="639"/>
      <c r="IF349" s="639"/>
      <c r="IG349" s="639"/>
      <c r="IH349" s="639"/>
      <c r="II349" s="639"/>
      <c r="IJ349" s="639"/>
      <c r="IK349" s="639"/>
      <c r="IL349" s="639"/>
      <c r="IM349" s="639"/>
      <c r="IN349" s="639"/>
      <c r="IO349" s="639"/>
      <c r="IP349" s="639"/>
    </row>
    <row r="350" spans="1:250" x14ac:dyDescent="0.25">
      <c r="A350" s="2255"/>
      <c r="B350" s="2256"/>
      <c r="C350" s="556">
        <v>73</v>
      </c>
      <c r="D350" s="556">
        <v>73</v>
      </c>
      <c r="E350" s="557">
        <v>0</v>
      </c>
      <c r="F350" s="582">
        <v>1210</v>
      </c>
      <c r="G350" s="583"/>
      <c r="H350" s="1048">
        <f t="shared" si="12"/>
        <v>0</v>
      </c>
      <c r="I350" s="640"/>
    </row>
    <row r="351" spans="1:250" x14ac:dyDescent="0.25">
      <c r="A351" s="2255" t="s">
        <v>1117</v>
      </c>
      <c r="B351" s="2256" t="s">
        <v>1118</v>
      </c>
      <c r="C351" s="556">
        <v>210</v>
      </c>
      <c r="D351" s="556">
        <v>210</v>
      </c>
      <c r="E351" s="557">
        <v>0</v>
      </c>
      <c r="F351" s="582">
        <v>1150</v>
      </c>
      <c r="G351" s="583"/>
      <c r="H351" s="1048">
        <f t="shared" si="12"/>
        <v>0</v>
      </c>
      <c r="I351" s="641"/>
    </row>
    <row r="352" spans="1:250" x14ac:dyDescent="0.25">
      <c r="A352" s="2255"/>
      <c r="B352" s="2256"/>
      <c r="C352" s="556">
        <v>51</v>
      </c>
      <c r="D352" s="556">
        <v>51</v>
      </c>
      <c r="E352" s="557">
        <v>0</v>
      </c>
      <c r="F352" s="582">
        <v>1210</v>
      </c>
      <c r="G352" s="583"/>
      <c r="H352" s="1048">
        <f t="shared" si="12"/>
        <v>0</v>
      </c>
      <c r="I352" s="642"/>
    </row>
    <row r="353" spans="1:9" x14ac:dyDescent="0.25">
      <c r="A353" s="2255"/>
      <c r="B353" s="2256"/>
      <c r="C353" s="556">
        <v>45</v>
      </c>
      <c r="D353" s="556">
        <v>45</v>
      </c>
      <c r="E353" s="557">
        <v>0</v>
      </c>
      <c r="F353" s="582">
        <v>2390</v>
      </c>
      <c r="G353" s="583"/>
      <c r="H353" s="1048">
        <f t="shared" si="12"/>
        <v>0</v>
      </c>
      <c r="I353" s="642"/>
    </row>
    <row r="354" spans="1:9" ht="60" x14ac:dyDescent="0.25">
      <c r="A354" s="634" t="s">
        <v>1119</v>
      </c>
      <c r="B354" s="635" t="s">
        <v>1120</v>
      </c>
      <c r="C354" s="556">
        <v>1000</v>
      </c>
      <c r="D354" s="556">
        <v>0</v>
      </c>
      <c r="E354" s="557">
        <v>0</v>
      </c>
      <c r="F354" s="582">
        <v>2251</v>
      </c>
      <c r="G354" s="583"/>
      <c r="H354" s="1048">
        <f t="shared" si="12"/>
        <v>0</v>
      </c>
      <c r="I354" s="642"/>
    </row>
    <row r="355" spans="1:9" x14ac:dyDescent="0.25">
      <c r="A355" s="2247" t="s">
        <v>1121</v>
      </c>
      <c r="B355" s="2249" t="s">
        <v>1122</v>
      </c>
      <c r="C355" s="556">
        <v>200</v>
      </c>
      <c r="D355" s="556">
        <v>200</v>
      </c>
      <c r="E355" s="557">
        <v>0</v>
      </c>
      <c r="F355" s="582">
        <v>2231</v>
      </c>
      <c r="G355" s="583"/>
      <c r="H355" s="1048">
        <f t="shared" si="12"/>
        <v>0</v>
      </c>
      <c r="I355" s="642"/>
    </row>
    <row r="356" spans="1:9" x14ac:dyDescent="0.25">
      <c r="A356" s="2248"/>
      <c r="B356" s="2250"/>
      <c r="C356" s="556">
        <v>250</v>
      </c>
      <c r="D356" s="556">
        <v>250</v>
      </c>
      <c r="E356" s="557">
        <v>0</v>
      </c>
      <c r="F356" s="582">
        <v>2390</v>
      </c>
      <c r="G356" s="583"/>
      <c r="H356" s="1048">
        <f t="shared" si="12"/>
        <v>0</v>
      </c>
      <c r="I356" s="642"/>
    </row>
    <row r="357" spans="1:9" x14ac:dyDescent="0.25">
      <c r="A357" s="643" t="s">
        <v>1123</v>
      </c>
      <c r="B357" s="644" t="s">
        <v>1124</v>
      </c>
      <c r="C357" s="645">
        <v>20000</v>
      </c>
      <c r="D357" s="645">
        <v>20000</v>
      </c>
      <c r="E357" s="646">
        <v>0</v>
      </c>
      <c r="F357" s="647">
        <v>2235</v>
      </c>
      <c r="G357" s="648"/>
      <c r="H357" s="1050">
        <f t="shared" si="12"/>
        <v>0</v>
      </c>
      <c r="I357" s="649"/>
    </row>
    <row r="358" spans="1:9" x14ac:dyDescent="0.25">
      <c r="A358" s="650"/>
      <c r="B358" s="650"/>
      <c r="C358" s="650"/>
      <c r="D358" s="650"/>
      <c r="E358" s="651"/>
      <c r="F358" s="650"/>
      <c r="G358" s="650"/>
      <c r="H358" s="650"/>
      <c r="I358" s="652"/>
    </row>
    <row r="359" spans="1:9" x14ac:dyDescent="0.25">
      <c r="A359" s="650"/>
      <c r="B359" s="650"/>
      <c r="C359" s="650"/>
      <c r="D359" s="650"/>
      <c r="E359" s="651"/>
      <c r="F359" s="650"/>
      <c r="G359" s="650"/>
      <c r="H359" s="650"/>
      <c r="I359" s="652"/>
    </row>
    <row r="360" spans="1:9" s="328" customFormat="1" ht="12" x14ac:dyDescent="0.2">
      <c r="A360" s="533" t="s">
        <v>115</v>
      </c>
      <c r="C360" s="653" t="s">
        <v>1125</v>
      </c>
      <c r="D360" s="653"/>
      <c r="E360" s="653"/>
      <c r="F360" s="653"/>
      <c r="G360" s="653"/>
      <c r="H360" s="653"/>
      <c r="I360" s="654"/>
    </row>
    <row r="361" spans="1:9" s="328" customFormat="1" ht="12" x14ac:dyDescent="0.2">
      <c r="A361" s="533" t="s">
        <v>117</v>
      </c>
      <c r="C361" s="2170" t="s">
        <v>744</v>
      </c>
      <c r="D361" s="2170"/>
      <c r="E361" s="2170"/>
      <c r="F361" s="2170"/>
      <c r="G361" s="2170"/>
      <c r="H361" s="2170"/>
      <c r="I361" s="654"/>
    </row>
    <row r="362" spans="1:9" x14ac:dyDescent="0.25">
      <c r="A362" s="650"/>
      <c r="B362" s="650"/>
      <c r="C362" s="650"/>
      <c r="D362" s="650"/>
      <c r="E362" s="651"/>
      <c r="F362" s="650"/>
      <c r="G362" s="650"/>
      <c r="H362" s="650"/>
      <c r="I362" s="652"/>
    </row>
    <row r="363" spans="1:9" s="328" customFormat="1" ht="12" x14ac:dyDescent="0.2">
      <c r="A363" s="2183" t="s">
        <v>47</v>
      </c>
      <c r="B363" s="2185" t="s">
        <v>119</v>
      </c>
      <c r="C363" s="2185" t="s">
        <v>120</v>
      </c>
      <c r="D363" s="2185" t="s">
        <v>121</v>
      </c>
      <c r="E363" s="2185" t="s">
        <v>122</v>
      </c>
      <c r="F363" s="535"/>
      <c r="G363" s="535"/>
      <c r="H363" s="535"/>
      <c r="I363" s="2187" t="s">
        <v>126</v>
      </c>
    </row>
    <row r="364" spans="1:9" s="328" customFormat="1" ht="36" x14ac:dyDescent="0.2">
      <c r="A364" s="2184"/>
      <c r="B364" s="2186"/>
      <c r="C364" s="2186"/>
      <c r="D364" s="2186"/>
      <c r="E364" s="2186"/>
      <c r="F364" s="333" t="s">
        <v>129</v>
      </c>
      <c r="G364" s="333" t="s">
        <v>124</v>
      </c>
      <c r="H364" s="1801" t="s">
        <v>2165</v>
      </c>
      <c r="I364" s="2188"/>
    </row>
    <row r="365" spans="1:9" x14ac:dyDescent="0.25">
      <c r="A365" s="536"/>
      <c r="B365" s="537" t="s">
        <v>130</v>
      </c>
      <c r="C365" s="538">
        <f>SUM(C366:C372)</f>
        <v>758</v>
      </c>
      <c r="D365" s="538">
        <f>SUM(D366:D372)</f>
        <v>758</v>
      </c>
      <c r="E365" s="538">
        <f>SUM(E366)</f>
        <v>0</v>
      </c>
      <c r="F365" s="539"/>
      <c r="G365" s="936">
        <f>SUM(G366)</f>
        <v>0</v>
      </c>
      <c r="H365" s="539"/>
      <c r="I365" s="655"/>
    </row>
    <row r="366" spans="1:9" ht="36.75" x14ac:dyDescent="0.25">
      <c r="A366" s="656">
        <v>1</v>
      </c>
      <c r="B366" s="657" t="s">
        <v>1126</v>
      </c>
      <c r="C366" s="658">
        <v>758</v>
      </c>
      <c r="D366" s="658">
        <v>758</v>
      </c>
      <c r="E366" s="659">
        <v>0</v>
      </c>
      <c r="F366" s="660">
        <v>6423</v>
      </c>
      <c r="G366" s="661"/>
      <c r="H366" s="661">
        <f t="shared" ref="H366" si="13">ROUNDUP(G366/0.702804,0)</f>
        <v>0</v>
      </c>
      <c r="I366" s="662"/>
    </row>
    <row r="367" spans="1:9" x14ac:dyDescent="0.25">
      <c r="A367" s="650"/>
      <c r="B367" s="650"/>
      <c r="C367" s="650"/>
      <c r="D367" s="650"/>
      <c r="E367" s="651"/>
      <c r="F367" s="650"/>
      <c r="G367" s="650"/>
      <c r="H367" s="650"/>
      <c r="I367" s="652"/>
    </row>
    <row r="368" spans="1:9" x14ac:dyDescent="0.25">
      <c r="A368" s="650"/>
      <c r="B368" s="650"/>
      <c r="C368" s="650"/>
      <c r="D368" s="650"/>
      <c r="E368" s="651"/>
      <c r="F368" s="650"/>
      <c r="G368" s="650"/>
      <c r="H368" s="650"/>
      <c r="I368" s="652"/>
    </row>
    <row r="369" spans="1:9" s="328" customFormat="1" ht="12" x14ac:dyDescent="0.2">
      <c r="A369" s="533" t="s">
        <v>115</v>
      </c>
      <c r="C369" s="2169" t="s">
        <v>1127</v>
      </c>
      <c r="D369" s="2169"/>
      <c r="E369" s="2169"/>
      <c r="F369" s="2169"/>
      <c r="G369" s="2169"/>
      <c r="H369" s="2169"/>
      <c r="I369" s="654"/>
    </row>
    <row r="370" spans="1:9" s="328" customFormat="1" ht="12" x14ac:dyDescent="0.2">
      <c r="A370" s="533" t="s">
        <v>117</v>
      </c>
      <c r="C370" s="2170" t="s">
        <v>1128</v>
      </c>
      <c r="D370" s="2170"/>
      <c r="E370" s="2170"/>
      <c r="F370" s="2170"/>
      <c r="G370" s="2170"/>
      <c r="H370" s="2170"/>
      <c r="I370" s="654"/>
    </row>
    <row r="371" spans="1:9" x14ac:dyDescent="0.25">
      <c r="A371" s="650"/>
      <c r="B371" s="650"/>
      <c r="C371" s="650"/>
      <c r="D371" s="650"/>
      <c r="E371" s="651"/>
      <c r="F371" s="650"/>
      <c r="G371" s="650"/>
      <c r="H371" s="650"/>
      <c r="I371" s="652"/>
    </row>
    <row r="372" spans="1:9" s="328" customFormat="1" ht="12" x14ac:dyDescent="0.2">
      <c r="A372" s="2183" t="s">
        <v>47</v>
      </c>
      <c r="B372" s="2185" t="s">
        <v>119</v>
      </c>
      <c r="C372" s="2185" t="s">
        <v>120</v>
      </c>
      <c r="D372" s="2185" t="s">
        <v>121</v>
      </c>
      <c r="E372" s="2185" t="s">
        <v>122</v>
      </c>
      <c r="F372" s="535"/>
      <c r="G372" s="535"/>
      <c r="H372" s="535"/>
      <c r="I372" s="2187" t="s">
        <v>126</v>
      </c>
    </row>
    <row r="373" spans="1:9" s="328" customFormat="1" ht="36" x14ac:dyDescent="0.2">
      <c r="A373" s="2184"/>
      <c r="B373" s="2186"/>
      <c r="C373" s="2186"/>
      <c r="D373" s="2186"/>
      <c r="E373" s="2186"/>
      <c r="F373" s="333" t="s">
        <v>129</v>
      </c>
      <c r="G373" s="333" t="s">
        <v>124</v>
      </c>
      <c r="H373" s="1801" t="s">
        <v>2165</v>
      </c>
      <c r="I373" s="2188"/>
    </row>
    <row r="374" spans="1:9" x14ac:dyDescent="0.25">
      <c r="A374" s="536"/>
      <c r="B374" s="537" t="s">
        <v>130</v>
      </c>
      <c r="C374" s="538">
        <f>SUM(C375:C383)</f>
        <v>1057</v>
      </c>
      <c r="D374" s="538">
        <f t="shared" ref="D374" si="14">SUM(D375:D383)</f>
        <v>765</v>
      </c>
      <c r="E374" s="538">
        <f>SUM(E375:E383)</f>
        <v>2300</v>
      </c>
      <c r="F374" s="539"/>
      <c r="G374" s="538">
        <f>SUM(G375:G383)</f>
        <v>1770</v>
      </c>
      <c r="H374" s="538">
        <f>SUM(H375:H383)</f>
        <v>2524</v>
      </c>
      <c r="I374" s="655"/>
    </row>
    <row r="375" spans="1:9" ht="24.75" x14ac:dyDescent="0.25">
      <c r="A375" s="663">
        <v>1</v>
      </c>
      <c r="B375" s="664" t="s">
        <v>1129</v>
      </c>
      <c r="C375" s="665">
        <v>257</v>
      </c>
      <c r="D375" s="665">
        <v>256</v>
      </c>
      <c r="E375" s="666">
        <v>0</v>
      </c>
      <c r="F375" s="1804">
        <v>2239</v>
      </c>
      <c r="G375" s="667"/>
      <c r="H375" s="667">
        <f t="shared" ref="H375:H383" si="15">ROUNDUP(G375/0.702804,0)</f>
        <v>0</v>
      </c>
      <c r="I375" s="668"/>
    </row>
    <row r="376" spans="1:9" ht="24.75" x14ac:dyDescent="0.25">
      <c r="A376" s="669">
        <v>2</v>
      </c>
      <c r="B376" s="585" t="s">
        <v>1130</v>
      </c>
      <c r="C376" s="670">
        <v>0</v>
      </c>
      <c r="D376" s="670">
        <v>0</v>
      </c>
      <c r="E376" s="671">
        <v>300</v>
      </c>
      <c r="F376" s="1805">
        <v>2239</v>
      </c>
      <c r="G376" s="672">
        <v>270</v>
      </c>
      <c r="H376" s="667">
        <f t="shared" si="15"/>
        <v>385</v>
      </c>
      <c r="I376" s="640"/>
    </row>
    <row r="377" spans="1:9" ht="36.75" x14ac:dyDescent="0.25">
      <c r="A377" s="669">
        <v>3</v>
      </c>
      <c r="B377" s="585" t="s">
        <v>1131</v>
      </c>
      <c r="C377" s="670">
        <v>0</v>
      </c>
      <c r="D377" s="670">
        <v>0</v>
      </c>
      <c r="E377" s="671">
        <v>200</v>
      </c>
      <c r="F377" s="1805">
        <v>2239</v>
      </c>
      <c r="G377" s="672">
        <v>180</v>
      </c>
      <c r="H377" s="667">
        <f t="shared" si="15"/>
        <v>257</v>
      </c>
      <c r="I377" s="640"/>
    </row>
    <row r="378" spans="1:9" ht="24.75" x14ac:dyDescent="0.25">
      <c r="A378" s="669">
        <v>4</v>
      </c>
      <c r="B378" s="585" t="s">
        <v>1132</v>
      </c>
      <c r="C378" s="670">
        <v>0</v>
      </c>
      <c r="D378" s="670">
        <v>0</v>
      </c>
      <c r="E378" s="671">
        <v>200</v>
      </c>
      <c r="F378" s="1805">
        <v>2239</v>
      </c>
      <c r="G378" s="672">
        <v>180</v>
      </c>
      <c r="H378" s="667">
        <f t="shared" si="15"/>
        <v>257</v>
      </c>
      <c r="I378" s="640"/>
    </row>
    <row r="379" spans="1:9" ht="36.75" x14ac:dyDescent="0.25">
      <c r="A379" s="669">
        <v>5</v>
      </c>
      <c r="B379" s="585" t="s">
        <v>1133</v>
      </c>
      <c r="C379" s="670">
        <v>0</v>
      </c>
      <c r="D379" s="670">
        <v>0</v>
      </c>
      <c r="E379" s="671">
        <v>400</v>
      </c>
      <c r="F379" s="1805">
        <v>2239</v>
      </c>
      <c r="G379" s="672">
        <v>180</v>
      </c>
      <c r="H379" s="667">
        <f t="shared" si="15"/>
        <v>257</v>
      </c>
      <c r="I379" s="640"/>
    </row>
    <row r="380" spans="1:9" x14ac:dyDescent="0.25">
      <c r="A380" s="669">
        <v>6</v>
      </c>
      <c r="B380" s="585" t="s">
        <v>1134</v>
      </c>
      <c r="C380" s="670">
        <v>0</v>
      </c>
      <c r="D380" s="670">
        <v>0</v>
      </c>
      <c r="E380" s="671">
        <v>400</v>
      </c>
      <c r="F380" s="1805">
        <v>2239</v>
      </c>
      <c r="G380" s="672">
        <v>270</v>
      </c>
      <c r="H380" s="667">
        <f t="shared" si="15"/>
        <v>385</v>
      </c>
      <c r="I380" s="640"/>
    </row>
    <row r="381" spans="1:9" ht="24.75" x14ac:dyDescent="0.25">
      <c r="A381" s="669">
        <v>7</v>
      </c>
      <c r="B381" s="585" t="s">
        <v>1135</v>
      </c>
      <c r="C381" s="670">
        <v>0</v>
      </c>
      <c r="D381" s="670">
        <v>0</v>
      </c>
      <c r="E381" s="671">
        <v>400</v>
      </c>
      <c r="F381" s="1805">
        <v>2239</v>
      </c>
      <c r="G381" s="672">
        <v>340</v>
      </c>
      <c r="H381" s="667">
        <f t="shared" si="15"/>
        <v>484</v>
      </c>
      <c r="I381" s="640"/>
    </row>
    <row r="382" spans="1:9" ht="24.75" x14ac:dyDescent="0.25">
      <c r="A382" s="669">
        <v>8</v>
      </c>
      <c r="B382" s="585" t="s">
        <v>1136</v>
      </c>
      <c r="C382" s="670">
        <v>400</v>
      </c>
      <c r="D382" s="670">
        <v>207</v>
      </c>
      <c r="E382" s="671">
        <v>0</v>
      </c>
      <c r="F382" s="1805">
        <v>2239</v>
      </c>
      <c r="G382" s="672"/>
      <c r="H382" s="667">
        <f t="shared" si="15"/>
        <v>0</v>
      </c>
      <c r="I382" s="640"/>
    </row>
    <row r="383" spans="1:9" x14ac:dyDescent="0.25">
      <c r="A383" s="673">
        <v>9</v>
      </c>
      <c r="B383" s="674" t="s">
        <v>1137</v>
      </c>
      <c r="C383" s="675">
        <v>400</v>
      </c>
      <c r="D383" s="675">
        <v>302</v>
      </c>
      <c r="E383" s="676">
        <v>400</v>
      </c>
      <c r="F383" s="1806">
        <v>2370</v>
      </c>
      <c r="G383" s="677">
        <v>350</v>
      </c>
      <c r="H383" s="667">
        <f t="shared" si="15"/>
        <v>499</v>
      </c>
      <c r="I383" s="678"/>
    </row>
    <row r="384" spans="1:9" s="328" customFormat="1" ht="12" x14ac:dyDescent="0.2">
      <c r="A384" s="2245" t="s">
        <v>2170</v>
      </c>
      <c r="B384" s="2246"/>
      <c r="C384" s="679">
        <f t="shared" ref="C384:G384" si="16">C374+C365+C15</f>
        <v>94677</v>
      </c>
      <c r="D384" s="679">
        <f t="shared" si="16"/>
        <v>84866</v>
      </c>
      <c r="E384" s="679">
        <f t="shared" si="16"/>
        <v>139298</v>
      </c>
      <c r="F384" s="679">
        <f t="shared" si="16"/>
        <v>0</v>
      </c>
      <c r="G384" s="679">
        <f t="shared" si="16"/>
        <v>101383</v>
      </c>
      <c r="H384" s="679">
        <f>H374+H365+H15</f>
        <v>144367</v>
      </c>
      <c r="I384" s="680"/>
    </row>
    <row r="385" spans="1:9" s="328" customFormat="1" ht="12" x14ac:dyDescent="0.2">
      <c r="A385" s="681"/>
      <c r="I385" s="654"/>
    </row>
    <row r="386" spans="1:9" s="328" customFormat="1" ht="12" x14ac:dyDescent="0.2">
      <c r="A386" s="681"/>
      <c r="I386" s="654"/>
    </row>
    <row r="387" spans="1:9" x14ac:dyDescent="0.25">
      <c r="A387" s="650"/>
      <c r="B387" s="650"/>
      <c r="C387" s="650"/>
      <c r="D387" s="650"/>
      <c r="E387" s="651"/>
      <c r="F387" s="650"/>
      <c r="G387" s="650"/>
      <c r="H387" s="650"/>
      <c r="I387" s="682"/>
    </row>
    <row r="388" spans="1:9" x14ac:dyDescent="0.25">
      <c r="A388" s="650"/>
      <c r="B388" s="650"/>
      <c r="C388" s="650"/>
      <c r="D388" s="650"/>
      <c r="E388" s="651"/>
      <c r="F388" s="650"/>
      <c r="G388" s="650"/>
      <c r="H388" s="650"/>
      <c r="I388" s="682"/>
    </row>
    <row r="389" spans="1:9" x14ac:dyDescent="0.25">
      <c r="A389" s="650"/>
      <c r="B389" s="650"/>
      <c r="C389" s="650"/>
      <c r="D389" s="650"/>
      <c r="E389" s="651"/>
      <c r="F389" s="650"/>
      <c r="G389" s="650"/>
      <c r="H389" s="650"/>
      <c r="I389" s="682"/>
    </row>
  </sheetData>
  <sheetProtection password="CA5B" sheet="1" objects="1" scenarios="1"/>
  <mergeCells count="190">
    <mergeCell ref="A8:I8"/>
    <mergeCell ref="C10:H10"/>
    <mergeCell ref="C12:H12"/>
    <mergeCell ref="A13:A14"/>
    <mergeCell ref="B13:B14"/>
    <mergeCell ref="C13:C14"/>
    <mergeCell ref="D13:D14"/>
    <mergeCell ref="E13:E14"/>
    <mergeCell ref="F1:I3"/>
    <mergeCell ref="A28:A32"/>
    <mergeCell ref="B28:B32"/>
    <mergeCell ref="A33:A35"/>
    <mergeCell ref="B33:B35"/>
    <mergeCell ref="A36:A38"/>
    <mergeCell ref="B36:B38"/>
    <mergeCell ref="I13:I14"/>
    <mergeCell ref="A17:A18"/>
    <mergeCell ref="B17:B18"/>
    <mergeCell ref="A19:A20"/>
    <mergeCell ref="B19:B20"/>
    <mergeCell ref="A22:A24"/>
    <mergeCell ref="B22:B24"/>
    <mergeCell ref="A53:A55"/>
    <mergeCell ref="B53:B55"/>
    <mergeCell ref="A56:A58"/>
    <mergeCell ref="B56:B58"/>
    <mergeCell ref="A59:A61"/>
    <mergeCell ref="B59:B61"/>
    <mergeCell ref="A39:A41"/>
    <mergeCell ref="B39:B41"/>
    <mergeCell ref="A46:A48"/>
    <mergeCell ref="B46:B48"/>
    <mergeCell ref="A49:A50"/>
    <mergeCell ref="B49:B50"/>
    <mergeCell ref="A77:A79"/>
    <mergeCell ref="B77:B79"/>
    <mergeCell ref="A83:A88"/>
    <mergeCell ref="B83:B88"/>
    <mergeCell ref="A91:A95"/>
    <mergeCell ref="B91:B95"/>
    <mergeCell ref="A62:A63"/>
    <mergeCell ref="B62:B63"/>
    <mergeCell ref="A67:A69"/>
    <mergeCell ref="B67:B69"/>
    <mergeCell ref="A70:A71"/>
    <mergeCell ref="B70:B71"/>
    <mergeCell ref="A105:A107"/>
    <mergeCell ref="B105:B107"/>
    <mergeCell ref="A108:A110"/>
    <mergeCell ref="B108:B110"/>
    <mergeCell ref="A119:A121"/>
    <mergeCell ref="B119:B121"/>
    <mergeCell ref="A97:A98"/>
    <mergeCell ref="B97:B98"/>
    <mergeCell ref="A99:A100"/>
    <mergeCell ref="B99:B100"/>
    <mergeCell ref="A101:A102"/>
    <mergeCell ref="B101:B102"/>
    <mergeCell ref="A131:A133"/>
    <mergeCell ref="B131:B133"/>
    <mergeCell ref="A134:A136"/>
    <mergeCell ref="B134:B136"/>
    <mergeCell ref="A137:A139"/>
    <mergeCell ref="B137:B139"/>
    <mergeCell ref="A122:A124"/>
    <mergeCell ref="B122:B124"/>
    <mergeCell ref="A125:A127"/>
    <mergeCell ref="B125:B127"/>
    <mergeCell ref="A128:A130"/>
    <mergeCell ref="B128:B130"/>
    <mergeCell ref="A150:A152"/>
    <mergeCell ref="B150:B152"/>
    <mergeCell ref="A153:A155"/>
    <mergeCell ref="B153:B155"/>
    <mergeCell ref="A165:A167"/>
    <mergeCell ref="B165:B167"/>
    <mergeCell ref="A140:A142"/>
    <mergeCell ref="B140:B142"/>
    <mergeCell ref="A143:A145"/>
    <mergeCell ref="B143:B145"/>
    <mergeCell ref="A146:A148"/>
    <mergeCell ref="B146:B148"/>
    <mergeCell ref="A176:A178"/>
    <mergeCell ref="B176:B178"/>
    <mergeCell ref="A192:A194"/>
    <mergeCell ref="B192:B194"/>
    <mergeCell ref="A195:A197"/>
    <mergeCell ref="B195:B197"/>
    <mergeCell ref="A168:A169"/>
    <mergeCell ref="B168:B169"/>
    <mergeCell ref="A170:A172"/>
    <mergeCell ref="B170:B172"/>
    <mergeCell ref="A173:A174"/>
    <mergeCell ref="B173:B174"/>
    <mergeCell ref="A234:A238"/>
    <mergeCell ref="B234:B238"/>
    <mergeCell ref="A205:A206"/>
    <mergeCell ref="B205:B206"/>
    <mergeCell ref="A207:A208"/>
    <mergeCell ref="B207:B208"/>
    <mergeCell ref="A209:A211"/>
    <mergeCell ref="B209:B211"/>
    <mergeCell ref="A199:A200"/>
    <mergeCell ref="B199:B200"/>
    <mergeCell ref="A201:A202"/>
    <mergeCell ref="B201:B202"/>
    <mergeCell ref="A203:A204"/>
    <mergeCell ref="B203:B204"/>
    <mergeCell ref="A229:A230"/>
    <mergeCell ref="B229:B230"/>
    <mergeCell ref="A213:A214"/>
    <mergeCell ref="B213:B214"/>
    <mergeCell ref="A215:A217"/>
    <mergeCell ref="B215:B217"/>
    <mergeCell ref="A223:A225"/>
    <mergeCell ref="B223:B225"/>
    <mergeCell ref="B231:B233"/>
    <mergeCell ref="A231:A233"/>
    <mergeCell ref="A252:A254"/>
    <mergeCell ref="B252:B254"/>
    <mergeCell ref="A255:A256"/>
    <mergeCell ref="B255:B256"/>
    <mergeCell ref="A257:A258"/>
    <mergeCell ref="B257:B258"/>
    <mergeCell ref="A239:A240"/>
    <mergeCell ref="B239:B240"/>
    <mergeCell ref="A242:A247"/>
    <mergeCell ref="B242:B247"/>
    <mergeCell ref="A248:A251"/>
    <mergeCell ref="B248:B251"/>
    <mergeCell ref="A279:A284"/>
    <mergeCell ref="B279:B284"/>
    <mergeCell ref="A286:A289"/>
    <mergeCell ref="B286:B289"/>
    <mergeCell ref="A290:A292"/>
    <mergeCell ref="B290:B292"/>
    <mergeCell ref="A259:A261"/>
    <mergeCell ref="B259:B261"/>
    <mergeCell ref="A268:A269"/>
    <mergeCell ref="B268:B269"/>
    <mergeCell ref="A272:A278"/>
    <mergeCell ref="B272:B278"/>
    <mergeCell ref="A301:A302"/>
    <mergeCell ref="B301:B302"/>
    <mergeCell ref="A306:A311"/>
    <mergeCell ref="B306:B311"/>
    <mergeCell ref="A313:A315"/>
    <mergeCell ref="B313:B315"/>
    <mergeCell ref="A293:A295"/>
    <mergeCell ref="B293:B295"/>
    <mergeCell ref="A297:A298"/>
    <mergeCell ref="B297:B298"/>
    <mergeCell ref="A299:A300"/>
    <mergeCell ref="B299:B300"/>
    <mergeCell ref="A328:A331"/>
    <mergeCell ref="B328:B331"/>
    <mergeCell ref="A332:A336"/>
    <mergeCell ref="B332:B336"/>
    <mergeCell ref="A337:A343"/>
    <mergeCell ref="B337:B343"/>
    <mergeCell ref="A316:A317"/>
    <mergeCell ref="B316:B317"/>
    <mergeCell ref="A318:A320"/>
    <mergeCell ref="B318:B320"/>
    <mergeCell ref="A322:A327"/>
    <mergeCell ref="B322:B327"/>
    <mergeCell ref="A355:A356"/>
    <mergeCell ref="B355:B356"/>
    <mergeCell ref="C361:H361"/>
    <mergeCell ref="A363:A364"/>
    <mergeCell ref="B363:B364"/>
    <mergeCell ref="C363:C364"/>
    <mergeCell ref="D363:D364"/>
    <mergeCell ref="E363:E364"/>
    <mergeCell ref="A344:A345"/>
    <mergeCell ref="B344:B345"/>
    <mergeCell ref="A346:A350"/>
    <mergeCell ref="B346:B350"/>
    <mergeCell ref="A351:A353"/>
    <mergeCell ref="B351:B353"/>
    <mergeCell ref="A384:B384"/>
    <mergeCell ref="I363:I364"/>
    <mergeCell ref="C369:H369"/>
    <mergeCell ref="C370:H370"/>
    <mergeCell ref="A372:A373"/>
    <mergeCell ref="B372:B373"/>
    <mergeCell ref="C372:C373"/>
    <mergeCell ref="D372:D373"/>
    <mergeCell ref="E372:E373"/>
    <mergeCell ref="I372:I373"/>
  </mergeCells>
  <pageMargins left="1.1023622047244095" right="0.51181102362204722" top="0.78740157480314965" bottom="0.39370078740157483" header="0.31496062992125984" footer="0.31496062992125984"/>
  <pageSetup paperSize="9" scale="70" orientation="portrait" r:id="rId1"/>
  <headerFooter>
    <oddHeader xml:space="preserve">&amp;R&amp;"Times New Roman,Bold"&amp;8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8"/>
  <sheetViews>
    <sheetView zoomScaleNormal="100" workbookViewId="0">
      <selection activeCell="I31" sqref="I31"/>
    </sheetView>
  </sheetViews>
  <sheetFormatPr defaultRowHeight="12.75" x14ac:dyDescent="0.2"/>
  <cols>
    <col min="1" max="1" width="9.140625" style="845"/>
    <col min="2" max="2" width="31.140625" style="845" customWidth="1"/>
    <col min="3" max="3" width="12.5703125" style="845" customWidth="1"/>
    <col min="4" max="4" width="10.7109375" style="845" customWidth="1"/>
    <col min="5" max="5" width="10.28515625" style="845" customWidth="1"/>
    <col min="6" max="6" width="10.85546875" style="845" customWidth="1"/>
    <col min="7" max="7" width="9.5703125" style="845" hidden="1" customWidth="1"/>
    <col min="8" max="8" width="10.140625" style="893" customWidth="1"/>
    <col min="9" max="9" width="44.140625" style="845" customWidth="1"/>
    <col min="10" max="244" width="9.140625" style="845"/>
    <col min="245" max="245" width="35.85546875" style="845" customWidth="1"/>
    <col min="246" max="246" width="13.85546875" style="845" customWidth="1"/>
    <col min="247" max="247" width="9.140625" style="845"/>
    <col min="248" max="248" width="13.7109375" style="845" customWidth="1"/>
    <col min="249" max="249" width="14.28515625" style="845" customWidth="1"/>
    <col min="250" max="250" width="17" style="845" customWidth="1"/>
    <col min="251" max="251" width="46.85546875" style="845" customWidth="1"/>
    <col min="252" max="500" width="9.140625" style="845"/>
    <col min="501" max="501" width="35.85546875" style="845" customWidth="1"/>
    <col min="502" max="502" width="13.85546875" style="845" customWidth="1"/>
    <col min="503" max="503" width="9.140625" style="845"/>
    <col min="504" max="504" width="13.7109375" style="845" customWidth="1"/>
    <col min="505" max="505" width="14.28515625" style="845" customWidth="1"/>
    <col min="506" max="506" width="17" style="845" customWidth="1"/>
    <col min="507" max="507" width="46.85546875" style="845" customWidth="1"/>
    <col min="508" max="756" width="9.140625" style="845"/>
    <col min="757" max="757" width="35.85546875" style="845" customWidth="1"/>
    <col min="758" max="758" width="13.85546875" style="845" customWidth="1"/>
    <col min="759" max="759" width="9.140625" style="845"/>
    <col min="760" max="760" width="13.7109375" style="845" customWidth="1"/>
    <col min="761" max="761" width="14.28515625" style="845" customWidth="1"/>
    <col min="762" max="762" width="17" style="845" customWidth="1"/>
    <col min="763" max="763" width="46.85546875" style="845" customWidth="1"/>
    <col min="764" max="1012" width="9.140625" style="845"/>
    <col min="1013" max="1013" width="35.85546875" style="845" customWidth="1"/>
    <col min="1014" max="1014" width="13.85546875" style="845" customWidth="1"/>
    <col min="1015" max="1015" width="9.140625" style="845"/>
    <col min="1016" max="1016" width="13.7109375" style="845" customWidth="1"/>
    <col min="1017" max="1017" width="14.28515625" style="845" customWidth="1"/>
    <col min="1018" max="1018" width="17" style="845" customWidth="1"/>
    <col min="1019" max="1019" width="46.85546875" style="845" customWidth="1"/>
    <col min="1020" max="1268" width="9.140625" style="845"/>
    <col min="1269" max="1269" width="35.85546875" style="845" customWidth="1"/>
    <col min="1270" max="1270" width="13.85546875" style="845" customWidth="1"/>
    <col min="1271" max="1271" width="9.140625" style="845"/>
    <col min="1272" max="1272" width="13.7109375" style="845" customWidth="1"/>
    <col min="1273" max="1273" width="14.28515625" style="845" customWidth="1"/>
    <col min="1274" max="1274" width="17" style="845" customWidth="1"/>
    <col min="1275" max="1275" width="46.85546875" style="845" customWidth="1"/>
    <col min="1276" max="1524" width="9.140625" style="845"/>
    <col min="1525" max="1525" width="35.85546875" style="845" customWidth="1"/>
    <col min="1526" max="1526" width="13.85546875" style="845" customWidth="1"/>
    <col min="1527" max="1527" width="9.140625" style="845"/>
    <col min="1528" max="1528" width="13.7109375" style="845" customWidth="1"/>
    <col min="1529" max="1529" width="14.28515625" style="845" customWidth="1"/>
    <col min="1530" max="1530" width="17" style="845" customWidth="1"/>
    <col min="1531" max="1531" width="46.85546875" style="845" customWidth="1"/>
    <col min="1532" max="1780" width="9.140625" style="845"/>
    <col min="1781" max="1781" width="35.85546875" style="845" customWidth="1"/>
    <col min="1782" max="1782" width="13.85546875" style="845" customWidth="1"/>
    <col min="1783" max="1783" width="9.140625" style="845"/>
    <col min="1784" max="1784" width="13.7109375" style="845" customWidth="1"/>
    <col min="1785" max="1785" width="14.28515625" style="845" customWidth="1"/>
    <col min="1786" max="1786" width="17" style="845" customWidth="1"/>
    <col min="1787" max="1787" width="46.85546875" style="845" customWidth="1"/>
    <col min="1788" max="2036" width="9.140625" style="845"/>
    <col min="2037" max="2037" width="35.85546875" style="845" customWidth="1"/>
    <col min="2038" max="2038" width="13.85546875" style="845" customWidth="1"/>
    <col min="2039" max="2039" width="9.140625" style="845"/>
    <col min="2040" max="2040" width="13.7109375" style="845" customWidth="1"/>
    <col min="2041" max="2041" width="14.28515625" style="845" customWidth="1"/>
    <col min="2042" max="2042" width="17" style="845" customWidth="1"/>
    <col min="2043" max="2043" width="46.85546875" style="845" customWidth="1"/>
    <col min="2044" max="2292" width="9.140625" style="845"/>
    <col min="2293" max="2293" width="35.85546875" style="845" customWidth="1"/>
    <col min="2294" max="2294" width="13.85546875" style="845" customWidth="1"/>
    <col min="2295" max="2295" width="9.140625" style="845"/>
    <col min="2296" max="2296" width="13.7109375" style="845" customWidth="1"/>
    <col min="2297" max="2297" width="14.28515625" style="845" customWidth="1"/>
    <col min="2298" max="2298" width="17" style="845" customWidth="1"/>
    <col min="2299" max="2299" width="46.85546875" style="845" customWidth="1"/>
    <col min="2300" max="2548" width="9.140625" style="845"/>
    <col min="2549" max="2549" width="35.85546875" style="845" customWidth="1"/>
    <col min="2550" max="2550" width="13.85546875" style="845" customWidth="1"/>
    <col min="2551" max="2551" width="9.140625" style="845"/>
    <col min="2552" max="2552" width="13.7109375" style="845" customWidth="1"/>
    <col min="2553" max="2553" width="14.28515625" style="845" customWidth="1"/>
    <col min="2554" max="2554" width="17" style="845" customWidth="1"/>
    <col min="2555" max="2555" width="46.85546875" style="845" customWidth="1"/>
    <col min="2556" max="2804" width="9.140625" style="845"/>
    <col min="2805" max="2805" width="35.85546875" style="845" customWidth="1"/>
    <col min="2806" max="2806" width="13.85546875" style="845" customWidth="1"/>
    <col min="2807" max="2807" width="9.140625" style="845"/>
    <col min="2808" max="2808" width="13.7109375" style="845" customWidth="1"/>
    <col min="2809" max="2809" width="14.28515625" style="845" customWidth="1"/>
    <col min="2810" max="2810" width="17" style="845" customWidth="1"/>
    <col min="2811" max="2811" width="46.85546875" style="845" customWidth="1"/>
    <col min="2812" max="3060" width="9.140625" style="845"/>
    <col min="3061" max="3061" width="35.85546875" style="845" customWidth="1"/>
    <col min="3062" max="3062" width="13.85546875" style="845" customWidth="1"/>
    <col min="3063" max="3063" width="9.140625" style="845"/>
    <col min="3064" max="3064" width="13.7109375" style="845" customWidth="1"/>
    <col min="3065" max="3065" width="14.28515625" style="845" customWidth="1"/>
    <col min="3066" max="3066" width="17" style="845" customWidth="1"/>
    <col min="3067" max="3067" width="46.85546875" style="845" customWidth="1"/>
    <col min="3068" max="3316" width="9.140625" style="845"/>
    <col min="3317" max="3317" width="35.85546875" style="845" customWidth="1"/>
    <col min="3318" max="3318" width="13.85546875" style="845" customWidth="1"/>
    <col min="3319" max="3319" width="9.140625" style="845"/>
    <col min="3320" max="3320" width="13.7109375" style="845" customWidth="1"/>
    <col min="3321" max="3321" width="14.28515625" style="845" customWidth="1"/>
    <col min="3322" max="3322" width="17" style="845" customWidth="1"/>
    <col min="3323" max="3323" width="46.85546875" style="845" customWidth="1"/>
    <col min="3324" max="3572" width="9.140625" style="845"/>
    <col min="3573" max="3573" width="35.85546875" style="845" customWidth="1"/>
    <col min="3574" max="3574" width="13.85546875" style="845" customWidth="1"/>
    <col min="3575" max="3575" width="9.140625" style="845"/>
    <col min="3576" max="3576" width="13.7109375" style="845" customWidth="1"/>
    <col min="3577" max="3577" width="14.28515625" style="845" customWidth="1"/>
    <col min="3578" max="3578" width="17" style="845" customWidth="1"/>
    <col min="3579" max="3579" width="46.85546875" style="845" customWidth="1"/>
    <col min="3580" max="3828" width="9.140625" style="845"/>
    <col min="3829" max="3829" width="35.85546875" style="845" customWidth="1"/>
    <col min="3830" max="3830" width="13.85546875" style="845" customWidth="1"/>
    <col min="3831" max="3831" width="9.140625" style="845"/>
    <col min="3832" max="3832" width="13.7109375" style="845" customWidth="1"/>
    <col min="3833" max="3833" width="14.28515625" style="845" customWidth="1"/>
    <col min="3834" max="3834" width="17" style="845" customWidth="1"/>
    <col min="3835" max="3835" width="46.85546875" style="845" customWidth="1"/>
    <col min="3836" max="4084" width="9.140625" style="845"/>
    <col min="4085" max="4085" width="35.85546875" style="845" customWidth="1"/>
    <col min="4086" max="4086" width="13.85546875" style="845" customWidth="1"/>
    <col min="4087" max="4087" width="9.140625" style="845"/>
    <col min="4088" max="4088" width="13.7109375" style="845" customWidth="1"/>
    <col min="4089" max="4089" width="14.28515625" style="845" customWidth="1"/>
    <col min="4090" max="4090" width="17" style="845" customWidth="1"/>
    <col min="4091" max="4091" width="46.85546875" style="845" customWidth="1"/>
    <col min="4092" max="4340" width="9.140625" style="845"/>
    <col min="4341" max="4341" width="35.85546875" style="845" customWidth="1"/>
    <col min="4342" max="4342" width="13.85546875" style="845" customWidth="1"/>
    <col min="4343" max="4343" width="9.140625" style="845"/>
    <col min="4344" max="4344" width="13.7109375" style="845" customWidth="1"/>
    <col min="4345" max="4345" width="14.28515625" style="845" customWidth="1"/>
    <col min="4346" max="4346" width="17" style="845" customWidth="1"/>
    <col min="4347" max="4347" width="46.85546875" style="845" customWidth="1"/>
    <col min="4348" max="4596" width="9.140625" style="845"/>
    <col min="4597" max="4597" width="35.85546875" style="845" customWidth="1"/>
    <col min="4598" max="4598" width="13.85546875" style="845" customWidth="1"/>
    <col min="4599" max="4599" width="9.140625" style="845"/>
    <col min="4600" max="4600" width="13.7109375" style="845" customWidth="1"/>
    <col min="4601" max="4601" width="14.28515625" style="845" customWidth="1"/>
    <col min="4602" max="4602" width="17" style="845" customWidth="1"/>
    <col min="4603" max="4603" width="46.85546875" style="845" customWidth="1"/>
    <col min="4604" max="4852" width="9.140625" style="845"/>
    <col min="4853" max="4853" width="35.85546875" style="845" customWidth="1"/>
    <col min="4854" max="4854" width="13.85546875" style="845" customWidth="1"/>
    <col min="4855" max="4855" width="9.140625" style="845"/>
    <col min="4856" max="4856" width="13.7109375" style="845" customWidth="1"/>
    <col min="4857" max="4857" width="14.28515625" style="845" customWidth="1"/>
    <col min="4858" max="4858" width="17" style="845" customWidth="1"/>
    <col min="4859" max="4859" width="46.85546875" style="845" customWidth="1"/>
    <col min="4860" max="5108" width="9.140625" style="845"/>
    <col min="5109" max="5109" width="35.85546875" style="845" customWidth="1"/>
    <col min="5110" max="5110" width="13.85546875" style="845" customWidth="1"/>
    <col min="5111" max="5111" width="9.140625" style="845"/>
    <col min="5112" max="5112" width="13.7109375" style="845" customWidth="1"/>
    <col min="5113" max="5113" width="14.28515625" style="845" customWidth="1"/>
    <col min="5114" max="5114" width="17" style="845" customWidth="1"/>
    <col min="5115" max="5115" width="46.85546875" style="845" customWidth="1"/>
    <col min="5116" max="5364" width="9.140625" style="845"/>
    <col min="5365" max="5365" width="35.85546875" style="845" customWidth="1"/>
    <col min="5366" max="5366" width="13.85546875" style="845" customWidth="1"/>
    <col min="5367" max="5367" width="9.140625" style="845"/>
    <col min="5368" max="5368" width="13.7109375" style="845" customWidth="1"/>
    <col min="5369" max="5369" width="14.28515625" style="845" customWidth="1"/>
    <col min="5370" max="5370" width="17" style="845" customWidth="1"/>
    <col min="5371" max="5371" width="46.85546875" style="845" customWidth="1"/>
    <col min="5372" max="5620" width="9.140625" style="845"/>
    <col min="5621" max="5621" width="35.85546875" style="845" customWidth="1"/>
    <col min="5622" max="5622" width="13.85546875" style="845" customWidth="1"/>
    <col min="5623" max="5623" width="9.140625" style="845"/>
    <col min="5624" max="5624" width="13.7109375" style="845" customWidth="1"/>
    <col min="5625" max="5625" width="14.28515625" style="845" customWidth="1"/>
    <col min="5626" max="5626" width="17" style="845" customWidth="1"/>
    <col min="5627" max="5627" width="46.85546875" style="845" customWidth="1"/>
    <col min="5628" max="5876" width="9.140625" style="845"/>
    <col min="5877" max="5877" width="35.85546875" style="845" customWidth="1"/>
    <col min="5878" max="5878" width="13.85546875" style="845" customWidth="1"/>
    <col min="5879" max="5879" width="9.140625" style="845"/>
    <col min="5880" max="5880" width="13.7109375" style="845" customWidth="1"/>
    <col min="5881" max="5881" width="14.28515625" style="845" customWidth="1"/>
    <col min="5882" max="5882" width="17" style="845" customWidth="1"/>
    <col min="5883" max="5883" width="46.85546875" style="845" customWidth="1"/>
    <col min="5884" max="6132" width="9.140625" style="845"/>
    <col min="6133" max="6133" width="35.85546875" style="845" customWidth="1"/>
    <col min="6134" max="6134" width="13.85546875" style="845" customWidth="1"/>
    <col min="6135" max="6135" width="9.140625" style="845"/>
    <col min="6136" max="6136" width="13.7109375" style="845" customWidth="1"/>
    <col min="6137" max="6137" width="14.28515625" style="845" customWidth="1"/>
    <col min="6138" max="6138" width="17" style="845" customWidth="1"/>
    <col min="6139" max="6139" width="46.85546875" style="845" customWidth="1"/>
    <col min="6140" max="6388" width="9.140625" style="845"/>
    <col min="6389" max="6389" width="35.85546875" style="845" customWidth="1"/>
    <col min="6390" max="6390" width="13.85546875" style="845" customWidth="1"/>
    <col min="6391" max="6391" width="9.140625" style="845"/>
    <col min="6392" max="6392" width="13.7109375" style="845" customWidth="1"/>
    <col min="6393" max="6393" width="14.28515625" style="845" customWidth="1"/>
    <col min="6394" max="6394" width="17" style="845" customWidth="1"/>
    <col min="6395" max="6395" width="46.85546875" style="845" customWidth="1"/>
    <col min="6396" max="6644" width="9.140625" style="845"/>
    <col min="6645" max="6645" width="35.85546875" style="845" customWidth="1"/>
    <col min="6646" max="6646" width="13.85546875" style="845" customWidth="1"/>
    <col min="6647" max="6647" width="9.140625" style="845"/>
    <col min="6648" max="6648" width="13.7109375" style="845" customWidth="1"/>
    <col min="6649" max="6649" width="14.28515625" style="845" customWidth="1"/>
    <col min="6650" max="6650" width="17" style="845" customWidth="1"/>
    <col min="6651" max="6651" width="46.85546875" style="845" customWidth="1"/>
    <col min="6652" max="6900" width="9.140625" style="845"/>
    <col min="6901" max="6901" width="35.85546875" style="845" customWidth="1"/>
    <col min="6902" max="6902" width="13.85546875" style="845" customWidth="1"/>
    <col min="6903" max="6903" width="9.140625" style="845"/>
    <col min="6904" max="6904" width="13.7109375" style="845" customWidth="1"/>
    <col min="6905" max="6905" width="14.28515625" style="845" customWidth="1"/>
    <col min="6906" max="6906" width="17" style="845" customWidth="1"/>
    <col min="6907" max="6907" width="46.85546875" style="845" customWidth="1"/>
    <col min="6908" max="7156" width="9.140625" style="845"/>
    <col min="7157" max="7157" width="35.85546875" style="845" customWidth="1"/>
    <col min="7158" max="7158" width="13.85546875" style="845" customWidth="1"/>
    <col min="7159" max="7159" width="9.140625" style="845"/>
    <col min="7160" max="7160" width="13.7109375" style="845" customWidth="1"/>
    <col min="7161" max="7161" width="14.28515625" style="845" customWidth="1"/>
    <col min="7162" max="7162" width="17" style="845" customWidth="1"/>
    <col min="7163" max="7163" width="46.85546875" style="845" customWidth="1"/>
    <col min="7164" max="7412" width="9.140625" style="845"/>
    <col min="7413" max="7413" width="35.85546875" style="845" customWidth="1"/>
    <col min="7414" max="7414" width="13.85546875" style="845" customWidth="1"/>
    <col min="7415" max="7415" width="9.140625" style="845"/>
    <col min="7416" max="7416" width="13.7109375" style="845" customWidth="1"/>
    <col min="7417" max="7417" width="14.28515625" style="845" customWidth="1"/>
    <col min="7418" max="7418" width="17" style="845" customWidth="1"/>
    <col min="7419" max="7419" width="46.85546875" style="845" customWidth="1"/>
    <col min="7420" max="7668" width="9.140625" style="845"/>
    <col min="7669" max="7669" width="35.85546875" style="845" customWidth="1"/>
    <col min="7670" max="7670" width="13.85546875" style="845" customWidth="1"/>
    <col min="7671" max="7671" width="9.140625" style="845"/>
    <col min="7672" max="7672" width="13.7109375" style="845" customWidth="1"/>
    <col min="7673" max="7673" width="14.28515625" style="845" customWidth="1"/>
    <col min="7674" max="7674" width="17" style="845" customWidth="1"/>
    <col min="7675" max="7675" width="46.85546875" style="845" customWidth="1"/>
    <col min="7676" max="7924" width="9.140625" style="845"/>
    <col min="7925" max="7925" width="35.85546875" style="845" customWidth="1"/>
    <col min="7926" max="7926" width="13.85546875" style="845" customWidth="1"/>
    <col min="7927" max="7927" width="9.140625" style="845"/>
    <col min="7928" max="7928" width="13.7109375" style="845" customWidth="1"/>
    <col min="7929" max="7929" width="14.28515625" style="845" customWidth="1"/>
    <col min="7930" max="7930" width="17" style="845" customWidth="1"/>
    <col min="7931" max="7931" width="46.85546875" style="845" customWidth="1"/>
    <col min="7932" max="8180" width="9.140625" style="845"/>
    <col min="8181" max="8181" width="35.85546875" style="845" customWidth="1"/>
    <col min="8182" max="8182" width="13.85546875" style="845" customWidth="1"/>
    <col min="8183" max="8183" width="9.140625" style="845"/>
    <col min="8184" max="8184" width="13.7109375" style="845" customWidth="1"/>
    <col min="8185" max="8185" width="14.28515625" style="845" customWidth="1"/>
    <col min="8186" max="8186" width="17" style="845" customWidth="1"/>
    <col min="8187" max="8187" width="46.85546875" style="845" customWidth="1"/>
    <col min="8188" max="8436" width="9.140625" style="845"/>
    <col min="8437" max="8437" width="35.85546875" style="845" customWidth="1"/>
    <col min="8438" max="8438" width="13.85546875" style="845" customWidth="1"/>
    <col min="8439" max="8439" width="9.140625" style="845"/>
    <col min="8440" max="8440" width="13.7109375" style="845" customWidth="1"/>
    <col min="8441" max="8441" width="14.28515625" style="845" customWidth="1"/>
    <col min="8442" max="8442" width="17" style="845" customWidth="1"/>
    <col min="8443" max="8443" width="46.85546875" style="845" customWidth="1"/>
    <col min="8444" max="8692" width="9.140625" style="845"/>
    <col min="8693" max="8693" width="35.85546875" style="845" customWidth="1"/>
    <col min="8694" max="8694" width="13.85546875" style="845" customWidth="1"/>
    <col min="8695" max="8695" width="9.140625" style="845"/>
    <col min="8696" max="8696" width="13.7109375" style="845" customWidth="1"/>
    <col min="8697" max="8697" width="14.28515625" style="845" customWidth="1"/>
    <col min="8698" max="8698" width="17" style="845" customWidth="1"/>
    <col min="8699" max="8699" width="46.85546875" style="845" customWidth="1"/>
    <col min="8700" max="8948" width="9.140625" style="845"/>
    <col min="8949" max="8949" width="35.85546875" style="845" customWidth="1"/>
    <col min="8950" max="8950" width="13.85546875" style="845" customWidth="1"/>
    <col min="8951" max="8951" width="9.140625" style="845"/>
    <col min="8952" max="8952" width="13.7109375" style="845" customWidth="1"/>
    <col min="8953" max="8953" width="14.28515625" style="845" customWidth="1"/>
    <col min="8954" max="8954" width="17" style="845" customWidth="1"/>
    <col min="8955" max="8955" width="46.85546875" style="845" customWidth="1"/>
    <col min="8956" max="9204" width="9.140625" style="845"/>
    <col min="9205" max="9205" width="35.85546875" style="845" customWidth="1"/>
    <col min="9206" max="9206" width="13.85546875" style="845" customWidth="1"/>
    <col min="9207" max="9207" width="9.140625" style="845"/>
    <col min="9208" max="9208" width="13.7109375" style="845" customWidth="1"/>
    <col min="9209" max="9209" width="14.28515625" style="845" customWidth="1"/>
    <col min="9210" max="9210" width="17" style="845" customWidth="1"/>
    <col min="9211" max="9211" width="46.85546875" style="845" customWidth="1"/>
    <col min="9212" max="9460" width="9.140625" style="845"/>
    <col min="9461" max="9461" width="35.85546875" style="845" customWidth="1"/>
    <col min="9462" max="9462" width="13.85546875" style="845" customWidth="1"/>
    <col min="9463" max="9463" width="9.140625" style="845"/>
    <col min="9464" max="9464" width="13.7109375" style="845" customWidth="1"/>
    <col min="9465" max="9465" width="14.28515625" style="845" customWidth="1"/>
    <col min="9466" max="9466" width="17" style="845" customWidth="1"/>
    <col min="9467" max="9467" width="46.85546875" style="845" customWidth="1"/>
    <col min="9468" max="9716" width="9.140625" style="845"/>
    <col min="9717" max="9717" width="35.85546875" style="845" customWidth="1"/>
    <col min="9718" max="9718" width="13.85546875" style="845" customWidth="1"/>
    <col min="9719" max="9719" width="9.140625" style="845"/>
    <col min="9720" max="9720" width="13.7109375" style="845" customWidth="1"/>
    <col min="9721" max="9721" width="14.28515625" style="845" customWidth="1"/>
    <col min="9722" max="9722" width="17" style="845" customWidth="1"/>
    <col min="9723" max="9723" width="46.85546875" style="845" customWidth="1"/>
    <col min="9724" max="9972" width="9.140625" style="845"/>
    <col min="9973" max="9973" width="35.85546875" style="845" customWidth="1"/>
    <col min="9974" max="9974" width="13.85546875" style="845" customWidth="1"/>
    <col min="9975" max="9975" width="9.140625" style="845"/>
    <col min="9976" max="9976" width="13.7109375" style="845" customWidth="1"/>
    <col min="9977" max="9977" width="14.28515625" style="845" customWidth="1"/>
    <col min="9978" max="9978" width="17" style="845" customWidth="1"/>
    <col min="9979" max="9979" width="46.85546875" style="845" customWidth="1"/>
    <col min="9980" max="10228" width="9.140625" style="845"/>
    <col min="10229" max="10229" width="35.85546875" style="845" customWidth="1"/>
    <col min="10230" max="10230" width="13.85546875" style="845" customWidth="1"/>
    <col min="10231" max="10231" width="9.140625" style="845"/>
    <col min="10232" max="10232" width="13.7109375" style="845" customWidth="1"/>
    <col min="10233" max="10233" width="14.28515625" style="845" customWidth="1"/>
    <col min="10234" max="10234" width="17" style="845" customWidth="1"/>
    <col min="10235" max="10235" width="46.85546875" style="845" customWidth="1"/>
    <col min="10236" max="10484" width="9.140625" style="845"/>
    <col min="10485" max="10485" width="35.85546875" style="845" customWidth="1"/>
    <col min="10486" max="10486" width="13.85546875" style="845" customWidth="1"/>
    <col min="10487" max="10487" width="9.140625" style="845"/>
    <col min="10488" max="10488" width="13.7109375" style="845" customWidth="1"/>
    <col min="10489" max="10489" width="14.28515625" style="845" customWidth="1"/>
    <col min="10490" max="10490" width="17" style="845" customWidth="1"/>
    <col min="10491" max="10491" width="46.85546875" style="845" customWidth="1"/>
    <col min="10492" max="10740" width="9.140625" style="845"/>
    <col min="10741" max="10741" width="35.85546875" style="845" customWidth="1"/>
    <col min="10742" max="10742" width="13.85546875" style="845" customWidth="1"/>
    <col min="10743" max="10743" width="9.140625" style="845"/>
    <col min="10744" max="10744" width="13.7109375" style="845" customWidth="1"/>
    <col min="10745" max="10745" width="14.28515625" style="845" customWidth="1"/>
    <col min="10746" max="10746" width="17" style="845" customWidth="1"/>
    <col min="10747" max="10747" width="46.85546875" style="845" customWidth="1"/>
    <col min="10748" max="10996" width="9.140625" style="845"/>
    <col min="10997" max="10997" width="35.85546875" style="845" customWidth="1"/>
    <col min="10998" max="10998" width="13.85546875" style="845" customWidth="1"/>
    <col min="10999" max="10999" width="9.140625" style="845"/>
    <col min="11000" max="11000" width="13.7109375" style="845" customWidth="1"/>
    <col min="11001" max="11001" width="14.28515625" style="845" customWidth="1"/>
    <col min="11002" max="11002" width="17" style="845" customWidth="1"/>
    <col min="11003" max="11003" width="46.85546875" style="845" customWidth="1"/>
    <col min="11004" max="11252" width="9.140625" style="845"/>
    <col min="11253" max="11253" width="35.85546875" style="845" customWidth="1"/>
    <col min="11254" max="11254" width="13.85546875" style="845" customWidth="1"/>
    <col min="11255" max="11255" width="9.140625" style="845"/>
    <col min="11256" max="11256" width="13.7109375" style="845" customWidth="1"/>
    <col min="11257" max="11257" width="14.28515625" style="845" customWidth="1"/>
    <col min="11258" max="11258" width="17" style="845" customWidth="1"/>
    <col min="11259" max="11259" width="46.85546875" style="845" customWidth="1"/>
    <col min="11260" max="11508" width="9.140625" style="845"/>
    <col min="11509" max="11509" width="35.85546875" style="845" customWidth="1"/>
    <col min="11510" max="11510" width="13.85546875" style="845" customWidth="1"/>
    <col min="11511" max="11511" width="9.140625" style="845"/>
    <col min="11512" max="11512" width="13.7109375" style="845" customWidth="1"/>
    <col min="11513" max="11513" width="14.28515625" style="845" customWidth="1"/>
    <col min="11514" max="11514" width="17" style="845" customWidth="1"/>
    <col min="11515" max="11515" width="46.85546875" style="845" customWidth="1"/>
    <col min="11516" max="11764" width="9.140625" style="845"/>
    <col min="11765" max="11765" width="35.85546875" style="845" customWidth="1"/>
    <col min="11766" max="11766" width="13.85546875" style="845" customWidth="1"/>
    <col min="11767" max="11767" width="9.140625" style="845"/>
    <col min="11768" max="11768" width="13.7109375" style="845" customWidth="1"/>
    <col min="11769" max="11769" width="14.28515625" style="845" customWidth="1"/>
    <col min="11770" max="11770" width="17" style="845" customWidth="1"/>
    <col min="11771" max="11771" width="46.85546875" style="845" customWidth="1"/>
    <col min="11772" max="12020" width="9.140625" style="845"/>
    <col min="12021" max="12021" width="35.85546875" style="845" customWidth="1"/>
    <col min="12022" max="12022" width="13.85546875" style="845" customWidth="1"/>
    <col min="12023" max="12023" width="9.140625" style="845"/>
    <col min="12024" max="12024" width="13.7109375" style="845" customWidth="1"/>
    <col min="12025" max="12025" width="14.28515625" style="845" customWidth="1"/>
    <col min="12026" max="12026" width="17" style="845" customWidth="1"/>
    <col min="12027" max="12027" width="46.85546875" style="845" customWidth="1"/>
    <col min="12028" max="12276" width="9.140625" style="845"/>
    <col min="12277" max="12277" width="35.85546875" style="845" customWidth="1"/>
    <col min="12278" max="12278" width="13.85546875" style="845" customWidth="1"/>
    <col min="12279" max="12279" width="9.140625" style="845"/>
    <col min="12280" max="12280" width="13.7109375" style="845" customWidth="1"/>
    <col min="12281" max="12281" width="14.28515625" style="845" customWidth="1"/>
    <col min="12282" max="12282" width="17" style="845" customWidth="1"/>
    <col min="12283" max="12283" width="46.85546875" style="845" customWidth="1"/>
    <col min="12284" max="12532" width="9.140625" style="845"/>
    <col min="12533" max="12533" width="35.85546875" style="845" customWidth="1"/>
    <col min="12534" max="12534" width="13.85546875" style="845" customWidth="1"/>
    <col min="12535" max="12535" width="9.140625" style="845"/>
    <col min="12536" max="12536" width="13.7109375" style="845" customWidth="1"/>
    <col min="12537" max="12537" width="14.28515625" style="845" customWidth="1"/>
    <col min="12538" max="12538" width="17" style="845" customWidth="1"/>
    <col min="12539" max="12539" width="46.85546875" style="845" customWidth="1"/>
    <col min="12540" max="12788" width="9.140625" style="845"/>
    <col min="12789" max="12789" width="35.85546875" style="845" customWidth="1"/>
    <col min="12790" max="12790" width="13.85546875" style="845" customWidth="1"/>
    <col min="12791" max="12791" width="9.140625" style="845"/>
    <col min="12792" max="12792" width="13.7109375" style="845" customWidth="1"/>
    <col min="12793" max="12793" width="14.28515625" style="845" customWidth="1"/>
    <col min="12794" max="12794" width="17" style="845" customWidth="1"/>
    <col min="12795" max="12795" width="46.85546875" style="845" customWidth="1"/>
    <col min="12796" max="13044" width="9.140625" style="845"/>
    <col min="13045" max="13045" width="35.85546875" style="845" customWidth="1"/>
    <col min="13046" max="13046" width="13.85546875" style="845" customWidth="1"/>
    <col min="13047" max="13047" width="9.140625" style="845"/>
    <col min="13048" max="13048" width="13.7109375" style="845" customWidth="1"/>
    <col min="13049" max="13049" width="14.28515625" style="845" customWidth="1"/>
    <col min="13050" max="13050" width="17" style="845" customWidth="1"/>
    <col min="13051" max="13051" width="46.85546875" style="845" customWidth="1"/>
    <col min="13052" max="13300" width="9.140625" style="845"/>
    <col min="13301" max="13301" width="35.85546875" style="845" customWidth="1"/>
    <col min="13302" max="13302" width="13.85546875" style="845" customWidth="1"/>
    <col min="13303" max="13303" width="9.140625" style="845"/>
    <col min="13304" max="13304" width="13.7109375" style="845" customWidth="1"/>
    <col min="13305" max="13305" width="14.28515625" style="845" customWidth="1"/>
    <col min="13306" max="13306" width="17" style="845" customWidth="1"/>
    <col min="13307" max="13307" width="46.85546875" style="845" customWidth="1"/>
    <col min="13308" max="13556" width="9.140625" style="845"/>
    <col min="13557" max="13557" width="35.85546875" style="845" customWidth="1"/>
    <col min="13558" max="13558" width="13.85546875" style="845" customWidth="1"/>
    <col min="13559" max="13559" width="9.140625" style="845"/>
    <col min="13560" max="13560" width="13.7109375" style="845" customWidth="1"/>
    <col min="13561" max="13561" width="14.28515625" style="845" customWidth="1"/>
    <col min="13562" max="13562" width="17" style="845" customWidth="1"/>
    <col min="13563" max="13563" width="46.85546875" style="845" customWidth="1"/>
    <col min="13564" max="13812" width="9.140625" style="845"/>
    <col min="13813" max="13813" width="35.85546875" style="845" customWidth="1"/>
    <col min="13814" max="13814" width="13.85546875" style="845" customWidth="1"/>
    <col min="13815" max="13815" width="9.140625" style="845"/>
    <col min="13816" max="13816" width="13.7109375" style="845" customWidth="1"/>
    <col min="13817" max="13817" width="14.28515625" style="845" customWidth="1"/>
    <col min="13818" max="13818" width="17" style="845" customWidth="1"/>
    <col min="13819" max="13819" width="46.85546875" style="845" customWidth="1"/>
    <col min="13820" max="14068" width="9.140625" style="845"/>
    <col min="14069" max="14069" width="35.85546875" style="845" customWidth="1"/>
    <col min="14070" max="14070" width="13.85546875" style="845" customWidth="1"/>
    <col min="14071" max="14071" width="9.140625" style="845"/>
    <col min="14072" max="14072" width="13.7109375" style="845" customWidth="1"/>
    <col min="14073" max="14073" width="14.28515625" style="845" customWidth="1"/>
    <col min="14074" max="14074" width="17" style="845" customWidth="1"/>
    <col min="14075" max="14075" width="46.85546875" style="845" customWidth="1"/>
    <col min="14076" max="14324" width="9.140625" style="845"/>
    <col min="14325" max="14325" width="35.85546875" style="845" customWidth="1"/>
    <col min="14326" max="14326" width="13.85546875" style="845" customWidth="1"/>
    <col min="14327" max="14327" width="9.140625" style="845"/>
    <col min="14328" max="14328" width="13.7109375" style="845" customWidth="1"/>
    <col min="14329" max="14329" width="14.28515625" style="845" customWidth="1"/>
    <col min="14330" max="14330" width="17" style="845" customWidth="1"/>
    <col min="14331" max="14331" width="46.85546875" style="845" customWidth="1"/>
    <col min="14332" max="14580" width="9.140625" style="845"/>
    <col min="14581" max="14581" width="35.85546875" style="845" customWidth="1"/>
    <col min="14582" max="14582" width="13.85546875" style="845" customWidth="1"/>
    <col min="14583" max="14583" width="9.140625" style="845"/>
    <col min="14584" max="14584" width="13.7109375" style="845" customWidth="1"/>
    <col min="14585" max="14585" width="14.28515625" style="845" customWidth="1"/>
    <col min="14586" max="14586" width="17" style="845" customWidth="1"/>
    <col min="14587" max="14587" width="46.85546875" style="845" customWidth="1"/>
    <col min="14588" max="14836" width="9.140625" style="845"/>
    <col min="14837" max="14837" width="35.85546875" style="845" customWidth="1"/>
    <col min="14838" max="14838" width="13.85546875" style="845" customWidth="1"/>
    <col min="14839" max="14839" width="9.140625" style="845"/>
    <col min="14840" max="14840" width="13.7109375" style="845" customWidth="1"/>
    <col min="14841" max="14841" width="14.28515625" style="845" customWidth="1"/>
    <col min="14842" max="14842" width="17" style="845" customWidth="1"/>
    <col min="14843" max="14843" width="46.85546875" style="845" customWidth="1"/>
    <col min="14844" max="15092" width="9.140625" style="845"/>
    <col min="15093" max="15093" width="35.85546875" style="845" customWidth="1"/>
    <col min="15094" max="15094" width="13.85546875" style="845" customWidth="1"/>
    <col min="15095" max="15095" width="9.140625" style="845"/>
    <col min="15096" max="15096" width="13.7109375" style="845" customWidth="1"/>
    <col min="15097" max="15097" width="14.28515625" style="845" customWidth="1"/>
    <col min="15098" max="15098" width="17" style="845" customWidth="1"/>
    <col min="15099" max="15099" width="46.85546875" style="845" customWidth="1"/>
    <col min="15100" max="15348" width="9.140625" style="845"/>
    <col min="15349" max="15349" width="35.85546875" style="845" customWidth="1"/>
    <col min="15350" max="15350" width="13.85546875" style="845" customWidth="1"/>
    <col min="15351" max="15351" width="9.140625" style="845"/>
    <col min="15352" max="15352" width="13.7109375" style="845" customWidth="1"/>
    <col min="15353" max="15353" width="14.28515625" style="845" customWidth="1"/>
    <col min="15354" max="15354" width="17" style="845" customWidth="1"/>
    <col min="15355" max="15355" width="46.85546875" style="845" customWidth="1"/>
    <col min="15356" max="15604" width="9.140625" style="845"/>
    <col min="15605" max="15605" width="35.85546875" style="845" customWidth="1"/>
    <col min="15606" max="15606" width="13.85546875" style="845" customWidth="1"/>
    <col min="15607" max="15607" width="9.140625" style="845"/>
    <col min="15608" max="15608" width="13.7109375" style="845" customWidth="1"/>
    <col min="15609" max="15609" width="14.28515625" style="845" customWidth="1"/>
    <col min="15610" max="15610" width="17" style="845" customWidth="1"/>
    <col min="15611" max="15611" width="46.85546875" style="845" customWidth="1"/>
    <col min="15612" max="15860" width="9.140625" style="845"/>
    <col min="15861" max="15861" width="35.85546875" style="845" customWidth="1"/>
    <col min="15862" max="15862" width="13.85546875" style="845" customWidth="1"/>
    <col min="15863" max="15863" width="9.140625" style="845"/>
    <col min="15864" max="15864" width="13.7109375" style="845" customWidth="1"/>
    <col min="15865" max="15865" width="14.28515625" style="845" customWidth="1"/>
    <col min="15866" max="15866" width="17" style="845" customWidth="1"/>
    <col min="15867" max="15867" width="46.85546875" style="845" customWidth="1"/>
    <col min="15868" max="16116" width="9.140625" style="845"/>
    <col min="16117" max="16117" width="35.85546875" style="845" customWidth="1"/>
    <col min="16118" max="16118" width="13.85546875" style="845" customWidth="1"/>
    <col min="16119" max="16119" width="9.140625" style="845"/>
    <col min="16120" max="16120" width="13.7109375" style="845" customWidth="1"/>
    <col min="16121" max="16121" width="14.28515625" style="845" customWidth="1"/>
    <col min="16122" max="16122" width="17" style="845" customWidth="1"/>
    <col min="16123" max="16123" width="46.85546875" style="845" customWidth="1"/>
    <col min="16124" max="16384" width="9.140625" style="845"/>
  </cols>
  <sheetData>
    <row r="1" spans="1:9" x14ac:dyDescent="0.2">
      <c r="F1" s="2312" t="s">
        <v>2207</v>
      </c>
      <c r="G1" s="2313"/>
      <c r="H1" s="2313"/>
      <c r="I1" s="2313"/>
    </row>
    <row r="2" spans="1:9" x14ac:dyDescent="0.2">
      <c r="F2" s="2313"/>
      <c r="G2" s="2313"/>
      <c r="H2" s="2313"/>
      <c r="I2" s="2313"/>
    </row>
    <row r="3" spans="1:9" x14ac:dyDescent="0.2">
      <c r="F3" s="2313"/>
      <c r="G3" s="2313"/>
      <c r="H3" s="2313"/>
      <c r="I3" s="2313"/>
    </row>
    <row r="4" spans="1:9" x14ac:dyDescent="0.2">
      <c r="F4" s="1893"/>
      <c r="G4" s="1893"/>
      <c r="H4" s="1893"/>
      <c r="I4" s="1893"/>
    </row>
    <row r="5" spans="1:9" x14ac:dyDescent="0.2">
      <c r="F5" s="1893"/>
      <c r="G5" s="1893"/>
      <c r="H5" s="1893"/>
      <c r="I5" s="1893"/>
    </row>
    <row r="6" spans="1:9" x14ac:dyDescent="0.2">
      <c r="A6" s="894" t="s">
        <v>1395</v>
      </c>
      <c r="F6" s="1893"/>
      <c r="G6" s="1893"/>
      <c r="H6" s="1893"/>
      <c r="I6" s="1893"/>
    </row>
    <row r="8" spans="1:9" ht="18.75" x14ac:dyDescent="0.3">
      <c r="B8" s="895"/>
      <c r="C8" s="2311" t="s">
        <v>1464</v>
      </c>
      <c r="D8" s="2311"/>
      <c r="E8" s="2311"/>
      <c r="F8" s="2311"/>
      <c r="G8" s="2311"/>
      <c r="H8" s="2311"/>
      <c r="I8" s="2311"/>
    </row>
    <row r="9" spans="1:9" ht="15.75" x14ac:dyDescent="0.25">
      <c r="A9" s="2305" t="s">
        <v>1398</v>
      </c>
      <c r="B9" s="2305"/>
      <c r="C9" s="2305"/>
      <c r="D9" s="2305"/>
      <c r="E9" s="2305"/>
      <c r="F9" s="2305"/>
      <c r="G9" s="2305"/>
      <c r="H9" s="2305"/>
      <c r="I9" s="2305"/>
    </row>
    <row r="10" spans="1:9" x14ac:dyDescent="0.2">
      <c r="A10" s="894"/>
      <c r="B10" s="894"/>
      <c r="C10" s="894"/>
      <c r="D10" s="894"/>
      <c r="E10" s="894"/>
      <c r="F10" s="2306"/>
      <c r="G10" s="2306"/>
      <c r="H10" s="2306"/>
      <c r="I10" s="2306"/>
    </row>
    <row r="11" spans="1:9" x14ac:dyDescent="0.2">
      <c r="A11" s="894" t="s">
        <v>1394</v>
      </c>
      <c r="B11" s="894"/>
      <c r="C11" s="894"/>
      <c r="D11" s="894"/>
      <c r="E11" s="894"/>
      <c r="F11" s="896" t="s">
        <v>1465</v>
      </c>
      <c r="G11" s="896"/>
      <c r="H11" s="897"/>
      <c r="I11" s="896"/>
    </row>
    <row r="12" spans="1:9" x14ac:dyDescent="0.2">
      <c r="A12" s="894" t="s">
        <v>1305</v>
      </c>
      <c r="B12" s="894"/>
      <c r="C12" s="894"/>
      <c r="D12" s="894"/>
      <c r="E12" s="894"/>
      <c r="F12" s="896" t="s">
        <v>1466</v>
      </c>
      <c r="G12" s="896"/>
      <c r="H12" s="897"/>
      <c r="I12" s="896"/>
    </row>
    <row r="13" spans="1:9" ht="15" customHeight="1" x14ac:dyDescent="0.2">
      <c r="A13" s="2307" t="s">
        <v>47</v>
      </c>
      <c r="B13" s="2307" t="s">
        <v>119</v>
      </c>
      <c r="C13" s="1949" t="s">
        <v>120</v>
      </c>
      <c r="D13" s="1949" t="s">
        <v>121</v>
      </c>
      <c r="E13" s="1949" t="s">
        <v>122</v>
      </c>
      <c r="F13" s="2307" t="s">
        <v>129</v>
      </c>
      <c r="G13" s="1949" t="s">
        <v>124</v>
      </c>
      <c r="H13" s="1969" t="s">
        <v>2165</v>
      </c>
      <c r="I13" s="1949" t="s">
        <v>126</v>
      </c>
    </row>
    <row r="14" spans="1:9" ht="33.75" customHeight="1" x14ac:dyDescent="0.2">
      <c r="A14" s="2308"/>
      <c r="B14" s="2308"/>
      <c r="C14" s="1950"/>
      <c r="D14" s="1950"/>
      <c r="E14" s="1950"/>
      <c r="F14" s="2308"/>
      <c r="G14" s="1950"/>
      <c r="H14" s="1971"/>
      <c r="I14" s="1950"/>
    </row>
    <row r="15" spans="1:9" x14ac:dyDescent="0.2">
      <c r="A15" s="2309" t="s">
        <v>2182</v>
      </c>
      <c r="B15" s="2310"/>
      <c r="C15" s="898">
        <f t="shared" ref="C15:D15" si="0">SUM(C16:C17)</f>
        <v>30500</v>
      </c>
      <c r="D15" s="898">
        <f t="shared" si="0"/>
        <v>30500</v>
      </c>
      <c r="E15" s="898">
        <f>SUM(E16:E17)</f>
        <v>30500</v>
      </c>
      <c r="F15" s="898"/>
      <c r="G15" s="898">
        <f>SUM(G16:G17)</f>
        <v>30500</v>
      </c>
      <c r="H15" s="1774">
        <f>SUM(H16:H17)</f>
        <v>43399</v>
      </c>
      <c r="I15" s="916"/>
    </row>
    <row r="16" spans="1:9" ht="61.5" customHeight="1" x14ac:dyDescent="0.2">
      <c r="A16" s="899">
        <v>1</v>
      </c>
      <c r="B16" s="816" t="s">
        <v>1467</v>
      </c>
      <c r="C16" s="816">
        <v>30000</v>
      </c>
      <c r="D16" s="816">
        <v>30000</v>
      </c>
      <c r="E16" s="816">
        <v>30000</v>
      </c>
      <c r="F16" s="1702">
        <v>3262</v>
      </c>
      <c r="G16" s="798">
        <v>30000</v>
      </c>
      <c r="H16" s="809">
        <f>ROUNDUP(G16/0.702804,0)</f>
        <v>42687</v>
      </c>
      <c r="I16" s="769" t="s">
        <v>1468</v>
      </c>
    </row>
    <row r="17" spans="1:9" ht="24" x14ac:dyDescent="0.2">
      <c r="A17" s="900">
        <v>2</v>
      </c>
      <c r="B17" s="901" t="s">
        <v>1469</v>
      </c>
      <c r="C17" s="930">
        <v>500</v>
      </c>
      <c r="D17" s="930">
        <v>500</v>
      </c>
      <c r="E17" s="930">
        <v>500</v>
      </c>
      <c r="F17" s="1775">
        <v>2239</v>
      </c>
      <c r="G17" s="931">
        <v>500</v>
      </c>
      <c r="H17" s="809">
        <f>ROUNDUP(G17/0.702804,0)</f>
        <v>712</v>
      </c>
      <c r="I17" s="769" t="s">
        <v>1470</v>
      </c>
    </row>
    <row r="18" spans="1:9" x14ac:dyDescent="0.2">
      <c r="A18" s="692"/>
      <c r="B18" s="692"/>
      <c r="C18" s="692"/>
      <c r="D18" s="692"/>
      <c r="E18" s="692"/>
      <c r="F18" s="692"/>
      <c r="G18" s="692"/>
      <c r="H18" s="242"/>
      <c r="I18" s="692"/>
    </row>
    <row r="19" spans="1:9" x14ac:dyDescent="0.2">
      <c r="A19" s="894" t="s">
        <v>1394</v>
      </c>
      <c r="B19" s="894"/>
      <c r="C19" s="894"/>
      <c r="D19" s="894"/>
      <c r="E19" s="894"/>
      <c r="F19" s="896" t="s">
        <v>1471</v>
      </c>
      <c r="G19" s="896"/>
      <c r="H19" s="897"/>
      <c r="I19" s="896"/>
    </row>
    <row r="20" spans="1:9" x14ac:dyDescent="0.2">
      <c r="A20" s="894" t="s">
        <v>1305</v>
      </c>
      <c r="B20" s="894"/>
      <c r="C20" s="894"/>
      <c r="D20" s="894"/>
      <c r="E20" s="894"/>
      <c r="F20" s="896" t="s">
        <v>1472</v>
      </c>
      <c r="G20" s="896"/>
      <c r="H20" s="897"/>
      <c r="I20" s="902"/>
    </row>
    <row r="21" spans="1:9" ht="15" customHeight="1" x14ac:dyDescent="0.2">
      <c r="A21" s="2307" t="s">
        <v>47</v>
      </c>
      <c r="B21" s="2307" t="s">
        <v>119</v>
      </c>
      <c r="C21" s="1949" t="s">
        <v>120</v>
      </c>
      <c r="D21" s="1949" t="s">
        <v>121</v>
      </c>
      <c r="E21" s="1949" t="s">
        <v>122</v>
      </c>
      <c r="F21" s="2307" t="s">
        <v>129</v>
      </c>
      <c r="G21" s="1949" t="s">
        <v>124</v>
      </c>
      <c r="H21" s="1969" t="s">
        <v>2165</v>
      </c>
      <c r="I21" s="1949" t="s">
        <v>126</v>
      </c>
    </row>
    <row r="22" spans="1:9" ht="34.5" customHeight="1" x14ac:dyDescent="0.2">
      <c r="A22" s="2308"/>
      <c r="B22" s="2308"/>
      <c r="C22" s="1950"/>
      <c r="D22" s="1950"/>
      <c r="E22" s="1950"/>
      <c r="F22" s="2308"/>
      <c r="G22" s="1950"/>
      <c r="H22" s="1971"/>
      <c r="I22" s="1950"/>
    </row>
    <row r="23" spans="1:9" x14ac:dyDescent="0.2">
      <c r="A23" s="2314" t="s">
        <v>2182</v>
      </c>
      <c r="B23" s="2315"/>
      <c r="C23" s="903">
        <f t="shared" ref="C23:D23" si="1">SUM(C24,C41)</f>
        <v>16031</v>
      </c>
      <c r="D23" s="903">
        <f t="shared" si="1"/>
        <v>15333</v>
      </c>
      <c r="E23" s="898">
        <f>SUM(E24,E41)</f>
        <v>19565</v>
      </c>
      <c r="F23" s="898"/>
      <c r="G23" s="898">
        <f>SUM(G24,G41)</f>
        <v>19274</v>
      </c>
      <c r="H23" s="1774">
        <f>SUM(H24,H41)</f>
        <v>27432</v>
      </c>
      <c r="I23" s="915"/>
    </row>
    <row r="24" spans="1:9" ht="36.75" customHeight="1" x14ac:dyDescent="0.2">
      <c r="A24" s="899">
        <v>1</v>
      </c>
      <c r="B24" s="473" t="s">
        <v>1473</v>
      </c>
      <c r="C24" s="815">
        <f t="shared" ref="C24:D24" si="2">SUM(C25:C39)</f>
        <v>15231</v>
      </c>
      <c r="D24" s="815">
        <f t="shared" si="2"/>
        <v>14533</v>
      </c>
      <c r="E24" s="815">
        <f>SUM(E25:E40)</f>
        <v>18765</v>
      </c>
      <c r="F24" s="815"/>
      <c r="G24" s="788">
        <f>SUM(G25:G40)</f>
        <v>18474</v>
      </c>
      <c r="H24" s="1052">
        <f>SUM(H25:H40)</f>
        <v>26293</v>
      </c>
      <c r="I24" s="815"/>
    </row>
    <row r="25" spans="1:9" x14ac:dyDescent="0.2">
      <c r="A25" s="927"/>
      <c r="B25" s="928"/>
      <c r="C25" s="928">
        <v>1920</v>
      </c>
      <c r="D25" s="928">
        <v>1920</v>
      </c>
      <c r="E25" s="928">
        <v>1920</v>
      </c>
      <c r="F25" s="929">
        <v>1150</v>
      </c>
      <c r="G25" s="928">
        <v>1920</v>
      </c>
      <c r="H25" s="809">
        <f t="shared" ref="H25:H41" si="3">ROUNDUP(G25/0.702804,0)</f>
        <v>2732</v>
      </c>
      <c r="I25" s="223" t="s">
        <v>1522</v>
      </c>
    </row>
    <row r="26" spans="1:9" ht="15" customHeight="1" x14ac:dyDescent="0.2">
      <c r="A26" s="899"/>
      <c r="B26" s="798"/>
      <c r="C26" s="798">
        <v>463</v>
      </c>
      <c r="D26" s="798">
        <v>463</v>
      </c>
      <c r="E26" s="798">
        <v>463</v>
      </c>
      <c r="F26" s="904">
        <v>1210</v>
      </c>
      <c r="G26" s="798">
        <v>463</v>
      </c>
      <c r="H26" s="809">
        <f t="shared" si="3"/>
        <v>659</v>
      </c>
      <c r="I26" s="223"/>
    </row>
    <row r="27" spans="1:9" ht="25.5" customHeight="1" x14ac:dyDescent="0.2">
      <c r="A27" s="899"/>
      <c r="B27" s="798"/>
      <c r="C27" s="798">
        <v>804</v>
      </c>
      <c r="D27" s="798">
        <v>804</v>
      </c>
      <c r="E27" s="798">
        <v>665</v>
      </c>
      <c r="F27" s="904">
        <v>2242</v>
      </c>
      <c r="G27" s="798">
        <v>662</v>
      </c>
      <c r="H27" s="809">
        <f t="shared" si="3"/>
        <v>942</v>
      </c>
      <c r="I27" s="223" t="s">
        <v>1497</v>
      </c>
    </row>
    <row r="28" spans="1:9" ht="16.5" customHeight="1" x14ac:dyDescent="0.2">
      <c r="A28" s="899"/>
      <c r="B28" s="798"/>
      <c r="C28" s="798">
        <v>50</v>
      </c>
      <c r="D28" s="798">
        <v>34</v>
      </c>
      <c r="E28" s="798">
        <v>50</v>
      </c>
      <c r="F28" s="904">
        <v>2247</v>
      </c>
      <c r="G28" s="798">
        <v>50</v>
      </c>
      <c r="H28" s="809">
        <f t="shared" si="3"/>
        <v>72</v>
      </c>
      <c r="I28" s="223" t="s">
        <v>1474</v>
      </c>
    </row>
    <row r="29" spans="1:9" ht="16.5" customHeight="1" x14ac:dyDescent="0.2">
      <c r="A29" s="899"/>
      <c r="B29" s="798"/>
      <c r="C29" s="798">
        <v>280</v>
      </c>
      <c r="D29" s="798">
        <v>197</v>
      </c>
      <c r="E29" s="798">
        <v>50</v>
      </c>
      <c r="F29" s="904">
        <v>2354</v>
      </c>
      <c r="G29" s="798">
        <v>50</v>
      </c>
      <c r="H29" s="809">
        <f t="shared" si="3"/>
        <v>72</v>
      </c>
      <c r="I29" s="223" t="s">
        <v>1523</v>
      </c>
    </row>
    <row r="30" spans="1:9" x14ac:dyDescent="0.2">
      <c r="A30" s="899"/>
      <c r="B30" s="798"/>
      <c r="C30" s="798">
        <v>480</v>
      </c>
      <c r="D30" s="798">
        <v>480</v>
      </c>
      <c r="E30" s="798">
        <v>515</v>
      </c>
      <c r="F30" s="815">
        <v>2322</v>
      </c>
      <c r="G30" s="798">
        <v>480</v>
      </c>
      <c r="H30" s="809">
        <f t="shared" si="3"/>
        <v>683</v>
      </c>
      <c r="I30" s="223" t="s">
        <v>1524</v>
      </c>
    </row>
    <row r="31" spans="1:9" ht="26.25" customHeight="1" x14ac:dyDescent="0.2">
      <c r="A31" s="899"/>
      <c r="B31" s="798"/>
      <c r="C31" s="798">
        <v>440</v>
      </c>
      <c r="D31" s="798">
        <v>220</v>
      </c>
      <c r="E31" s="798">
        <v>440</v>
      </c>
      <c r="F31" s="815">
        <v>2244</v>
      </c>
      <c r="G31" s="798">
        <v>220</v>
      </c>
      <c r="H31" s="809">
        <f t="shared" si="3"/>
        <v>314</v>
      </c>
      <c r="I31" s="223" t="s">
        <v>1475</v>
      </c>
    </row>
    <row r="32" spans="1:9" ht="24" x14ac:dyDescent="0.2">
      <c r="A32" s="899"/>
      <c r="B32" s="798"/>
      <c r="C32" s="798">
        <v>360</v>
      </c>
      <c r="D32" s="798"/>
      <c r="E32" s="798">
        <v>360</v>
      </c>
      <c r="F32" s="815">
        <v>2212</v>
      </c>
      <c r="G32" s="798">
        <v>327</v>
      </c>
      <c r="H32" s="809">
        <f t="shared" si="3"/>
        <v>466</v>
      </c>
      <c r="I32" s="223" t="s">
        <v>1498</v>
      </c>
    </row>
    <row r="33" spans="1:9" x14ac:dyDescent="0.2">
      <c r="A33" s="899"/>
      <c r="B33" s="798"/>
      <c r="C33" s="928">
        <v>120</v>
      </c>
      <c r="D33" s="928">
        <v>120</v>
      </c>
      <c r="E33" s="928">
        <v>120</v>
      </c>
      <c r="F33" s="835">
        <v>2519</v>
      </c>
      <c r="G33" s="928">
        <v>120</v>
      </c>
      <c r="H33" s="809">
        <f t="shared" si="3"/>
        <v>171</v>
      </c>
      <c r="I33" s="223" t="s">
        <v>1476</v>
      </c>
    </row>
    <row r="34" spans="1:9" ht="24.75" customHeight="1" x14ac:dyDescent="0.2">
      <c r="A34" s="899"/>
      <c r="B34" s="788"/>
      <c r="C34" s="788">
        <v>145</v>
      </c>
      <c r="D34" s="788">
        <v>145</v>
      </c>
      <c r="E34" s="788">
        <v>145</v>
      </c>
      <c r="F34" s="835">
        <v>2229</v>
      </c>
      <c r="G34" s="798">
        <v>145</v>
      </c>
      <c r="H34" s="809">
        <f t="shared" si="3"/>
        <v>207</v>
      </c>
      <c r="I34" s="223" t="s">
        <v>1477</v>
      </c>
    </row>
    <row r="35" spans="1:9" ht="16.5" customHeight="1" x14ac:dyDescent="0.2">
      <c r="A35" s="899"/>
      <c r="B35" s="788"/>
      <c r="C35" s="816">
        <v>200</v>
      </c>
      <c r="D35" s="816">
        <v>200</v>
      </c>
      <c r="E35" s="816">
        <v>200</v>
      </c>
      <c r="F35" s="840">
        <v>2311</v>
      </c>
      <c r="G35" s="798">
        <v>200</v>
      </c>
      <c r="H35" s="809">
        <f t="shared" si="3"/>
        <v>285</v>
      </c>
      <c r="I35" s="223" t="s">
        <v>1478</v>
      </c>
    </row>
    <row r="36" spans="1:9" ht="15" customHeight="1" x14ac:dyDescent="0.2">
      <c r="A36" s="899"/>
      <c r="B36" s="788"/>
      <c r="C36" s="816">
        <v>332</v>
      </c>
      <c r="D36" s="816">
        <v>313</v>
      </c>
      <c r="E36" s="816"/>
      <c r="F36" s="840">
        <v>2312</v>
      </c>
      <c r="G36" s="798"/>
      <c r="H36" s="809">
        <f t="shared" si="3"/>
        <v>0</v>
      </c>
      <c r="I36" s="223"/>
    </row>
    <row r="37" spans="1:9" ht="14.25" customHeight="1" x14ac:dyDescent="0.2">
      <c r="A37" s="899"/>
      <c r="B37" s="824"/>
      <c r="C37" s="816">
        <v>220</v>
      </c>
      <c r="D37" s="816">
        <v>220</v>
      </c>
      <c r="E37" s="816">
        <v>220</v>
      </c>
      <c r="F37" s="220">
        <v>3262</v>
      </c>
      <c r="G37" s="798">
        <v>220</v>
      </c>
      <c r="H37" s="809">
        <f t="shared" si="3"/>
        <v>314</v>
      </c>
      <c r="I37" s="223" t="s">
        <v>1479</v>
      </c>
    </row>
    <row r="38" spans="1:9" ht="28.5" customHeight="1" x14ac:dyDescent="0.2">
      <c r="A38" s="899"/>
      <c r="B38" s="824"/>
      <c r="C38" s="816">
        <v>600</v>
      </c>
      <c r="D38" s="816">
        <v>600</v>
      </c>
      <c r="E38" s="816">
        <v>0</v>
      </c>
      <c r="F38" s="839">
        <v>2341</v>
      </c>
      <c r="G38" s="798"/>
      <c r="H38" s="809">
        <f t="shared" si="3"/>
        <v>0</v>
      </c>
      <c r="I38" s="223" t="s">
        <v>1480</v>
      </c>
    </row>
    <row r="39" spans="1:9" ht="60" customHeight="1" x14ac:dyDescent="0.2">
      <c r="A39" s="899"/>
      <c r="B39" s="473"/>
      <c r="C39" s="473">
        <v>8817</v>
      </c>
      <c r="D39" s="473">
        <v>8817</v>
      </c>
      <c r="E39" s="473">
        <v>8817</v>
      </c>
      <c r="F39" s="904">
        <v>3263</v>
      </c>
      <c r="G39" s="798">
        <v>8817</v>
      </c>
      <c r="H39" s="809">
        <f t="shared" si="3"/>
        <v>12546</v>
      </c>
      <c r="I39" s="306" t="s">
        <v>2168</v>
      </c>
    </row>
    <row r="40" spans="1:9" ht="15.75" customHeight="1" x14ac:dyDescent="0.2">
      <c r="A40" s="899"/>
      <c r="B40" s="473"/>
      <c r="C40" s="473"/>
      <c r="D40" s="473"/>
      <c r="E40" s="473">
        <v>4800</v>
      </c>
      <c r="F40" s="904">
        <v>3263</v>
      </c>
      <c r="G40" s="798">
        <v>4800</v>
      </c>
      <c r="H40" s="809">
        <f>ROUNDUP(G40/0.702804,0)</f>
        <v>6830</v>
      </c>
      <c r="I40" s="306" t="s">
        <v>1481</v>
      </c>
    </row>
    <row r="41" spans="1:9" ht="18" customHeight="1" x14ac:dyDescent="0.2">
      <c r="A41" s="899">
        <v>2</v>
      </c>
      <c r="B41" s="824" t="s">
        <v>1482</v>
      </c>
      <c r="C41" s="816">
        <v>800</v>
      </c>
      <c r="D41" s="816">
        <v>800</v>
      </c>
      <c r="E41" s="816">
        <v>800</v>
      </c>
      <c r="F41" s="840">
        <v>3263</v>
      </c>
      <c r="G41" s="798">
        <v>800</v>
      </c>
      <c r="H41" s="1052">
        <f t="shared" si="3"/>
        <v>1139</v>
      </c>
      <c r="I41" s="306" t="s">
        <v>1483</v>
      </c>
    </row>
    <row r="42" spans="1:9" x14ac:dyDescent="0.2">
      <c r="A42" s="905"/>
      <c r="B42" s="906"/>
      <c r="C42" s="906"/>
      <c r="D42" s="906"/>
      <c r="E42" s="906"/>
      <c r="F42" s="907"/>
      <c r="G42" s="907"/>
      <c r="H42" s="908"/>
      <c r="I42" s="907"/>
    </row>
    <row r="43" spans="1:9" x14ac:dyDescent="0.2">
      <c r="A43" s="894" t="s">
        <v>1394</v>
      </c>
      <c r="B43" s="894"/>
      <c r="C43" s="894"/>
      <c r="D43" s="894"/>
      <c r="E43" s="894"/>
      <c r="F43" s="896" t="s">
        <v>1484</v>
      </c>
      <c r="G43" s="896"/>
      <c r="H43" s="897"/>
      <c r="I43" s="896"/>
    </row>
    <row r="44" spans="1:9" x14ac:dyDescent="0.2">
      <c r="A44" s="894" t="s">
        <v>1305</v>
      </c>
      <c r="B44" s="894"/>
      <c r="C44" s="894"/>
      <c r="D44" s="894"/>
      <c r="E44" s="894"/>
      <c r="F44" s="896" t="s">
        <v>1485</v>
      </c>
      <c r="G44" s="896"/>
      <c r="H44" s="897"/>
      <c r="I44" s="902"/>
    </row>
    <row r="45" spans="1:9" ht="15" customHeight="1" x14ac:dyDescent="0.2">
      <c r="A45" s="2307" t="s">
        <v>47</v>
      </c>
      <c r="B45" s="2307" t="s">
        <v>119</v>
      </c>
      <c r="C45" s="1949" t="s">
        <v>120</v>
      </c>
      <c r="D45" s="1949" t="s">
        <v>121</v>
      </c>
      <c r="E45" s="1949" t="s">
        <v>122</v>
      </c>
      <c r="F45" s="2307" t="s">
        <v>129</v>
      </c>
      <c r="G45" s="1949" t="s">
        <v>124</v>
      </c>
      <c r="H45" s="1969" t="s">
        <v>2165</v>
      </c>
      <c r="I45" s="1949" t="s">
        <v>126</v>
      </c>
    </row>
    <row r="46" spans="1:9" ht="40.5" customHeight="1" x14ac:dyDescent="0.2">
      <c r="A46" s="2308"/>
      <c r="B46" s="2308"/>
      <c r="C46" s="1950"/>
      <c r="D46" s="1950"/>
      <c r="E46" s="1950"/>
      <c r="F46" s="2308"/>
      <c r="G46" s="1950"/>
      <c r="H46" s="1971"/>
      <c r="I46" s="1950"/>
    </row>
    <row r="47" spans="1:9" x14ac:dyDescent="0.2">
      <c r="A47" s="2314" t="s">
        <v>2182</v>
      </c>
      <c r="B47" s="2315"/>
      <c r="C47" s="898">
        <f t="shared" ref="C47:D47" si="4">SUM(C48:C56)</f>
        <v>50957</v>
      </c>
      <c r="D47" s="898">
        <f t="shared" si="4"/>
        <v>50956</v>
      </c>
      <c r="E47" s="898">
        <f>SUM(E48:E56)</f>
        <v>60557</v>
      </c>
      <c r="F47" s="898"/>
      <c r="G47" s="898">
        <f>SUM(G48:G56)</f>
        <v>60357</v>
      </c>
      <c r="H47" s="1774">
        <f>SUM(H48:H56)</f>
        <v>85884</v>
      </c>
      <c r="I47" s="916"/>
    </row>
    <row r="48" spans="1:9" ht="40.5" customHeight="1" x14ac:dyDescent="0.2">
      <c r="A48" s="899">
        <v>1</v>
      </c>
      <c r="B48" s="769" t="s">
        <v>1486</v>
      </c>
      <c r="C48" s="798">
        <v>1500</v>
      </c>
      <c r="D48" s="798">
        <v>1500</v>
      </c>
      <c r="E48" s="798">
        <v>1500</v>
      </c>
      <c r="F48" s="1702">
        <v>3262</v>
      </c>
      <c r="G48" s="798">
        <v>1500</v>
      </c>
      <c r="H48" s="809">
        <f t="shared" ref="H48:H56" si="5">ROUNDUP(G48/0.702804,0)</f>
        <v>2135</v>
      </c>
      <c r="I48" s="223" t="s">
        <v>1487</v>
      </c>
    </row>
    <row r="49" spans="1:9" ht="27.75" customHeight="1" x14ac:dyDescent="0.2">
      <c r="A49" s="899">
        <v>2</v>
      </c>
      <c r="B49" s="816" t="s">
        <v>1488</v>
      </c>
      <c r="C49" s="788">
        <v>1700</v>
      </c>
      <c r="D49" s="788">
        <v>1700</v>
      </c>
      <c r="E49" s="788">
        <v>1700</v>
      </c>
      <c r="F49" s="1702">
        <v>3261</v>
      </c>
      <c r="G49" s="798">
        <v>1500</v>
      </c>
      <c r="H49" s="809">
        <f t="shared" si="5"/>
        <v>2135</v>
      </c>
      <c r="I49" s="223" t="s">
        <v>1489</v>
      </c>
    </row>
    <row r="50" spans="1:9" ht="21.75" customHeight="1" x14ac:dyDescent="0.2">
      <c r="A50" s="899">
        <v>3</v>
      </c>
      <c r="B50" s="473" t="s">
        <v>1490</v>
      </c>
      <c r="C50" s="798">
        <v>3257</v>
      </c>
      <c r="D50" s="798">
        <v>3256</v>
      </c>
      <c r="E50" s="798">
        <v>3257</v>
      </c>
      <c r="F50" s="1702">
        <v>7712</v>
      </c>
      <c r="G50" s="798">
        <v>3257</v>
      </c>
      <c r="H50" s="809">
        <f t="shared" si="5"/>
        <v>4635</v>
      </c>
      <c r="I50" s="909" t="s">
        <v>1491</v>
      </c>
    </row>
    <row r="51" spans="1:9" ht="48" customHeight="1" x14ac:dyDescent="0.2">
      <c r="A51" s="899">
        <v>4</v>
      </c>
      <c r="B51" s="473" t="s">
        <v>1492</v>
      </c>
      <c r="C51" s="798">
        <v>1500</v>
      </c>
      <c r="D51" s="798">
        <v>1500</v>
      </c>
      <c r="E51" s="798">
        <v>1500</v>
      </c>
      <c r="F51" s="1702">
        <v>3262</v>
      </c>
      <c r="G51" s="798">
        <v>1500</v>
      </c>
      <c r="H51" s="809">
        <f t="shared" si="5"/>
        <v>2135</v>
      </c>
      <c r="I51" s="223" t="s">
        <v>1493</v>
      </c>
    </row>
    <row r="52" spans="1:9" ht="65.25" customHeight="1" x14ac:dyDescent="0.2">
      <c r="A52" s="899">
        <v>5</v>
      </c>
      <c r="B52" s="473" t="s">
        <v>1494</v>
      </c>
      <c r="C52" s="798"/>
      <c r="D52" s="798"/>
      <c r="E52" s="798">
        <v>9600</v>
      </c>
      <c r="F52" s="1702">
        <v>2279</v>
      </c>
      <c r="G52" s="798">
        <v>9600</v>
      </c>
      <c r="H52" s="809">
        <f t="shared" si="5"/>
        <v>13660</v>
      </c>
      <c r="I52" s="223" t="s">
        <v>1525</v>
      </c>
    </row>
    <row r="53" spans="1:9" ht="23.25" customHeight="1" x14ac:dyDescent="0.2">
      <c r="A53" s="2307">
        <v>6</v>
      </c>
      <c r="B53" s="769" t="s">
        <v>1495</v>
      </c>
      <c r="C53" s="798">
        <v>5970</v>
      </c>
      <c r="D53" s="798">
        <v>5970</v>
      </c>
      <c r="E53" s="798"/>
      <c r="F53" s="1702">
        <v>3261</v>
      </c>
      <c r="G53" s="798"/>
      <c r="H53" s="809">
        <f t="shared" si="5"/>
        <v>0</v>
      </c>
      <c r="I53" s="2050" t="s">
        <v>1496</v>
      </c>
    </row>
    <row r="54" spans="1:9" ht="23.25" customHeight="1" x14ac:dyDescent="0.2">
      <c r="A54" s="2319"/>
      <c r="B54" s="769" t="s">
        <v>1495</v>
      </c>
      <c r="C54" s="798">
        <v>13182</v>
      </c>
      <c r="D54" s="798">
        <v>13182</v>
      </c>
      <c r="E54" s="798"/>
      <c r="F54" s="1702">
        <v>3262</v>
      </c>
      <c r="G54" s="798"/>
      <c r="H54" s="809">
        <f t="shared" si="5"/>
        <v>0</v>
      </c>
      <c r="I54" s="2316"/>
    </row>
    <row r="55" spans="1:9" ht="23.25" customHeight="1" x14ac:dyDescent="0.2">
      <c r="A55" s="2319"/>
      <c r="B55" s="769" t="s">
        <v>1495</v>
      </c>
      <c r="C55" s="798">
        <v>21892</v>
      </c>
      <c r="D55" s="798">
        <v>21892</v>
      </c>
      <c r="E55" s="798"/>
      <c r="F55" s="840">
        <v>3263</v>
      </c>
      <c r="G55" s="798"/>
      <c r="H55" s="809">
        <f t="shared" si="5"/>
        <v>0</v>
      </c>
      <c r="I55" s="2316"/>
    </row>
    <row r="56" spans="1:9" ht="28.5" customHeight="1" x14ac:dyDescent="0.2">
      <c r="A56" s="2320"/>
      <c r="B56" s="769" t="s">
        <v>1495</v>
      </c>
      <c r="C56" s="798">
        <v>1956</v>
      </c>
      <c r="D56" s="798">
        <v>1956</v>
      </c>
      <c r="E56" s="798">
        <f>D53+D54+D55+D56</f>
        <v>43000</v>
      </c>
      <c r="F56" s="840">
        <v>2275</v>
      </c>
      <c r="G56" s="798">
        <v>43000</v>
      </c>
      <c r="H56" s="809">
        <f t="shared" si="5"/>
        <v>61184</v>
      </c>
      <c r="I56" s="2051"/>
    </row>
    <row r="57" spans="1:9" x14ac:dyDescent="0.2">
      <c r="A57" s="2317" t="s">
        <v>2169</v>
      </c>
      <c r="B57" s="2318"/>
      <c r="C57" s="910">
        <f>C15+C23+C47</f>
        <v>97488</v>
      </c>
      <c r="D57" s="910">
        <f>D15+D23+D47</f>
        <v>96789</v>
      </c>
      <c r="E57" s="910">
        <f>E15+E23+E47</f>
        <v>110622</v>
      </c>
      <c r="F57" s="911"/>
      <c r="G57" s="911">
        <f>G47+G23+G15</f>
        <v>110131</v>
      </c>
      <c r="H57" s="1807">
        <f>H47+H23+H15</f>
        <v>156715</v>
      </c>
      <c r="I57" s="911"/>
    </row>
    <row r="58" spans="1:9" x14ac:dyDescent="0.2">
      <c r="A58" s="692"/>
      <c r="B58" s="692"/>
      <c r="C58" s="692"/>
      <c r="D58" s="692"/>
      <c r="E58" s="692"/>
      <c r="F58" s="692"/>
      <c r="G58" s="692"/>
      <c r="H58" s="242"/>
      <c r="I58" s="692"/>
    </row>
  </sheetData>
  <sheetProtection password="CA5B" sheet="1" objects="1" scenarios="1"/>
  <mergeCells count="37">
    <mergeCell ref="C8:I8"/>
    <mergeCell ref="F1:I3"/>
    <mergeCell ref="A47:B47"/>
    <mergeCell ref="I53:I56"/>
    <mergeCell ref="A57:B57"/>
    <mergeCell ref="I21:I22"/>
    <mergeCell ref="A23:B23"/>
    <mergeCell ref="A45:A46"/>
    <mergeCell ref="B45:B46"/>
    <mergeCell ref="C45:C46"/>
    <mergeCell ref="D45:D46"/>
    <mergeCell ref="E45:E46"/>
    <mergeCell ref="F45:F46"/>
    <mergeCell ref="G45:G46"/>
    <mergeCell ref="H45:H46"/>
    <mergeCell ref="A53:A56"/>
    <mergeCell ref="E21:E22"/>
    <mergeCell ref="F21:F22"/>
    <mergeCell ref="G21:G22"/>
    <mergeCell ref="H21:H22"/>
    <mergeCell ref="I45:I46"/>
    <mergeCell ref="A15:B15"/>
    <mergeCell ref="A21:A22"/>
    <mergeCell ref="B21:B22"/>
    <mergeCell ref="C21:C22"/>
    <mergeCell ref="D21:D22"/>
    <mergeCell ref="A9:I9"/>
    <mergeCell ref="F10:I10"/>
    <mergeCell ref="A13:A14"/>
    <mergeCell ref="B13:B14"/>
    <mergeCell ref="C13:C14"/>
    <mergeCell ref="D13:D14"/>
    <mergeCell ref="E13:E14"/>
    <mergeCell ref="F13:F14"/>
    <mergeCell ref="G13:G14"/>
    <mergeCell ref="H13:H14"/>
    <mergeCell ref="I13:I14"/>
  </mergeCells>
  <pageMargins left="0.94488188976377963" right="0.35433070866141736" top="0.59055118110236227" bottom="0.98425196850393704" header="0.51181102362204722" footer="0.51181102362204722"/>
  <pageSetup paperSize="9" scale="60" orientation="portrait"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05"/>
  <sheetViews>
    <sheetView zoomScaleNormal="100" workbookViewId="0">
      <selection activeCell="K15" sqref="K15"/>
    </sheetView>
  </sheetViews>
  <sheetFormatPr defaultRowHeight="12.75" x14ac:dyDescent="0.2"/>
  <cols>
    <col min="1" max="1" width="4.85546875" style="845" customWidth="1"/>
    <col min="2" max="2" width="36.42578125" style="845" customWidth="1"/>
    <col min="3" max="3" width="10.5703125" style="845" customWidth="1"/>
    <col min="4" max="4" width="9.7109375" style="845" customWidth="1"/>
    <col min="5" max="5" width="10.42578125" style="845" customWidth="1"/>
    <col min="6" max="6" width="10.7109375" style="845" customWidth="1"/>
    <col min="7" max="7" width="8.5703125" style="845" hidden="1" customWidth="1"/>
    <col min="8" max="8" width="9.28515625" style="893" customWidth="1"/>
    <col min="9" max="9" width="45.5703125" style="845" customWidth="1"/>
    <col min="10" max="239" width="9.140625" style="845"/>
    <col min="240" max="240" width="4.85546875" style="845" customWidth="1"/>
    <col min="241" max="241" width="48.28515625" style="845" customWidth="1"/>
    <col min="242" max="242" width="12.85546875" style="845" customWidth="1"/>
    <col min="243" max="243" width="11.7109375" style="845" customWidth="1"/>
    <col min="244" max="244" width="11.140625" style="845" customWidth="1"/>
    <col min="245" max="245" width="11.42578125" style="845" customWidth="1"/>
    <col min="246" max="246" width="11.7109375" style="845" customWidth="1"/>
    <col min="247" max="247" width="45.42578125" style="845" customWidth="1"/>
    <col min="248" max="495" width="9.140625" style="845"/>
    <col min="496" max="496" width="4.85546875" style="845" customWidth="1"/>
    <col min="497" max="497" width="48.28515625" style="845" customWidth="1"/>
    <col min="498" max="498" width="12.85546875" style="845" customWidth="1"/>
    <col min="499" max="499" width="11.7109375" style="845" customWidth="1"/>
    <col min="500" max="500" width="11.140625" style="845" customWidth="1"/>
    <col min="501" max="501" width="11.42578125" style="845" customWidth="1"/>
    <col min="502" max="502" width="11.7109375" style="845" customWidth="1"/>
    <col min="503" max="503" width="45.42578125" style="845" customWidth="1"/>
    <col min="504" max="751" width="9.140625" style="845"/>
    <col min="752" max="752" width="4.85546875" style="845" customWidth="1"/>
    <col min="753" max="753" width="48.28515625" style="845" customWidth="1"/>
    <col min="754" max="754" width="12.85546875" style="845" customWidth="1"/>
    <col min="755" max="755" width="11.7109375" style="845" customWidth="1"/>
    <col min="756" max="756" width="11.140625" style="845" customWidth="1"/>
    <col min="757" max="757" width="11.42578125" style="845" customWidth="1"/>
    <col min="758" max="758" width="11.7109375" style="845" customWidth="1"/>
    <col min="759" max="759" width="45.42578125" style="845" customWidth="1"/>
    <col min="760" max="1007" width="9.140625" style="845"/>
    <col min="1008" max="1008" width="4.85546875" style="845" customWidth="1"/>
    <col min="1009" max="1009" width="48.28515625" style="845" customWidth="1"/>
    <col min="1010" max="1010" width="12.85546875" style="845" customWidth="1"/>
    <col min="1011" max="1011" width="11.7109375" style="845" customWidth="1"/>
    <col min="1012" max="1012" width="11.140625" style="845" customWidth="1"/>
    <col min="1013" max="1013" width="11.42578125" style="845" customWidth="1"/>
    <col min="1014" max="1014" width="11.7109375" style="845" customWidth="1"/>
    <col min="1015" max="1015" width="45.42578125" style="845" customWidth="1"/>
    <col min="1016" max="1263" width="9.140625" style="845"/>
    <col min="1264" max="1264" width="4.85546875" style="845" customWidth="1"/>
    <col min="1265" max="1265" width="48.28515625" style="845" customWidth="1"/>
    <col min="1266" max="1266" width="12.85546875" style="845" customWidth="1"/>
    <col min="1267" max="1267" width="11.7109375" style="845" customWidth="1"/>
    <col min="1268" max="1268" width="11.140625" style="845" customWidth="1"/>
    <col min="1269" max="1269" width="11.42578125" style="845" customWidth="1"/>
    <col min="1270" max="1270" width="11.7109375" style="845" customWidth="1"/>
    <col min="1271" max="1271" width="45.42578125" style="845" customWidth="1"/>
    <col min="1272" max="1519" width="9.140625" style="845"/>
    <col min="1520" max="1520" width="4.85546875" style="845" customWidth="1"/>
    <col min="1521" max="1521" width="48.28515625" style="845" customWidth="1"/>
    <col min="1522" max="1522" width="12.85546875" style="845" customWidth="1"/>
    <col min="1523" max="1523" width="11.7109375" style="845" customWidth="1"/>
    <col min="1524" max="1524" width="11.140625" style="845" customWidth="1"/>
    <col min="1525" max="1525" width="11.42578125" style="845" customWidth="1"/>
    <col min="1526" max="1526" width="11.7109375" style="845" customWidth="1"/>
    <col min="1527" max="1527" width="45.42578125" style="845" customWidth="1"/>
    <col min="1528" max="1775" width="9.140625" style="845"/>
    <col min="1776" max="1776" width="4.85546875" style="845" customWidth="1"/>
    <col min="1777" max="1777" width="48.28515625" style="845" customWidth="1"/>
    <col min="1778" max="1778" width="12.85546875" style="845" customWidth="1"/>
    <col min="1779" max="1779" width="11.7109375" style="845" customWidth="1"/>
    <col min="1780" max="1780" width="11.140625" style="845" customWidth="1"/>
    <col min="1781" max="1781" width="11.42578125" style="845" customWidth="1"/>
    <col min="1782" max="1782" width="11.7109375" style="845" customWidth="1"/>
    <col min="1783" max="1783" width="45.42578125" style="845" customWidth="1"/>
    <col min="1784" max="2031" width="9.140625" style="845"/>
    <col min="2032" max="2032" width="4.85546875" style="845" customWidth="1"/>
    <col min="2033" max="2033" width="48.28515625" style="845" customWidth="1"/>
    <col min="2034" max="2034" width="12.85546875" style="845" customWidth="1"/>
    <col min="2035" max="2035" width="11.7109375" style="845" customWidth="1"/>
    <col min="2036" max="2036" width="11.140625" style="845" customWidth="1"/>
    <col min="2037" max="2037" width="11.42578125" style="845" customWidth="1"/>
    <col min="2038" max="2038" width="11.7109375" style="845" customWidth="1"/>
    <col min="2039" max="2039" width="45.42578125" style="845" customWidth="1"/>
    <col min="2040" max="2287" width="9.140625" style="845"/>
    <col min="2288" max="2288" width="4.85546875" style="845" customWidth="1"/>
    <col min="2289" max="2289" width="48.28515625" style="845" customWidth="1"/>
    <col min="2290" max="2290" width="12.85546875" style="845" customWidth="1"/>
    <col min="2291" max="2291" width="11.7109375" style="845" customWidth="1"/>
    <col min="2292" max="2292" width="11.140625" style="845" customWidth="1"/>
    <col min="2293" max="2293" width="11.42578125" style="845" customWidth="1"/>
    <col min="2294" max="2294" width="11.7109375" style="845" customWidth="1"/>
    <col min="2295" max="2295" width="45.42578125" style="845" customWidth="1"/>
    <col min="2296" max="2543" width="9.140625" style="845"/>
    <col min="2544" max="2544" width="4.85546875" style="845" customWidth="1"/>
    <col min="2545" max="2545" width="48.28515625" style="845" customWidth="1"/>
    <col min="2546" max="2546" width="12.85546875" style="845" customWidth="1"/>
    <col min="2547" max="2547" width="11.7109375" style="845" customWidth="1"/>
    <col min="2548" max="2548" width="11.140625" style="845" customWidth="1"/>
    <col min="2549" max="2549" width="11.42578125" style="845" customWidth="1"/>
    <col min="2550" max="2550" width="11.7109375" style="845" customWidth="1"/>
    <col min="2551" max="2551" width="45.42578125" style="845" customWidth="1"/>
    <col min="2552" max="2799" width="9.140625" style="845"/>
    <col min="2800" max="2800" width="4.85546875" style="845" customWidth="1"/>
    <col min="2801" max="2801" width="48.28515625" style="845" customWidth="1"/>
    <col min="2802" max="2802" width="12.85546875" style="845" customWidth="1"/>
    <col min="2803" max="2803" width="11.7109375" style="845" customWidth="1"/>
    <col min="2804" max="2804" width="11.140625" style="845" customWidth="1"/>
    <col min="2805" max="2805" width="11.42578125" style="845" customWidth="1"/>
    <col min="2806" max="2806" width="11.7109375" style="845" customWidth="1"/>
    <col min="2807" max="2807" width="45.42578125" style="845" customWidth="1"/>
    <col min="2808" max="3055" width="9.140625" style="845"/>
    <col min="3056" max="3056" width="4.85546875" style="845" customWidth="1"/>
    <col min="3057" max="3057" width="48.28515625" style="845" customWidth="1"/>
    <col min="3058" max="3058" width="12.85546875" style="845" customWidth="1"/>
    <col min="3059" max="3059" width="11.7109375" style="845" customWidth="1"/>
    <col min="3060" max="3060" width="11.140625" style="845" customWidth="1"/>
    <col min="3061" max="3061" width="11.42578125" style="845" customWidth="1"/>
    <col min="3062" max="3062" width="11.7109375" style="845" customWidth="1"/>
    <col min="3063" max="3063" width="45.42578125" style="845" customWidth="1"/>
    <col min="3064" max="3311" width="9.140625" style="845"/>
    <col min="3312" max="3312" width="4.85546875" style="845" customWidth="1"/>
    <col min="3313" max="3313" width="48.28515625" style="845" customWidth="1"/>
    <col min="3314" max="3314" width="12.85546875" style="845" customWidth="1"/>
    <col min="3315" max="3315" width="11.7109375" style="845" customWidth="1"/>
    <col min="3316" max="3316" width="11.140625" style="845" customWidth="1"/>
    <col min="3317" max="3317" width="11.42578125" style="845" customWidth="1"/>
    <col min="3318" max="3318" width="11.7109375" style="845" customWidth="1"/>
    <col min="3319" max="3319" width="45.42578125" style="845" customWidth="1"/>
    <col min="3320" max="3567" width="9.140625" style="845"/>
    <col min="3568" max="3568" width="4.85546875" style="845" customWidth="1"/>
    <col min="3569" max="3569" width="48.28515625" style="845" customWidth="1"/>
    <col min="3570" max="3570" width="12.85546875" style="845" customWidth="1"/>
    <col min="3571" max="3571" width="11.7109375" style="845" customWidth="1"/>
    <col min="3572" max="3572" width="11.140625" style="845" customWidth="1"/>
    <col min="3573" max="3573" width="11.42578125" style="845" customWidth="1"/>
    <col min="3574" max="3574" width="11.7109375" style="845" customWidth="1"/>
    <col min="3575" max="3575" width="45.42578125" style="845" customWidth="1"/>
    <col min="3576" max="3823" width="9.140625" style="845"/>
    <col min="3824" max="3824" width="4.85546875" style="845" customWidth="1"/>
    <col min="3825" max="3825" width="48.28515625" style="845" customWidth="1"/>
    <col min="3826" max="3826" width="12.85546875" style="845" customWidth="1"/>
    <col min="3827" max="3827" width="11.7109375" style="845" customWidth="1"/>
    <col min="3828" max="3828" width="11.140625" style="845" customWidth="1"/>
    <col min="3829" max="3829" width="11.42578125" style="845" customWidth="1"/>
    <col min="3830" max="3830" width="11.7109375" style="845" customWidth="1"/>
    <col min="3831" max="3831" width="45.42578125" style="845" customWidth="1"/>
    <col min="3832" max="4079" width="9.140625" style="845"/>
    <col min="4080" max="4080" width="4.85546875" style="845" customWidth="1"/>
    <col min="4081" max="4081" width="48.28515625" style="845" customWidth="1"/>
    <col min="4082" max="4082" width="12.85546875" style="845" customWidth="1"/>
    <col min="4083" max="4083" width="11.7109375" style="845" customWidth="1"/>
    <col min="4084" max="4084" width="11.140625" style="845" customWidth="1"/>
    <col min="4085" max="4085" width="11.42578125" style="845" customWidth="1"/>
    <col min="4086" max="4086" width="11.7109375" style="845" customWidth="1"/>
    <col min="4087" max="4087" width="45.42578125" style="845" customWidth="1"/>
    <col min="4088" max="4335" width="9.140625" style="845"/>
    <col min="4336" max="4336" width="4.85546875" style="845" customWidth="1"/>
    <col min="4337" max="4337" width="48.28515625" style="845" customWidth="1"/>
    <col min="4338" max="4338" width="12.85546875" style="845" customWidth="1"/>
    <col min="4339" max="4339" width="11.7109375" style="845" customWidth="1"/>
    <col min="4340" max="4340" width="11.140625" style="845" customWidth="1"/>
    <col min="4341" max="4341" width="11.42578125" style="845" customWidth="1"/>
    <col min="4342" max="4342" width="11.7109375" style="845" customWidth="1"/>
    <col min="4343" max="4343" width="45.42578125" style="845" customWidth="1"/>
    <col min="4344" max="4591" width="9.140625" style="845"/>
    <col min="4592" max="4592" width="4.85546875" style="845" customWidth="1"/>
    <col min="4593" max="4593" width="48.28515625" style="845" customWidth="1"/>
    <col min="4594" max="4594" width="12.85546875" style="845" customWidth="1"/>
    <col min="4595" max="4595" width="11.7109375" style="845" customWidth="1"/>
    <col min="4596" max="4596" width="11.140625" style="845" customWidth="1"/>
    <col min="4597" max="4597" width="11.42578125" style="845" customWidth="1"/>
    <col min="4598" max="4598" width="11.7109375" style="845" customWidth="1"/>
    <col min="4599" max="4599" width="45.42578125" style="845" customWidth="1"/>
    <col min="4600" max="4847" width="9.140625" style="845"/>
    <col min="4848" max="4848" width="4.85546875" style="845" customWidth="1"/>
    <col min="4849" max="4849" width="48.28515625" style="845" customWidth="1"/>
    <col min="4850" max="4850" width="12.85546875" style="845" customWidth="1"/>
    <col min="4851" max="4851" width="11.7109375" style="845" customWidth="1"/>
    <col min="4852" max="4852" width="11.140625" style="845" customWidth="1"/>
    <col min="4853" max="4853" width="11.42578125" style="845" customWidth="1"/>
    <col min="4854" max="4854" width="11.7109375" style="845" customWidth="1"/>
    <col min="4855" max="4855" width="45.42578125" style="845" customWidth="1"/>
    <col min="4856" max="5103" width="9.140625" style="845"/>
    <col min="5104" max="5104" width="4.85546875" style="845" customWidth="1"/>
    <col min="5105" max="5105" width="48.28515625" style="845" customWidth="1"/>
    <col min="5106" max="5106" width="12.85546875" style="845" customWidth="1"/>
    <col min="5107" max="5107" width="11.7109375" style="845" customWidth="1"/>
    <col min="5108" max="5108" width="11.140625" style="845" customWidth="1"/>
    <col min="5109" max="5109" width="11.42578125" style="845" customWidth="1"/>
    <col min="5110" max="5110" width="11.7109375" style="845" customWidth="1"/>
    <col min="5111" max="5111" width="45.42578125" style="845" customWidth="1"/>
    <col min="5112" max="5359" width="9.140625" style="845"/>
    <col min="5360" max="5360" width="4.85546875" style="845" customWidth="1"/>
    <col min="5361" max="5361" width="48.28515625" style="845" customWidth="1"/>
    <col min="5362" max="5362" width="12.85546875" style="845" customWidth="1"/>
    <col min="5363" max="5363" width="11.7109375" style="845" customWidth="1"/>
    <col min="5364" max="5364" width="11.140625" style="845" customWidth="1"/>
    <col min="5365" max="5365" width="11.42578125" style="845" customWidth="1"/>
    <col min="5366" max="5366" width="11.7109375" style="845" customWidth="1"/>
    <col min="5367" max="5367" width="45.42578125" style="845" customWidth="1"/>
    <col min="5368" max="5615" width="9.140625" style="845"/>
    <col min="5616" max="5616" width="4.85546875" style="845" customWidth="1"/>
    <col min="5617" max="5617" width="48.28515625" style="845" customWidth="1"/>
    <col min="5618" max="5618" width="12.85546875" style="845" customWidth="1"/>
    <col min="5619" max="5619" width="11.7109375" style="845" customWidth="1"/>
    <col min="5620" max="5620" width="11.140625" style="845" customWidth="1"/>
    <col min="5621" max="5621" width="11.42578125" style="845" customWidth="1"/>
    <col min="5622" max="5622" width="11.7109375" style="845" customWidth="1"/>
    <col min="5623" max="5623" width="45.42578125" style="845" customWidth="1"/>
    <col min="5624" max="5871" width="9.140625" style="845"/>
    <col min="5872" max="5872" width="4.85546875" style="845" customWidth="1"/>
    <col min="5873" max="5873" width="48.28515625" style="845" customWidth="1"/>
    <col min="5874" max="5874" width="12.85546875" style="845" customWidth="1"/>
    <col min="5875" max="5875" width="11.7109375" style="845" customWidth="1"/>
    <col min="5876" max="5876" width="11.140625" style="845" customWidth="1"/>
    <col min="5877" max="5877" width="11.42578125" style="845" customWidth="1"/>
    <col min="5878" max="5878" width="11.7109375" style="845" customWidth="1"/>
    <col min="5879" max="5879" width="45.42578125" style="845" customWidth="1"/>
    <col min="5880" max="6127" width="9.140625" style="845"/>
    <col min="6128" max="6128" width="4.85546875" style="845" customWidth="1"/>
    <col min="6129" max="6129" width="48.28515625" style="845" customWidth="1"/>
    <col min="6130" max="6130" width="12.85546875" style="845" customWidth="1"/>
    <col min="6131" max="6131" width="11.7109375" style="845" customWidth="1"/>
    <col min="6132" max="6132" width="11.140625" style="845" customWidth="1"/>
    <col min="6133" max="6133" width="11.42578125" style="845" customWidth="1"/>
    <col min="6134" max="6134" width="11.7109375" style="845" customWidth="1"/>
    <col min="6135" max="6135" width="45.42578125" style="845" customWidth="1"/>
    <col min="6136" max="6383" width="9.140625" style="845"/>
    <col min="6384" max="6384" width="4.85546875" style="845" customWidth="1"/>
    <col min="6385" max="6385" width="48.28515625" style="845" customWidth="1"/>
    <col min="6386" max="6386" width="12.85546875" style="845" customWidth="1"/>
    <col min="6387" max="6387" width="11.7109375" style="845" customWidth="1"/>
    <col min="6388" max="6388" width="11.140625" style="845" customWidth="1"/>
    <col min="6389" max="6389" width="11.42578125" style="845" customWidth="1"/>
    <col min="6390" max="6390" width="11.7109375" style="845" customWidth="1"/>
    <col min="6391" max="6391" width="45.42578125" style="845" customWidth="1"/>
    <col min="6392" max="6639" width="9.140625" style="845"/>
    <col min="6640" max="6640" width="4.85546875" style="845" customWidth="1"/>
    <col min="6641" max="6641" width="48.28515625" style="845" customWidth="1"/>
    <col min="6642" max="6642" width="12.85546875" style="845" customWidth="1"/>
    <col min="6643" max="6643" width="11.7109375" style="845" customWidth="1"/>
    <col min="6644" max="6644" width="11.140625" style="845" customWidth="1"/>
    <col min="6645" max="6645" width="11.42578125" style="845" customWidth="1"/>
    <col min="6646" max="6646" width="11.7109375" style="845" customWidth="1"/>
    <col min="6647" max="6647" width="45.42578125" style="845" customWidth="1"/>
    <col min="6648" max="6895" width="9.140625" style="845"/>
    <col min="6896" max="6896" width="4.85546875" style="845" customWidth="1"/>
    <col min="6897" max="6897" width="48.28515625" style="845" customWidth="1"/>
    <col min="6898" max="6898" width="12.85546875" style="845" customWidth="1"/>
    <col min="6899" max="6899" width="11.7109375" style="845" customWidth="1"/>
    <col min="6900" max="6900" width="11.140625" style="845" customWidth="1"/>
    <col min="6901" max="6901" width="11.42578125" style="845" customWidth="1"/>
    <col min="6902" max="6902" width="11.7109375" style="845" customWidth="1"/>
    <col min="6903" max="6903" width="45.42578125" style="845" customWidth="1"/>
    <col min="6904" max="7151" width="9.140625" style="845"/>
    <col min="7152" max="7152" width="4.85546875" style="845" customWidth="1"/>
    <col min="7153" max="7153" width="48.28515625" style="845" customWidth="1"/>
    <col min="7154" max="7154" width="12.85546875" style="845" customWidth="1"/>
    <col min="7155" max="7155" width="11.7109375" style="845" customWidth="1"/>
    <col min="7156" max="7156" width="11.140625" style="845" customWidth="1"/>
    <col min="7157" max="7157" width="11.42578125" style="845" customWidth="1"/>
    <col min="7158" max="7158" width="11.7109375" style="845" customWidth="1"/>
    <col min="7159" max="7159" width="45.42578125" style="845" customWidth="1"/>
    <col min="7160" max="7407" width="9.140625" style="845"/>
    <col min="7408" max="7408" width="4.85546875" style="845" customWidth="1"/>
    <col min="7409" max="7409" width="48.28515625" style="845" customWidth="1"/>
    <col min="7410" max="7410" width="12.85546875" style="845" customWidth="1"/>
    <col min="7411" max="7411" width="11.7109375" style="845" customWidth="1"/>
    <col min="7412" max="7412" width="11.140625" style="845" customWidth="1"/>
    <col min="7413" max="7413" width="11.42578125" style="845" customWidth="1"/>
    <col min="7414" max="7414" width="11.7109375" style="845" customWidth="1"/>
    <col min="7415" max="7415" width="45.42578125" style="845" customWidth="1"/>
    <col min="7416" max="7663" width="9.140625" style="845"/>
    <col min="7664" max="7664" width="4.85546875" style="845" customWidth="1"/>
    <col min="7665" max="7665" width="48.28515625" style="845" customWidth="1"/>
    <col min="7666" max="7666" width="12.85546875" style="845" customWidth="1"/>
    <col min="7667" max="7667" width="11.7109375" style="845" customWidth="1"/>
    <col min="7668" max="7668" width="11.140625" style="845" customWidth="1"/>
    <col min="7669" max="7669" width="11.42578125" style="845" customWidth="1"/>
    <col min="7670" max="7670" width="11.7109375" style="845" customWidth="1"/>
    <col min="7671" max="7671" width="45.42578125" style="845" customWidth="1"/>
    <col min="7672" max="7919" width="9.140625" style="845"/>
    <col min="7920" max="7920" width="4.85546875" style="845" customWidth="1"/>
    <col min="7921" max="7921" width="48.28515625" style="845" customWidth="1"/>
    <col min="7922" max="7922" width="12.85546875" style="845" customWidth="1"/>
    <col min="7923" max="7923" width="11.7109375" style="845" customWidth="1"/>
    <col min="7924" max="7924" width="11.140625" style="845" customWidth="1"/>
    <col min="7925" max="7925" width="11.42578125" style="845" customWidth="1"/>
    <col min="7926" max="7926" width="11.7109375" style="845" customWidth="1"/>
    <col min="7927" max="7927" width="45.42578125" style="845" customWidth="1"/>
    <col min="7928" max="8175" width="9.140625" style="845"/>
    <col min="8176" max="8176" width="4.85546875" style="845" customWidth="1"/>
    <col min="8177" max="8177" width="48.28515625" style="845" customWidth="1"/>
    <col min="8178" max="8178" width="12.85546875" style="845" customWidth="1"/>
    <col min="8179" max="8179" width="11.7109375" style="845" customWidth="1"/>
    <col min="8180" max="8180" width="11.140625" style="845" customWidth="1"/>
    <col min="8181" max="8181" width="11.42578125" style="845" customWidth="1"/>
    <col min="8182" max="8182" width="11.7109375" style="845" customWidth="1"/>
    <col min="8183" max="8183" width="45.42578125" style="845" customWidth="1"/>
    <col min="8184" max="8431" width="9.140625" style="845"/>
    <col min="8432" max="8432" width="4.85546875" style="845" customWidth="1"/>
    <col min="8433" max="8433" width="48.28515625" style="845" customWidth="1"/>
    <col min="8434" max="8434" width="12.85546875" style="845" customWidth="1"/>
    <col min="8435" max="8435" width="11.7109375" style="845" customWidth="1"/>
    <col min="8436" max="8436" width="11.140625" style="845" customWidth="1"/>
    <col min="8437" max="8437" width="11.42578125" style="845" customWidth="1"/>
    <col min="8438" max="8438" width="11.7109375" style="845" customWidth="1"/>
    <col min="8439" max="8439" width="45.42578125" style="845" customWidth="1"/>
    <col min="8440" max="8687" width="9.140625" style="845"/>
    <col min="8688" max="8688" width="4.85546875" style="845" customWidth="1"/>
    <col min="8689" max="8689" width="48.28515625" style="845" customWidth="1"/>
    <col min="8690" max="8690" width="12.85546875" style="845" customWidth="1"/>
    <col min="8691" max="8691" width="11.7109375" style="845" customWidth="1"/>
    <col min="8692" max="8692" width="11.140625" style="845" customWidth="1"/>
    <col min="8693" max="8693" width="11.42578125" style="845" customWidth="1"/>
    <col min="8694" max="8694" width="11.7109375" style="845" customWidth="1"/>
    <col min="8695" max="8695" width="45.42578125" style="845" customWidth="1"/>
    <col min="8696" max="8943" width="9.140625" style="845"/>
    <col min="8944" max="8944" width="4.85546875" style="845" customWidth="1"/>
    <col min="8945" max="8945" width="48.28515625" style="845" customWidth="1"/>
    <col min="8946" max="8946" width="12.85546875" style="845" customWidth="1"/>
    <col min="8947" max="8947" width="11.7109375" style="845" customWidth="1"/>
    <col min="8948" max="8948" width="11.140625" style="845" customWidth="1"/>
    <col min="8949" max="8949" width="11.42578125" style="845" customWidth="1"/>
    <col min="8950" max="8950" width="11.7109375" style="845" customWidth="1"/>
    <col min="8951" max="8951" width="45.42578125" style="845" customWidth="1"/>
    <col min="8952" max="9199" width="9.140625" style="845"/>
    <col min="9200" max="9200" width="4.85546875" style="845" customWidth="1"/>
    <col min="9201" max="9201" width="48.28515625" style="845" customWidth="1"/>
    <col min="9202" max="9202" width="12.85546875" style="845" customWidth="1"/>
    <col min="9203" max="9203" width="11.7109375" style="845" customWidth="1"/>
    <col min="9204" max="9204" width="11.140625" style="845" customWidth="1"/>
    <col min="9205" max="9205" width="11.42578125" style="845" customWidth="1"/>
    <col min="9206" max="9206" width="11.7109375" style="845" customWidth="1"/>
    <col min="9207" max="9207" width="45.42578125" style="845" customWidth="1"/>
    <col min="9208" max="9455" width="9.140625" style="845"/>
    <col min="9456" max="9456" width="4.85546875" style="845" customWidth="1"/>
    <col min="9457" max="9457" width="48.28515625" style="845" customWidth="1"/>
    <col min="9458" max="9458" width="12.85546875" style="845" customWidth="1"/>
    <col min="9459" max="9459" width="11.7109375" style="845" customWidth="1"/>
    <col min="9460" max="9460" width="11.140625" style="845" customWidth="1"/>
    <col min="9461" max="9461" width="11.42578125" style="845" customWidth="1"/>
    <col min="9462" max="9462" width="11.7109375" style="845" customWidth="1"/>
    <col min="9463" max="9463" width="45.42578125" style="845" customWidth="1"/>
    <col min="9464" max="9711" width="9.140625" style="845"/>
    <col min="9712" max="9712" width="4.85546875" style="845" customWidth="1"/>
    <col min="9713" max="9713" width="48.28515625" style="845" customWidth="1"/>
    <col min="9714" max="9714" width="12.85546875" style="845" customWidth="1"/>
    <col min="9715" max="9715" width="11.7109375" style="845" customWidth="1"/>
    <col min="9716" max="9716" width="11.140625" style="845" customWidth="1"/>
    <col min="9717" max="9717" width="11.42578125" style="845" customWidth="1"/>
    <col min="9718" max="9718" width="11.7109375" style="845" customWidth="1"/>
    <col min="9719" max="9719" width="45.42578125" style="845" customWidth="1"/>
    <col min="9720" max="9967" width="9.140625" style="845"/>
    <col min="9968" max="9968" width="4.85546875" style="845" customWidth="1"/>
    <col min="9969" max="9969" width="48.28515625" style="845" customWidth="1"/>
    <col min="9970" max="9970" width="12.85546875" style="845" customWidth="1"/>
    <col min="9971" max="9971" width="11.7109375" style="845" customWidth="1"/>
    <col min="9972" max="9972" width="11.140625" style="845" customWidth="1"/>
    <col min="9973" max="9973" width="11.42578125" style="845" customWidth="1"/>
    <col min="9974" max="9974" width="11.7109375" style="845" customWidth="1"/>
    <col min="9975" max="9975" width="45.42578125" style="845" customWidth="1"/>
    <col min="9976" max="10223" width="9.140625" style="845"/>
    <col min="10224" max="10224" width="4.85546875" style="845" customWidth="1"/>
    <col min="10225" max="10225" width="48.28515625" style="845" customWidth="1"/>
    <col min="10226" max="10226" width="12.85546875" style="845" customWidth="1"/>
    <col min="10227" max="10227" width="11.7109375" style="845" customWidth="1"/>
    <col min="10228" max="10228" width="11.140625" style="845" customWidth="1"/>
    <col min="10229" max="10229" width="11.42578125" style="845" customWidth="1"/>
    <col min="10230" max="10230" width="11.7109375" style="845" customWidth="1"/>
    <col min="10231" max="10231" width="45.42578125" style="845" customWidth="1"/>
    <col min="10232" max="10479" width="9.140625" style="845"/>
    <col min="10480" max="10480" width="4.85546875" style="845" customWidth="1"/>
    <col min="10481" max="10481" width="48.28515625" style="845" customWidth="1"/>
    <col min="10482" max="10482" width="12.85546875" style="845" customWidth="1"/>
    <col min="10483" max="10483" width="11.7109375" style="845" customWidth="1"/>
    <col min="10484" max="10484" width="11.140625" style="845" customWidth="1"/>
    <col min="10485" max="10485" width="11.42578125" style="845" customWidth="1"/>
    <col min="10486" max="10486" width="11.7109375" style="845" customWidth="1"/>
    <col min="10487" max="10487" width="45.42578125" style="845" customWidth="1"/>
    <col min="10488" max="10735" width="9.140625" style="845"/>
    <col min="10736" max="10736" width="4.85546875" style="845" customWidth="1"/>
    <col min="10737" max="10737" width="48.28515625" style="845" customWidth="1"/>
    <col min="10738" max="10738" width="12.85546875" style="845" customWidth="1"/>
    <col min="10739" max="10739" width="11.7109375" style="845" customWidth="1"/>
    <col min="10740" max="10740" width="11.140625" style="845" customWidth="1"/>
    <col min="10741" max="10741" width="11.42578125" style="845" customWidth="1"/>
    <col min="10742" max="10742" width="11.7109375" style="845" customWidth="1"/>
    <col min="10743" max="10743" width="45.42578125" style="845" customWidth="1"/>
    <col min="10744" max="10991" width="9.140625" style="845"/>
    <col min="10992" max="10992" width="4.85546875" style="845" customWidth="1"/>
    <col min="10993" max="10993" width="48.28515625" style="845" customWidth="1"/>
    <col min="10994" max="10994" width="12.85546875" style="845" customWidth="1"/>
    <col min="10995" max="10995" width="11.7109375" style="845" customWidth="1"/>
    <col min="10996" max="10996" width="11.140625" style="845" customWidth="1"/>
    <col min="10997" max="10997" width="11.42578125" style="845" customWidth="1"/>
    <col min="10998" max="10998" width="11.7109375" style="845" customWidth="1"/>
    <col min="10999" max="10999" width="45.42578125" style="845" customWidth="1"/>
    <col min="11000" max="11247" width="9.140625" style="845"/>
    <col min="11248" max="11248" width="4.85546875" style="845" customWidth="1"/>
    <col min="11249" max="11249" width="48.28515625" style="845" customWidth="1"/>
    <col min="11250" max="11250" width="12.85546875" style="845" customWidth="1"/>
    <col min="11251" max="11251" width="11.7109375" style="845" customWidth="1"/>
    <col min="11252" max="11252" width="11.140625" style="845" customWidth="1"/>
    <col min="11253" max="11253" width="11.42578125" style="845" customWidth="1"/>
    <col min="11254" max="11254" width="11.7109375" style="845" customWidth="1"/>
    <col min="11255" max="11255" width="45.42578125" style="845" customWidth="1"/>
    <col min="11256" max="11503" width="9.140625" style="845"/>
    <col min="11504" max="11504" width="4.85546875" style="845" customWidth="1"/>
    <col min="11505" max="11505" width="48.28515625" style="845" customWidth="1"/>
    <col min="11506" max="11506" width="12.85546875" style="845" customWidth="1"/>
    <col min="11507" max="11507" width="11.7109375" style="845" customWidth="1"/>
    <col min="11508" max="11508" width="11.140625" style="845" customWidth="1"/>
    <col min="11509" max="11509" width="11.42578125" style="845" customWidth="1"/>
    <col min="11510" max="11510" width="11.7109375" style="845" customWidth="1"/>
    <col min="11511" max="11511" width="45.42578125" style="845" customWidth="1"/>
    <col min="11512" max="11759" width="9.140625" style="845"/>
    <col min="11760" max="11760" width="4.85546875" style="845" customWidth="1"/>
    <col min="11761" max="11761" width="48.28515625" style="845" customWidth="1"/>
    <col min="11762" max="11762" width="12.85546875" style="845" customWidth="1"/>
    <col min="11763" max="11763" width="11.7109375" style="845" customWidth="1"/>
    <col min="11764" max="11764" width="11.140625" style="845" customWidth="1"/>
    <col min="11765" max="11765" width="11.42578125" style="845" customWidth="1"/>
    <col min="11766" max="11766" width="11.7109375" style="845" customWidth="1"/>
    <col min="11767" max="11767" width="45.42578125" style="845" customWidth="1"/>
    <col min="11768" max="12015" width="9.140625" style="845"/>
    <col min="12016" max="12016" width="4.85546875" style="845" customWidth="1"/>
    <col min="12017" max="12017" width="48.28515625" style="845" customWidth="1"/>
    <col min="12018" max="12018" width="12.85546875" style="845" customWidth="1"/>
    <col min="12019" max="12019" width="11.7109375" style="845" customWidth="1"/>
    <col min="12020" max="12020" width="11.140625" style="845" customWidth="1"/>
    <col min="12021" max="12021" width="11.42578125" style="845" customWidth="1"/>
    <col min="12022" max="12022" width="11.7109375" style="845" customWidth="1"/>
    <col min="12023" max="12023" width="45.42578125" style="845" customWidth="1"/>
    <col min="12024" max="12271" width="9.140625" style="845"/>
    <col min="12272" max="12272" width="4.85546875" style="845" customWidth="1"/>
    <col min="12273" max="12273" width="48.28515625" style="845" customWidth="1"/>
    <col min="12274" max="12274" width="12.85546875" style="845" customWidth="1"/>
    <col min="12275" max="12275" width="11.7109375" style="845" customWidth="1"/>
    <col min="12276" max="12276" width="11.140625" style="845" customWidth="1"/>
    <col min="12277" max="12277" width="11.42578125" style="845" customWidth="1"/>
    <col min="12278" max="12278" width="11.7109375" style="845" customWidth="1"/>
    <col min="12279" max="12279" width="45.42578125" style="845" customWidth="1"/>
    <col min="12280" max="12527" width="9.140625" style="845"/>
    <col min="12528" max="12528" width="4.85546875" style="845" customWidth="1"/>
    <col min="12529" max="12529" width="48.28515625" style="845" customWidth="1"/>
    <col min="12530" max="12530" width="12.85546875" style="845" customWidth="1"/>
    <col min="12531" max="12531" width="11.7109375" style="845" customWidth="1"/>
    <col min="12532" max="12532" width="11.140625" style="845" customWidth="1"/>
    <col min="12533" max="12533" width="11.42578125" style="845" customWidth="1"/>
    <col min="12534" max="12534" width="11.7109375" style="845" customWidth="1"/>
    <col min="12535" max="12535" width="45.42578125" style="845" customWidth="1"/>
    <col min="12536" max="12783" width="9.140625" style="845"/>
    <col min="12784" max="12784" width="4.85546875" style="845" customWidth="1"/>
    <col min="12785" max="12785" width="48.28515625" style="845" customWidth="1"/>
    <col min="12786" max="12786" width="12.85546875" style="845" customWidth="1"/>
    <col min="12787" max="12787" width="11.7109375" style="845" customWidth="1"/>
    <col min="12788" max="12788" width="11.140625" style="845" customWidth="1"/>
    <col min="12789" max="12789" width="11.42578125" style="845" customWidth="1"/>
    <col min="12790" max="12790" width="11.7109375" style="845" customWidth="1"/>
    <col min="12791" max="12791" width="45.42578125" style="845" customWidth="1"/>
    <col min="12792" max="13039" width="9.140625" style="845"/>
    <col min="13040" max="13040" width="4.85546875" style="845" customWidth="1"/>
    <col min="13041" max="13041" width="48.28515625" style="845" customWidth="1"/>
    <col min="13042" max="13042" width="12.85546875" style="845" customWidth="1"/>
    <col min="13043" max="13043" width="11.7109375" style="845" customWidth="1"/>
    <col min="13044" max="13044" width="11.140625" style="845" customWidth="1"/>
    <col min="13045" max="13045" width="11.42578125" style="845" customWidth="1"/>
    <col min="13046" max="13046" width="11.7109375" style="845" customWidth="1"/>
    <col min="13047" max="13047" width="45.42578125" style="845" customWidth="1"/>
    <col min="13048" max="13295" width="9.140625" style="845"/>
    <col min="13296" max="13296" width="4.85546875" style="845" customWidth="1"/>
    <col min="13297" max="13297" width="48.28515625" style="845" customWidth="1"/>
    <col min="13298" max="13298" width="12.85546875" style="845" customWidth="1"/>
    <col min="13299" max="13299" width="11.7109375" style="845" customWidth="1"/>
    <col min="13300" max="13300" width="11.140625" style="845" customWidth="1"/>
    <col min="13301" max="13301" width="11.42578125" style="845" customWidth="1"/>
    <col min="13302" max="13302" width="11.7109375" style="845" customWidth="1"/>
    <col min="13303" max="13303" width="45.42578125" style="845" customWidth="1"/>
    <col min="13304" max="13551" width="9.140625" style="845"/>
    <col min="13552" max="13552" width="4.85546875" style="845" customWidth="1"/>
    <col min="13553" max="13553" width="48.28515625" style="845" customWidth="1"/>
    <col min="13554" max="13554" width="12.85546875" style="845" customWidth="1"/>
    <col min="13555" max="13555" width="11.7109375" style="845" customWidth="1"/>
    <col min="13556" max="13556" width="11.140625" style="845" customWidth="1"/>
    <col min="13557" max="13557" width="11.42578125" style="845" customWidth="1"/>
    <col min="13558" max="13558" width="11.7109375" style="845" customWidth="1"/>
    <col min="13559" max="13559" width="45.42578125" style="845" customWidth="1"/>
    <col min="13560" max="13807" width="9.140625" style="845"/>
    <col min="13808" max="13808" width="4.85546875" style="845" customWidth="1"/>
    <col min="13809" max="13809" width="48.28515625" style="845" customWidth="1"/>
    <col min="13810" max="13810" width="12.85546875" style="845" customWidth="1"/>
    <col min="13811" max="13811" width="11.7109375" style="845" customWidth="1"/>
    <col min="13812" max="13812" width="11.140625" style="845" customWidth="1"/>
    <col min="13813" max="13813" width="11.42578125" style="845" customWidth="1"/>
    <col min="13814" max="13814" width="11.7109375" style="845" customWidth="1"/>
    <col min="13815" max="13815" width="45.42578125" style="845" customWidth="1"/>
    <col min="13816" max="14063" width="9.140625" style="845"/>
    <col min="14064" max="14064" width="4.85546875" style="845" customWidth="1"/>
    <col min="14065" max="14065" width="48.28515625" style="845" customWidth="1"/>
    <col min="14066" max="14066" width="12.85546875" style="845" customWidth="1"/>
    <col min="14067" max="14067" width="11.7109375" style="845" customWidth="1"/>
    <col min="14068" max="14068" width="11.140625" style="845" customWidth="1"/>
    <col min="14069" max="14069" width="11.42578125" style="845" customWidth="1"/>
    <col min="14070" max="14070" width="11.7109375" style="845" customWidth="1"/>
    <col min="14071" max="14071" width="45.42578125" style="845" customWidth="1"/>
    <col min="14072" max="14319" width="9.140625" style="845"/>
    <col min="14320" max="14320" width="4.85546875" style="845" customWidth="1"/>
    <col min="14321" max="14321" width="48.28515625" style="845" customWidth="1"/>
    <col min="14322" max="14322" width="12.85546875" style="845" customWidth="1"/>
    <col min="14323" max="14323" width="11.7109375" style="845" customWidth="1"/>
    <col min="14324" max="14324" width="11.140625" style="845" customWidth="1"/>
    <col min="14325" max="14325" width="11.42578125" style="845" customWidth="1"/>
    <col min="14326" max="14326" width="11.7109375" style="845" customWidth="1"/>
    <col min="14327" max="14327" width="45.42578125" style="845" customWidth="1"/>
    <col min="14328" max="14575" width="9.140625" style="845"/>
    <col min="14576" max="14576" width="4.85546875" style="845" customWidth="1"/>
    <col min="14577" max="14577" width="48.28515625" style="845" customWidth="1"/>
    <col min="14578" max="14578" width="12.85546875" style="845" customWidth="1"/>
    <col min="14579" max="14579" width="11.7109375" style="845" customWidth="1"/>
    <col min="14580" max="14580" width="11.140625" style="845" customWidth="1"/>
    <col min="14581" max="14581" width="11.42578125" style="845" customWidth="1"/>
    <col min="14582" max="14582" width="11.7109375" style="845" customWidth="1"/>
    <col min="14583" max="14583" width="45.42578125" style="845" customWidth="1"/>
    <col min="14584" max="14831" width="9.140625" style="845"/>
    <col min="14832" max="14832" width="4.85546875" style="845" customWidth="1"/>
    <col min="14833" max="14833" width="48.28515625" style="845" customWidth="1"/>
    <col min="14834" max="14834" width="12.85546875" style="845" customWidth="1"/>
    <col min="14835" max="14835" width="11.7109375" style="845" customWidth="1"/>
    <col min="14836" max="14836" width="11.140625" style="845" customWidth="1"/>
    <col min="14837" max="14837" width="11.42578125" style="845" customWidth="1"/>
    <col min="14838" max="14838" width="11.7109375" style="845" customWidth="1"/>
    <col min="14839" max="14839" width="45.42578125" style="845" customWidth="1"/>
    <col min="14840" max="15087" width="9.140625" style="845"/>
    <col min="15088" max="15088" width="4.85546875" style="845" customWidth="1"/>
    <col min="15089" max="15089" width="48.28515625" style="845" customWidth="1"/>
    <col min="15090" max="15090" width="12.85546875" style="845" customWidth="1"/>
    <col min="15091" max="15091" width="11.7109375" style="845" customWidth="1"/>
    <col min="15092" max="15092" width="11.140625" style="845" customWidth="1"/>
    <col min="15093" max="15093" width="11.42578125" style="845" customWidth="1"/>
    <col min="15094" max="15094" width="11.7109375" style="845" customWidth="1"/>
    <col min="15095" max="15095" width="45.42578125" style="845" customWidth="1"/>
    <col min="15096" max="15343" width="9.140625" style="845"/>
    <col min="15344" max="15344" width="4.85546875" style="845" customWidth="1"/>
    <col min="15345" max="15345" width="48.28515625" style="845" customWidth="1"/>
    <col min="15346" max="15346" width="12.85546875" style="845" customWidth="1"/>
    <col min="15347" max="15347" width="11.7109375" style="845" customWidth="1"/>
    <col min="15348" max="15348" width="11.140625" style="845" customWidth="1"/>
    <col min="15349" max="15349" width="11.42578125" style="845" customWidth="1"/>
    <col min="15350" max="15350" width="11.7109375" style="845" customWidth="1"/>
    <col min="15351" max="15351" width="45.42578125" style="845" customWidth="1"/>
    <col min="15352" max="15599" width="9.140625" style="845"/>
    <col min="15600" max="15600" width="4.85546875" style="845" customWidth="1"/>
    <col min="15601" max="15601" width="48.28515625" style="845" customWidth="1"/>
    <col min="15602" max="15602" width="12.85546875" style="845" customWidth="1"/>
    <col min="15603" max="15603" width="11.7109375" style="845" customWidth="1"/>
    <col min="15604" max="15604" width="11.140625" style="845" customWidth="1"/>
    <col min="15605" max="15605" width="11.42578125" style="845" customWidth="1"/>
    <col min="15606" max="15606" width="11.7109375" style="845" customWidth="1"/>
    <col min="15607" max="15607" width="45.42578125" style="845" customWidth="1"/>
    <col min="15608" max="15855" width="9.140625" style="845"/>
    <col min="15856" max="15856" width="4.85546875" style="845" customWidth="1"/>
    <col min="15857" max="15857" width="48.28515625" style="845" customWidth="1"/>
    <col min="15858" max="15858" width="12.85546875" style="845" customWidth="1"/>
    <col min="15859" max="15859" width="11.7109375" style="845" customWidth="1"/>
    <col min="15860" max="15860" width="11.140625" style="845" customWidth="1"/>
    <col min="15861" max="15861" width="11.42578125" style="845" customWidth="1"/>
    <col min="15862" max="15862" width="11.7109375" style="845" customWidth="1"/>
    <col min="15863" max="15863" width="45.42578125" style="845" customWidth="1"/>
    <col min="15864" max="16111" width="9.140625" style="845"/>
    <col min="16112" max="16112" width="4.85546875" style="845" customWidth="1"/>
    <col min="16113" max="16113" width="48.28515625" style="845" customWidth="1"/>
    <col min="16114" max="16114" width="12.85546875" style="845" customWidth="1"/>
    <col min="16115" max="16115" width="11.7109375" style="845" customWidth="1"/>
    <col min="16116" max="16116" width="11.140625" style="845" customWidth="1"/>
    <col min="16117" max="16117" width="11.42578125" style="845" customWidth="1"/>
    <col min="16118" max="16118" width="11.7109375" style="845" customWidth="1"/>
    <col min="16119" max="16119" width="45.42578125" style="845" customWidth="1"/>
    <col min="16120" max="16384" width="9.140625" style="845"/>
  </cols>
  <sheetData>
    <row r="1" spans="1:9" x14ac:dyDescent="0.2">
      <c r="F1" s="2312" t="s">
        <v>2185</v>
      </c>
      <c r="G1" s="2321"/>
      <c r="H1" s="2321"/>
      <c r="I1" s="2321"/>
    </row>
    <row r="2" spans="1:9" ht="30" customHeight="1" x14ac:dyDescent="0.2">
      <c r="F2" s="2321"/>
      <c r="G2" s="2321"/>
      <c r="H2" s="2321"/>
      <c r="I2" s="2321"/>
    </row>
    <row r="3" spans="1:9" x14ac:dyDescent="0.2">
      <c r="F3" s="1879"/>
      <c r="G3" s="1879"/>
      <c r="H3" s="1879"/>
      <c r="I3" s="1879"/>
    </row>
    <row r="4" spans="1:9" x14ac:dyDescent="0.2">
      <c r="F4" s="1879"/>
      <c r="G4" s="1879"/>
      <c r="H4" s="1879"/>
      <c r="I4" s="1879"/>
    </row>
    <row r="5" spans="1:9" x14ac:dyDescent="0.2">
      <c r="F5" s="1879"/>
      <c r="G5" s="1879"/>
      <c r="H5" s="1879"/>
      <c r="I5" s="1879"/>
    </row>
    <row r="6" spans="1:9" ht="18.75" x14ac:dyDescent="0.3">
      <c r="A6" s="843" t="s">
        <v>1395</v>
      </c>
      <c r="B6" s="844"/>
      <c r="C6" s="2324" t="s">
        <v>1396</v>
      </c>
      <c r="D6" s="2324"/>
      <c r="E6" s="2324"/>
      <c r="F6" s="2324"/>
      <c r="G6" s="2324"/>
      <c r="H6" s="2324"/>
      <c r="I6" s="2324"/>
    </row>
    <row r="7" spans="1:9" x14ac:dyDescent="0.2">
      <c r="A7" s="184" t="s">
        <v>1397</v>
      </c>
      <c r="B7" s="844"/>
      <c r="C7" s="846">
        <v>90000594245</v>
      </c>
      <c r="D7" s="846"/>
      <c r="E7" s="846"/>
      <c r="F7" s="846"/>
      <c r="G7" s="846"/>
      <c r="H7" s="847"/>
      <c r="I7" s="846"/>
    </row>
    <row r="8" spans="1:9" ht="17.25" customHeight="1" x14ac:dyDescent="0.25">
      <c r="A8" s="2305" t="s">
        <v>1398</v>
      </c>
      <c r="B8" s="2305"/>
      <c r="C8" s="2305"/>
      <c r="D8" s="2305"/>
      <c r="E8" s="2305"/>
      <c r="F8" s="2305"/>
      <c r="G8" s="2305"/>
      <c r="H8" s="2305"/>
      <c r="I8" s="2305"/>
    </row>
    <row r="9" spans="1:9" x14ac:dyDescent="0.2">
      <c r="A9" s="843"/>
      <c r="B9" s="843"/>
      <c r="C9" s="843"/>
      <c r="D9" s="843"/>
      <c r="E9" s="843"/>
      <c r="F9" s="2325"/>
      <c r="G9" s="2325"/>
      <c r="H9" s="2325"/>
      <c r="I9" s="2325"/>
    </row>
    <row r="10" spans="1:9" x14ac:dyDescent="0.2">
      <c r="A10" s="848" t="s">
        <v>1394</v>
      </c>
      <c r="B10" s="848"/>
      <c r="C10" s="849" t="s">
        <v>1399</v>
      </c>
      <c r="D10" s="848"/>
      <c r="E10" s="848"/>
      <c r="G10" s="849"/>
      <c r="H10" s="850"/>
      <c r="I10" s="849"/>
    </row>
    <row r="11" spans="1:9" x14ac:dyDescent="0.2">
      <c r="A11" s="848" t="s">
        <v>1305</v>
      </c>
      <c r="B11" s="848"/>
      <c r="C11" s="849" t="s">
        <v>1400</v>
      </c>
      <c r="D11" s="848"/>
      <c r="E11" s="848"/>
      <c r="G11" s="849"/>
      <c r="H11" s="850"/>
      <c r="I11" s="849"/>
    </row>
    <row r="12" spans="1:9" ht="15" customHeight="1" x14ac:dyDescent="0.2">
      <c r="A12" s="2322" t="s">
        <v>47</v>
      </c>
      <c r="B12" s="2322" t="s">
        <v>119</v>
      </c>
      <c r="C12" s="1949" t="s">
        <v>120</v>
      </c>
      <c r="D12" s="1949" t="s">
        <v>121</v>
      </c>
      <c r="E12" s="1949" t="s">
        <v>122</v>
      </c>
      <c r="F12" s="2322" t="s">
        <v>129</v>
      </c>
      <c r="G12" s="1949" t="s">
        <v>124</v>
      </c>
      <c r="H12" s="1969" t="s">
        <v>2165</v>
      </c>
      <c r="I12" s="1949" t="s">
        <v>126</v>
      </c>
    </row>
    <row r="13" spans="1:9" ht="36.75" customHeight="1" x14ac:dyDescent="0.2">
      <c r="A13" s="2323"/>
      <c r="B13" s="2323"/>
      <c r="C13" s="1950"/>
      <c r="D13" s="1950"/>
      <c r="E13" s="1950"/>
      <c r="F13" s="2323"/>
      <c r="G13" s="1950"/>
      <c r="H13" s="1971"/>
      <c r="I13" s="1950"/>
    </row>
    <row r="14" spans="1:9" x14ac:dyDescent="0.2">
      <c r="A14" s="2326" t="s">
        <v>2182</v>
      </c>
      <c r="B14" s="2327"/>
      <c r="C14" s="851">
        <f t="shared" ref="C14:D14" si="0">SUM(C15:C15)</f>
        <v>100</v>
      </c>
      <c r="D14" s="851">
        <f t="shared" si="0"/>
        <v>0</v>
      </c>
      <c r="E14" s="851">
        <f>SUM(E15:E15)</f>
        <v>100</v>
      </c>
      <c r="F14" s="851"/>
      <c r="G14" s="851">
        <f>SUM(G15:G15)</f>
        <v>100</v>
      </c>
      <c r="H14" s="1053">
        <f>SUM(H15:H15)</f>
        <v>143</v>
      </c>
      <c r="I14" s="852"/>
    </row>
    <row r="15" spans="1:9" ht="25.5" customHeight="1" x14ac:dyDescent="0.2">
      <c r="A15" s="853">
        <v>1</v>
      </c>
      <c r="B15" s="712" t="s">
        <v>1401</v>
      </c>
      <c r="C15" s="712">
        <v>100</v>
      </c>
      <c r="D15" s="712"/>
      <c r="E15" s="712">
        <v>100</v>
      </c>
      <c r="F15" s="854">
        <v>2279</v>
      </c>
      <c r="G15" s="918">
        <v>100</v>
      </c>
      <c r="H15" s="1054">
        <f>ROUNDUP(G15/0.702804,0)</f>
        <v>143</v>
      </c>
      <c r="I15" s="796" t="s">
        <v>1503</v>
      </c>
    </row>
    <row r="16" spans="1:9" x14ac:dyDescent="0.2">
      <c r="A16" s="856"/>
      <c r="B16" s="856"/>
      <c r="C16" s="856"/>
      <c r="D16" s="856"/>
      <c r="E16" s="856"/>
      <c r="F16" s="856"/>
      <c r="G16" s="856"/>
      <c r="H16" s="857"/>
      <c r="I16" s="856"/>
    </row>
    <row r="17" spans="1:9" x14ac:dyDescent="0.2">
      <c r="A17" s="848" t="s">
        <v>1394</v>
      </c>
      <c r="B17" s="848"/>
      <c r="C17" s="848"/>
      <c r="D17" s="848"/>
      <c r="E17" s="848"/>
      <c r="F17" s="849" t="s">
        <v>1402</v>
      </c>
      <c r="G17" s="849"/>
      <c r="H17" s="850"/>
      <c r="I17" s="849"/>
    </row>
    <row r="18" spans="1:9" x14ac:dyDescent="0.2">
      <c r="A18" s="848" t="s">
        <v>1305</v>
      </c>
      <c r="B18" s="848"/>
      <c r="C18" s="848"/>
      <c r="D18" s="848"/>
      <c r="E18" s="848"/>
      <c r="F18" s="849" t="s">
        <v>565</v>
      </c>
      <c r="G18" s="849"/>
      <c r="H18" s="850"/>
      <c r="I18" s="858"/>
    </row>
    <row r="19" spans="1:9" ht="15" customHeight="1" x14ac:dyDescent="0.2">
      <c r="A19" s="2322" t="s">
        <v>47</v>
      </c>
      <c r="B19" s="2322" t="s">
        <v>119</v>
      </c>
      <c r="C19" s="1949" t="s">
        <v>120</v>
      </c>
      <c r="D19" s="1949" t="s">
        <v>121</v>
      </c>
      <c r="E19" s="1949" t="s">
        <v>122</v>
      </c>
      <c r="F19" s="2322" t="s">
        <v>129</v>
      </c>
      <c r="G19" s="1949" t="s">
        <v>124</v>
      </c>
      <c r="H19" s="1969" t="s">
        <v>2165</v>
      </c>
      <c r="I19" s="1949" t="s">
        <v>126</v>
      </c>
    </row>
    <row r="20" spans="1:9" ht="32.25" customHeight="1" x14ac:dyDescent="0.2">
      <c r="A20" s="2323"/>
      <c r="B20" s="2323"/>
      <c r="C20" s="1950"/>
      <c r="D20" s="1950"/>
      <c r="E20" s="1950"/>
      <c r="F20" s="2323"/>
      <c r="G20" s="1950"/>
      <c r="H20" s="1971"/>
      <c r="I20" s="1950"/>
    </row>
    <row r="21" spans="1:9" ht="12.75" customHeight="1" x14ac:dyDescent="0.2">
      <c r="A21" s="2328" t="s">
        <v>2182</v>
      </c>
      <c r="B21" s="2329"/>
      <c r="C21" s="859">
        <f t="shared" ref="C21:D21" si="1">SUM(C22:C24)</f>
        <v>55624</v>
      </c>
      <c r="D21" s="859">
        <f t="shared" si="1"/>
        <v>55473</v>
      </c>
      <c r="E21" s="859">
        <f>SUM(E22:E24)</f>
        <v>55000</v>
      </c>
      <c r="F21" s="859"/>
      <c r="G21" s="859">
        <f>SUM(G22:G24)</f>
        <v>55000</v>
      </c>
      <c r="H21" s="859">
        <f>SUM(H22:H24)</f>
        <v>78259</v>
      </c>
      <c r="I21" s="859"/>
    </row>
    <row r="22" spans="1:9" ht="12.75" customHeight="1" x14ac:dyDescent="0.2">
      <c r="A22" s="860">
        <v>1</v>
      </c>
      <c r="B22" s="861" t="s">
        <v>1403</v>
      </c>
      <c r="C22" s="862">
        <v>1825</v>
      </c>
      <c r="D22" s="862">
        <v>1674</v>
      </c>
      <c r="E22" s="861"/>
      <c r="F22" s="863">
        <v>2279</v>
      </c>
      <c r="G22" s="925"/>
      <c r="H22" s="864">
        <f>ROUNDUP(G22/0.702804,0)</f>
        <v>0</v>
      </c>
      <c r="I22" s="864"/>
    </row>
    <row r="23" spans="1:9" ht="18" customHeight="1" x14ac:dyDescent="0.2">
      <c r="A23" s="874">
        <v>2</v>
      </c>
      <c r="B23" s="866" t="s">
        <v>1404</v>
      </c>
      <c r="C23" s="865">
        <v>4700</v>
      </c>
      <c r="D23" s="865">
        <v>4700</v>
      </c>
      <c r="E23" s="866">
        <v>5000</v>
      </c>
      <c r="F23" s="921">
        <v>3262</v>
      </c>
      <c r="G23" s="926">
        <v>5000</v>
      </c>
      <c r="H23" s="864">
        <f t="shared" ref="H23:H24" si="2">ROUNDUP(G23/0.702804,0)</f>
        <v>7115</v>
      </c>
      <c r="I23" s="2103" t="s">
        <v>1504</v>
      </c>
    </row>
    <row r="24" spans="1:9" ht="18" customHeight="1" x14ac:dyDescent="0.2">
      <c r="A24" s="853">
        <v>3</v>
      </c>
      <c r="B24" s="917" t="s">
        <v>1404</v>
      </c>
      <c r="C24" s="918">
        <v>49099</v>
      </c>
      <c r="D24" s="918">
        <v>49099</v>
      </c>
      <c r="E24" s="917">
        <v>50000</v>
      </c>
      <c r="F24" s="854">
        <v>3263</v>
      </c>
      <c r="G24" s="918">
        <v>50000</v>
      </c>
      <c r="H24" s="855">
        <f t="shared" si="2"/>
        <v>71144</v>
      </c>
      <c r="I24" s="2104"/>
    </row>
    <row r="25" spans="1:9" x14ac:dyDescent="0.2">
      <c r="A25" s="867"/>
      <c r="B25" s="867"/>
      <c r="C25" s="867"/>
      <c r="D25" s="867"/>
      <c r="E25" s="867"/>
      <c r="F25" s="868"/>
      <c r="G25" s="868"/>
      <c r="H25" s="869"/>
      <c r="I25" s="868"/>
    </row>
    <row r="26" spans="1:9" x14ac:dyDescent="0.2">
      <c r="A26" s="848" t="s">
        <v>1394</v>
      </c>
      <c r="B26" s="848"/>
      <c r="C26" s="848"/>
      <c r="D26" s="848"/>
      <c r="E26" s="848"/>
      <c r="F26" s="849" t="s">
        <v>1405</v>
      </c>
      <c r="G26" s="849"/>
      <c r="H26" s="870"/>
      <c r="I26" s="849"/>
    </row>
    <row r="27" spans="1:9" x14ac:dyDescent="0.2">
      <c r="A27" s="848" t="s">
        <v>1305</v>
      </c>
      <c r="B27" s="848"/>
      <c r="C27" s="848"/>
      <c r="D27" s="848"/>
      <c r="E27" s="848"/>
      <c r="F27" s="849" t="s">
        <v>1406</v>
      </c>
      <c r="G27" s="849"/>
      <c r="H27" s="870"/>
      <c r="I27" s="858"/>
    </row>
    <row r="28" spans="1:9" ht="15" customHeight="1" x14ac:dyDescent="0.2">
      <c r="A28" s="2322" t="s">
        <v>47</v>
      </c>
      <c r="B28" s="2322" t="s">
        <v>119</v>
      </c>
      <c r="C28" s="1949" t="s">
        <v>120</v>
      </c>
      <c r="D28" s="1949" t="s">
        <v>121</v>
      </c>
      <c r="E28" s="1949" t="s">
        <v>122</v>
      </c>
      <c r="F28" s="2322" t="s">
        <v>129</v>
      </c>
      <c r="G28" s="1949" t="s">
        <v>124</v>
      </c>
      <c r="H28" s="1969" t="s">
        <v>2165</v>
      </c>
      <c r="I28" s="1949" t="s">
        <v>126</v>
      </c>
    </row>
    <row r="29" spans="1:9" ht="31.5" customHeight="1" x14ac:dyDescent="0.2">
      <c r="A29" s="2323"/>
      <c r="B29" s="2323"/>
      <c r="C29" s="1950"/>
      <c r="D29" s="1950"/>
      <c r="E29" s="1950"/>
      <c r="F29" s="2323"/>
      <c r="G29" s="1950"/>
      <c r="H29" s="1971"/>
      <c r="I29" s="1950"/>
    </row>
    <row r="30" spans="1:9" x14ac:dyDescent="0.2">
      <c r="A30" s="871"/>
      <c r="B30" s="872" t="s">
        <v>55</v>
      </c>
      <c r="C30" s="851">
        <f>SUM(C31:C40)</f>
        <v>31816</v>
      </c>
      <c r="D30" s="851">
        <f t="shared" ref="D30" si="3">SUM(D31:D40)</f>
        <v>22205</v>
      </c>
      <c r="E30" s="851">
        <f>SUM(E31:E40)</f>
        <v>138735</v>
      </c>
      <c r="F30" s="851"/>
      <c r="G30" s="851">
        <f>SUM(G31:G40)</f>
        <v>137035</v>
      </c>
      <c r="H30" s="851">
        <f>SUM(H31:H40)</f>
        <v>194988</v>
      </c>
      <c r="I30" s="851"/>
    </row>
    <row r="31" spans="1:9" ht="25.5" customHeight="1" x14ac:dyDescent="0.2">
      <c r="A31" s="853">
        <v>1</v>
      </c>
      <c r="B31" s="722" t="s">
        <v>1407</v>
      </c>
      <c r="C31" s="722">
        <v>4743</v>
      </c>
      <c r="D31" s="722">
        <v>4742</v>
      </c>
      <c r="E31" s="722"/>
      <c r="F31" s="913">
        <v>6419</v>
      </c>
      <c r="G31" s="865"/>
      <c r="H31" s="920">
        <f t="shared" ref="H31:H40" si="4">ROUNDUP(G31/0.702804,0)</f>
        <v>0</v>
      </c>
      <c r="I31" s="864" t="s">
        <v>1408</v>
      </c>
    </row>
    <row r="32" spans="1:9" ht="38.25" x14ac:dyDescent="0.2">
      <c r="A32" s="853">
        <v>2</v>
      </c>
      <c r="B32" s="796" t="s">
        <v>1409</v>
      </c>
      <c r="C32" s="873">
        <v>750</v>
      </c>
      <c r="D32" s="873">
        <v>750</v>
      </c>
      <c r="E32" s="873">
        <v>750</v>
      </c>
      <c r="F32" s="854">
        <v>6259</v>
      </c>
      <c r="G32" s="918">
        <f>400+150</f>
        <v>550</v>
      </c>
      <c r="H32" s="920">
        <f t="shared" si="4"/>
        <v>783</v>
      </c>
      <c r="I32" s="528" t="s">
        <v>1410</v>
      </c>
    </row>
    <row r="33" spans="1:9" ht="51" customHeight="1" x14ac:dyDescent="0.2">
      <c r="A33" s="853">
        <v>3</v>
      </c>
      <c r="B33" s="796" t="s">
        <v>1411</v>
      </c>
      <c r="C33" s="873">
        <v>4000</v>
      </c>
      <c r="D33" s="873">
        <v>2000</v>
      </c>
      <c r="E33" s="873">
        <v>4000</v>
      </c>
      <c r="F33" s="854">
        <v>6423</v>
      </c>
      <c r="G33" s="918">
        <v>2500</v>
      </c>
      <c r="H33" s="920">
        <f t="shared" si="4"/>
        <v>3558</v>
      </c>
      <c r="I33" s="528" t="s">
        <v>1412</v>
      </c>
    </row>
    <row r="34" spans="1:9" ht="51.75" customHeight="1" x14ac:dyDescent="0.2">
      <c r="A34" s="853">
        <v>4</v>
      </c>
      <c r="B34" s="796" t="s">
        <v>1413</v>
      </c>
      <c r="C34" s="873">
        <v>60</v>
      </c>
      <c r="D34" s="873"/>
      <c r="E34" s="873">
        <v>60</v>
      </c>
      <c r="F34" s="854">
        <v>2232</v>
      </c>
      <c r="G34" s="918">
        <v>60</v>
      </c>
      <c r="H34" s="920">
        <f t="shared" si="4"/>
        <v>86</v>
      </c>
      <c r="I34" s="528" t="s">
        <v>1414</v>
      </c>
    </row>
    <row r="35" spans="1:9" ht="24.75" customHeight="1" x14ac:dyDescent="0.2">
      <c r="A35" s="874">
        <v>5</v>
      </c>
      <c r="B35" s="722" t="s">
        <v>1415</v>
      </c>
      <c r="C35" s="875">
        <v>925</v>
      </c>
      <c r="D35" s="875">
        <v>925</v>
      </c>
      <c r="E35" s="875">
        <v>925</v>
      </c>
      <c r="F35" s="754">
        <v>6423</v>
      </c>
      <c r="G35" s="918">
        <v>925</v>
      </c>
      <c r="H35" s="920">
        <f t="shared" si="4"/>
        <v>1317</v>
      </c>
      <c r="I35" s="528" t="s">
        <v>1519</v>
      </c>
    </row>
    <row r="36" spans="1:9" ht="41.25" customHeight="1" x14ac:dyDescent="0.2">
      <c r="A36" s="876">
        <v>6</v>
      </c>
      <c r="B36" s="712" t="s">
        <v>1416</v>
      </c>
      <c r="C36" s="877">
        <v>1072</v>
      </c>
      <c r="D36" s="877">
        <v>1072</v>
      </c>
      <c r="E36" s="877">
        <v>5000</v>
      </c>
      <c r="F36" s="854">
        <v>5239</v>
      </c>
      <c r="G36" s="918">
        <v>5000</v>
      </c>
      <c r="H36" s="920">
        <f t="shared" si="4"/>
        <v>7115</v>
      </c>
      <c r="I36" s="864" t="s">
        <v>1520</v>
      </c>
    </row>
    <row r="37" spans="1:9" ht="25.5" customHeight="1" x14ac:dyDescent="0.2">
      <c r="A37" s="914">
        <v>7</v>
      </c>
      <c r="B37" s="722" t="s">
        <v>1417</v>
      </c>
      <c r="C37" s="875">
        <v>266</v>
      </c>
      <c r="D37" s="875">
        <v>266</v>
      </c>
      <c r="E37" s="875"/>
      <c r="F37" s="913">
        <v>2312</v>
      </c>
      <c r="G37" s="865"/>
      <c r="H37" s="920">
        <f t="shared" si="4"/>
        <v>0</v>
      </c>
      <c r="I37" s="864" t="s">
        <v>1418</v>
      </c>
    </row>
    <row r="38" spans="1:9" ht="22.5" customHeight="1" x14ac:dyDescent="0.2">
      <c r="A38" s="2322">
        <v>8</v>
      </c>
      <c r="B38" s="2103" t="s">
        <v>1499</v>
      </c>
      <c r="C38" s="875">
        <v>12000</v>
      </c>
      <c r="D38" s="875">
        <v>6000</v>
      </c>
      <c r="E38" s="875">
        <v>96000</v>
      </c>
      <c r="F38" s="913">
        <v>1150</v>
      </c>
      <c r="G38" s="865">
        <v>96000</v>
      </c>
      <c r="H38" s="920">
        <f t="shared" si="4"/>
        <v>136596</v>
      </c>
      <c r="I38" s="2333" t="s">
        <v>1921</v>
      </c>
    </row>
    <row r="39" spans="1:9" ht="22.5" customHeight="1" x14ac:dyDescent="0.2">
      <c r="A39" s="2330"/>
      <c r="B39" s="2113"/>
      <c r="C39" s="875">
        <v>3000</v>
      </c>
      <c r="D39" s="875">
        <v>1450</v>
      </c>
      <c r="E39" s="875">
        <v>22000</v>
      </c>
      <c r="F39" s="913">
        <v>1210</v>
      </c>
      <c r="G39" s="865">
        <v>22000</v>
      </c>
      <c r="H39" s="920">
        <f t="shared" si="4"/>
        <v>31304</v>
      </c>
      <c r="I39" s="2334"/>
    </row>
    <row r="40" spans="1:9" ht="22.5" customHeight="1" x14ac:dyDescent="0.2">
      <c r="A40" s="2330"/>
      <c r="B40" s="2113"/>
      <c r="C40" s="877">
        <v>5000</v>
      </c>
      <c r="D40" s="877">
        <v>5000</v>
      </c>
      <c r="E40" s="877">
        <v>10000</v>
      </c>
      <c r="F40" s="912">
        <v>2279</v>
      </c>
      <c r="G40" s="877">
        <v>10000</v>
      </c>
      <c r="H40" s="1055">
        <f t="shared" si="4"/>
        <v>14229</v>
      </c>
      <c r="I40" s="2335"/>
    </row>
    <row r="41" spans="1:9" x14ac:dyDescent="0.2">
      <c r="A41" s="922"/>
      <c r="B41" s="923"/>
      <c r="C41" s="856"/>
      <c r="D41" s="856"/>
      <c r="E41" s="856"/>
      <c r="F41" s="856"/>
      <c r="G41" s="856"/>
      <c r="H41" s="880"/>
      <c r="I41" s="856"/>
    </row>
    <row r="42" spans="1:9" x14ac:dyDescent="0.2">
      <c r="A42" s="924" t="s">
        <v>1394</v>
      </c>
      <c r="B42" s="878"/>
      <c r="C42" s="848"/>
      <c r="D42" s="848"/>
      <c r="E42" s="848"/>
      <c r="F42" s="849" t="s">
        <v>1419</v>
      </c>
      <c r="G42" s="849"/>
      <c r="H42" s="870"/>
      <c r="I42" s="849"/>
    </row>
    <row r="43" spans="1:9" x14ac:dyDescent="0.2">
      <c r="A43" s="848" t="s">
        <v>1305</v>
      </c>
      <c r="B43" s="848"/>
      <c r="C43" s="848"/>
      <c r="D43" s="848"/>
      <c r="E43" s="848"/>
      <c r="F43" s="849" t="s">
        <v>1420</v>
      </c>
      <c r="G43" s="849"/>
      <c r="H43" s="870"/>
      <c r="I43" s="858"/>
    </row>
    <row r="44" spans="1:9" ht="15" customHeight="1" x14ac:dyDescent="0.2">
      <c r="A44" s="2322" t="s">
        <v>47</v>
      </c>
      <c r="B44" s="2322" t="s">
        <v>119</v>
      </c>
      <c r="C44" s="1949" t="s">
        <v>120</v>
      </c>
      <c r="D44" s="1949" t="s">
        <v>121</v>
      </c>
      <c r="E44" s="1949" t="s">
        <v>122</v>
      </c>
      <c r="F44" s="2322" t="s">
        <v>129</v>
      </c>
      <c r="G44" s="1949" t="s">
        <v>124</v>
      </c>
      <c r="H44" s="1969" t="s">
        <v>2165</v>
      </c>
      <c r="I44" s="1949" t="s">
        <v>126</v>
      </c>
    </row>
    <row r="45" spans="1:9" ht="33" customHeight="1" x14ac:dyDescent="0.2">
      <c r="A45" s="2323"/>
      <c r="B45" s="2323"/>
      <c r="C45" s="1950"/>
      <c r="D45" s="1950"/>
      <c r="E45" s="1950"/>
      <c r="F45" s="2323"/>
      <c r="G45" s="1950"/>
      <c r="H45" s="1971"/>
      <c r="I45" s="1950"/>
    </row>
    <row r="46" spans="1:9" x14ac:dyDescent="0.2">
      <c r="A46" s="2328" t="s">
        <v>2182</v>
      </c>
      <c r="B46" s="2329"/>
      <c r="C46" s="851">
        <f t="shared" ref="C46:D46" si="5">SUM(C47:C49)</f>
        <v>108138</v>
      </c>
      <c r="D46" s="851">
        <f t="shared" si="5"/>
        <v>108138</v>
      </c>
      <c r="E46" s="851">
        <f>SUM(E47:E49)</f>
        <v>108138</v>
      </c>
      <c r="F46" s="851"/>
      <c r="G46" s="851">
        <f>SUM(G47:G49)</f>
        <v>109549</v>
      </c>
      <c r="H46" s="1056">
        <f>SUM(H47:H49)</f>
        <v>155875</v>
      </c>
      <c r="I46" s="851"/>
    </row>
    <row r="47" spans="1:9" ht="38.25" x14ac:dyDescent="0.2">
      <c r="A47" s="874">
        <v>1</v>
      </c>
      <c r="B47" s="841" t="s">
        <v>1421</v>
      </c>
      <c r="C47" s="841">
        <v>83138</v>
      </c>
      <c r="D47" s="841">
        <v>83138</v>
      </c>
      <c r="E47" s="841">
        <v>83138</v>
      </c>
      <c r="F47" s="837">
        <v>3261</v>
      </c>
      <c r="G47" s="865">
        <v>84549</v>
      </c>
      <c r="H47" s="1057">
        <f t="shared" ref="H47:H49" si="6">ROUNDUP(G47/0.702804,0)</f>
        <v>120303</v>
      </c>
      <c r="I47" s="528" t="s">
        <v>1507</v>
      </c>
    </row>
    <row r="48" spans="1:9" ht="36" customHeight="1" x14ac:dyDescent="0.2">
      <c r="A48" s="876">
        <v>2</v>
      </c>
      <c r="B48" s="529" t="s">
        <v>1422</v>
      </c>
      <c r="C48" s="529">
        <v>9000</v>
      </c>
      <c r="D48" s="529">
        <v>9000</v>
      </c>
      <c r="E48" s="529">
        <v>9000</v>
      </c>
      <c r="F48" s="854">
        <v>6412</v>
      </c>
      <c r="G48" s="918">
        <v>9000</v>
      </c>
      <c r="H48" s="1057">
        <f t="shared" si="6"/>
        <v>12806</v>
      </c>
      <c r="I48" s="796" t="s">
        <v>1423</v>
      </c>
    </row>
    <row r="49" spans="1:9" ht="38.25" x14ac:dyDescent="0.2">
      <c r="A49" s="876">
        <v>3</v>
      </c>
      <c r="B49" s="529" t="s">
        <v>1424</v>
      </c>
      <c r="C49" s="529">
        <v>16000</v>
      </c>
      <c r="D49" s="712">
        <v>16000</v>
      </c>
      <c r="E49" s="529">
        <v>16000</v>
      </c>
      <c r="F49" s="854">
        <v>6252</v>
      </c>
      <c r="G49" s="918">
        <v>16000</v>
      </c>
      <c r="H49" s="1058">
        <f t="shared" si="6"/>
        <v>22766</v>
      </c>
      <c r="I49" s="528" t="s">
        <v>1508</v>
      </c>
    </row>
    <row r="50" spans="1:9" ht="15.75" customHeight="1" x14ac:dyDescent="0.2">
      <c r="A50" s="881"/>
      <c r="B50" s="878"/>
      <c r="C50" s="878"/>
      <c r="D50" s="878"/>
      <c r="E50" s="878"/>
      <c r="F50" s="878"/>
      <c r="G50" s="878"/>
      <c r="H50" s="879"/>
      <c r="I50" s="878"/>
    </row>
    <row r="51" spans="1:9" s="886" customFormat="1" ht="13.5" customHeight="1" x14ac:dyDescent="0.25">
      <c r="A51" s="2331" t="s">
        <v>1394</v>
      </c>
      <c r="B51" s="2331"/>
      <c r="C51" s="882"/>
      <c r="D51" s="882"/>
      <c r="E51" s="882"/>
      <c r="F51" s="883" t="s">
        <v>1425</v>
      </c>
      <c r="G51" s="883"/>
      <c r="H51" s="884"/>
      <c r="I51" s="885"/>
    </row>
    <row r="52" spans="1:9" x14ac:dyDescent="0.2">
      <c r="A52" s="848" t="s">
        <v>1305</v>
      </c>
      <c r="B52" s="848"/>
      <c r="C52" s="848"/>
      <c r="D52" s="848"/>
      <c r="E52" s="848"/>
      <c r="F52" s="849" t="s">
        <v>1426</v>
      </c>
      <c r="G52" s="849"/>
      <c r="H52" s="870"/>
      <c r="I52" s="858"/>
    </row>
    <row r="53" spans="1:9" ht="15" customHeight="1" x14ac:dyDescent="0.2">
      <c r="A53" s="2322" t="s">
        <v>47</v>
      </c>
      <c r="B53" s="2322" t="s">
        <v>119</v>
      </c>
      <c r="C53" s="1949" t="s">
        <v>120</v>
      </c>
      <c r="D53" s="1949" t="s">
        <v>121</v>
      </c>
      <c r="E53" s="1949" t="s">
        <v>122</v>
      </c>
      <c r="F53" s="2322" t="s">
        <v>129</v>
      </c>
      <c r="G53" s="1949" t="s">
        <v>124</v>
      </c>
      <c r="H53" s="1969" t="s">
        <v>2165</v>
      </c>
      <c r="I53" s="1949" t="s">
        <v>126</v>
      </c>
    </row>
    <row r="54" spans="1:9" ht="33" customHeight="1" x14ac:dyDescent="0.2">
      <c r="A54" s="2323"/>
      <c r="B54" s="2323"/>
      <c r="C54" s="1950"/>
      <c r="D54" s="1950"/>
      <c r="E54" s="1950"/>
      <c r="F54" s="2323"/>
      <c r="G54" s="1950"/>
      <c r="H54" s="1971"/>
      <c r="I54" s="1950"/>
    </row>
    <row r="55" spans="1:9" x14ac:dyDescent="0.2">
      <c r="A55" s="2328" t="s">
        <v>2182</v>
      </c>
      <c r="B55" s="2329"/>
      <c r="C55" s="851">
        <f t="shared" ref="C55:D55" si="7">SUM(C56:C65)</f>
        <v>343664</v>
      </c>
      <c r="D55" s="851">
        <f t="shared" si="7"/>
        <v>310244</v>
      </c>
      <c r="E55" s="851">
        <f>SUM(E56:E65)</f>
        <v>314788</v>
      </c>
      <c r="F55" s="851"/>
      <c r="G55" s="851">
        <f>SUM(G56:G65)</f>
        <v>297680</v>
      </c>
      <c r="H55" s="1059">
        <f>SUM(H56:H65)</f>
        <v>423565</v>
      </c>
      <c r="I55" s="851"/>
    </row>
    <row r="56" spans="1:9" ht="89.25" x14ac:dyDescent="0.2">
      <c r="A56" s="874">
        <v>1</v>
      </c>
      <c r="B56" s="808" t="s">
        <v>1427</v>
      </c>
      <c r="C56" s="808">
        <v>19680</v>
      </c>
      <c r="D56" s="722">
        <v>17202</v>
      </c>
      <c r="E56" s="808">
        <v>16536</v>
      </c>
      <c r="F56" s="761">
        <v>6255</v>
      </c>
      <c r="G56" s="865">
        <v>16800</v>
      </c>
      <c r="H56" s="1060">
        <f t="shared" ref="H56:H65" si="8">ROUNDUP(G56/0.702804,0)</f>
        <v>23905</v>
      </c>
      <c r="I56" s="887" t="s">
        <v>1428</v>
      </c>
    </row>
    <row r="57" spans="1:9" ht="40.5" customHeight="1" x14ac:dyDescent="0.2">
      <c r="A57" s="876">
        <v>2</v>
      </c>
      <c r="B57" s="712" t="s">
        <v>1429</v>
      </c>
      <c r="C57" s="712">
        <v>141704</v>
      </c>
      <c r="D57" s="712">
        <v>122408</v>
      </c>
      <c r="E57" s="712">
        <v>122408</v>
      </c>
      <c r="F57" s="836">
        <v>6260</v>
      </c>
      <c r="G57" s="918">
        <v>108000</v>
      </c>
      <c r="H57" s="1060">
        <f t="shared" si="8"/>
        <v>153671</v>
      </c>
      <c r="I57" s="528" t="s">
        <v>1430</v>
      </c>
    </row>
    <row r="58" spans="1:9" ht="25.5" customHeight="1" x14ac:dyDescent="0.2">
      <c r="A58" s="876">
        <v>3</v>
      </c>
      <c r="B58" s="529" t="s">
        <v>1424</v>
      </c>
      <c r="C58" s="529">
        <v>45200</v>
      </c>
      <c r="D58" s="712">
        <v>34654</v>
      </c>
      <c r="E58" s="529">
        <v>35000</v>
      </c>
      <c r="F58" s="836">
        <v>6252</v>
      </c>
      <c r="G58" s="918">
        <v>35000</v>
      </c>
      <c r="H58" s="1060">
        <f t="shared" si="8"/>
        <v>49801</v>
      </c>
      <c r="I58" s="720" t="s">
        <v>1509</v>
      </c>
    </row>
    <row r="59" spans="1:9" ht="31.5" customHeight="1" x14ac:dyDescent="0.2">
      <c r="A59" s="876">
        <v>4</v>
      </c>
      <c r="B59" s="529" t="s">
        <v>1431</v>
      </c>
      <c r="C59" s="529">
        <v>92200</v>
      </c>
      <c r="D59" s="712">
        <v>104200</v>
      </c>
      <c r="E59" s="529">
        <v>108000</v>
      </c>
      <c r="F59" s="1703">
        <v>6423</v>
      </c>
      <c r="G59" s="918">
        <v>108000</v>
      </c>
      <c r="H59" s="1060">
        <f t="shared" si="8"/>
        <v>153671</v>
      </c>
      <c r="I59" s="888" t="s">
        <v>1510</v>
      </c>
    </row>
    <row r="60" spans="1:9" ht="41.25" customHeight="1" x14ac:dyDescent="0.2">
      <c r="A60" s="876">
        <v>5</v>
      </c>
      <c r="B60" s="842" t="s">
        <v>1432</v>
      </c>
      <c r="C60" s="873">
        <v>30000</v>
      </c>
      <c r="D60" s="877">
        <v>20900</v>
      </c>
      <c r="E60" s="873">
        <v>21000</v>
      </c>
      <c r="F60" s="1703">
        <v>6259</v>
      </c>
      <c r="G60" s="918">
        <v>19000</v>
      </c>
      <c r="H60" s="1060">
        <f t="shared" si="8"/>
        <v>27035</v>
      </c>
      <c r="I60" s="888" t="s">
        <v>1511</v>
      </c>
    </row>
    <row r="61" spans="1:9" ht="39" customHeight="1" x14ac:dyDescent="0.2">
      <c r="A61" s="876">
        <v>6</v>
      </c>
      <c r="B61" s="529" t="s">
        <v>1433</v>
      </c>
      <c r="C61" s="873">
        <v>8200</v>
      </c>
      <c r="D61" s="877">
        <v>8200</v>
      </c>
      <c r="E61" s="873">
        <v>8664</v>
      </c>
      <c r="F61" s="1703">
        <v>6423</v>
      </c>
      <c r="G61" s="918">
        <v>8200</v>
      </c>
      <c r="H61" s="1060">
        <f t="shared" si="8"/>
        <v>11668</v>
      </c>
      <c r="I61" s="888" t="s">
        <v>1512</v>
      </c>
    </row>
    <row r="62" spans="1:9" ht="25.5" x14ac:dyDescent="0.2">
      <c r="A62" s="876">
        <v>7</v>
      </c>
      <c r="B62" s="529" t="s">
        <v>1434</v>
      </c>
      <c r="C62" s="873">
        <v>5000</v>
      </c>
      <c r="D62" s="877">
        <v>1000</v>
      </c>
      <c r="E62" s="873">
        <v>1500</v>
      </c>
      <c r="F62" s="1703">
        <v>6423</v>
      </c>
      <c r="G62" s="918">
        <v>1000</v>
      </c>
      <c r="H62" s="1060">
        <f t="shared" si="8"/>
        <v>1423</v>
      </c>
      <c r="I62" s="838" t="s">
        <v>1513</v>
      </c>
    </row>
    <row r="63" spans="1:9" ht="13.5" customHeight="1" x14ac:dyDescent="0.2">
      <c r="A63" s="2332">
        <v>8</v>
      </c>
      <c r="B63" s="2075" t="s">
        <v>1435</v>
      </c>
      <c r="C63" s="873">
        <v>300</v>
      </c>
      <c r="D63" s="877">
        <v>300</v>
      </c>
      <c r="E63" s="873">
        <v>300</v>
      </c>
      <c r="F63" s="836">
        <v>2231</v>
      </c>
      <c r="G63" s="918">
        <v>300</v>
      </c>
      <c r="H63" s="1060">
        <f t="shared" si="8"/>
        <v>427</v>
      </c>
      <c r="I63" s="2103" t="s">
        <v>1436</v>
      </c>
    </row>
    <row r="64" spans="1:9" ht="13.5" customHeight="1" x14ac:dyDescent="0.2">
      <c r="A64" s="2332"/>
      <c r="B64" s="2075"/>
      <c r="C64" s="873">
        <v>160</v>
      </c>
      <c r="D64" s="873">
        <v>160</v>
      </c>
      <c r="E64" s="873">
        <v>160</v>
      </c>
      <c r="F64" s="836">
        <v>2279</v>
      </c>
      <c r="G64" s="918">
        <v>160</v>
      </c>
      <c r="H64" s="1060">
        <f t="shared" si="8"/>
        <v>228</v>
      </c>
      <c r="I64" s="2113"/>
    </row>
    <row r="65" spans="1:9" ht="13.5" customHeight="1" x14ac:dyDescent="0.2">
      <c r="A65" s="2332"/>
      <c r="B65" s="2075"/>
      <c r="C65" s="873">
        <v>1220</v>
      </c>
      <c r="D65" s="873">
        <v>1220</v>
      </c>
      <c r="E65" s="873">
        <v>1220</v>
      </c>
      <c r="F65" s="836">
        <v>2390</v>
      </c>
      <c r="G65" s="918">
        <v>1220</v>
      </c>
      <c r="H65" s="1061">
        <f t="shared" si="8"/>
        <v>1736</v>
      </c>
      <c r="I65" s="2104"/>
    </row>
    <row r="66" spans="1:9" x14ac:dyDescent="0.2">
      <c r="A66" s="856"/>
      <c r="B66" s="856"/>
      <c r="C66" s="856"/>
      <c r="D66" s="856"/>
      <c r="E66" s="856"/>
      <c r="F66" s="856"/>
      <c r="G66" s="856"/>
      <c r="H66" s="880"/>
      <c r="I66" s="856"/>
    </row>
    <row r="67" spans="1:9" x14ac:dyDescent="0.2">
      <c r="A67" s="848" t="s">
        <v>1394</v>
      </c>
      <c r="B67" s="848"/>
      <c r="C67" s="848"/>
      <c r="D67" s="848"/>
      <c r="E67" s="848"/>
      <c r="F67" s="849" t="s">
        <v>1437</v>
      </c>
      <c r="G67" s="849"/>
      <c r="H67" s="870"/>
      <c r="I67" s="849"/>
    </row>
    <row r="68" spans="1:9" x14ac:dyDescent="0.2">
      <c r="A68" s="848" t="s">
        <v>1305</v>
      </c>
      <c r="B68" s="848"/>
      <c r="C68" s="848"/>
      <c r="D68" s="848"/>
      <c r="E68" s="848"/>
      <c r="F68" s="849" t="s">
        <v>1297</v>
      </c>
      <c r="G68" s="849"/>
      <c r="H68" s="870"/>
      <c r="I68" s="858"/>
    </row>
    <row r="69" spans="1:9" ht="15" customHeight="1" x14ac:dyDescent="0.2">
      <c r="A69" s="2322" t="s">
        <v>47</v>
      </c>
      <c r="B69" s="2322" t="s">
        <v>119</v>
      </c>
      <c r="C69" s="1949" t="s">
        <v>120</v>
      </c>
      <c r="D69" s="1949" t="s">
        <v>121</v>
      </c>
      <c r="E69" s="1949" t="s">
        <v>122</v>
      </c>
      <c r="F69" s="2322" t="s">
        <v>129</v>
      </c>
      <c r="G69" s="1949" t="s">
        <v>124</v>
      </c>
      <c r="H69" s="1969" t="s">
        <v>2165</v>
      </c>
      <c r="I69" s="1949" t="s">
        <v>126</v>
      </c>
    </row>
    <row r="70" spans="1:9" ht="34.5" customHeight="1" x14ac:dyDescent="0.2">
      <c r="A70" s="2323"/>
      <c r="B70" s="2323"/>
      <c r="C70" s="1950"/>
      <c r="D70" s="1950"/>
      <c r="E70" s="1950"/>
      <c r="F70" s="2323"/>
      <c r="G70" s="1950"/>
      <c r="H70" s="1971"/>
      <c r="I70" s="1950"/>
    </row>
    <row r="71" spans="1:9" x14ac:dyDescent="0.2">
      <c r="A71" s="2328" t="s">
        <v>2182</v>
      </c>
      <c r="B71" s="2329"/>
      <c r="C71" s="851">
        <f t="shared" ref="C71:D71" si="9">SUM(C72:C76)</f>
        <v>385100</v>
      </c>
      <c r="D71" s="851">
        <f t="shared" si="9"/>
        <v>306300</v>
      </c>
      <c r="E71" s="851">
        <f>SUM(E72:E76)</f>
        <v>336100</v>
      </c>
      <c r="F71" s="851"/>
      <c r="G71" s="851">
        <f>SUM(G72:G76)</f>
        <v>314000</v>
      </c>
      <c r="H71" s="1059">
        <f>SUM(H72:H76)</f>
        <v>446784</v>
      </c>
      <c r="I71" s="851"/>
    </row>
    <row r="72" spans="1:9" ht="39" customHeight="1" x14ac:dyDescent="0.2">
      <c r="A72" s="853">
        <v>1</v>
      </c>
      <c r="B72" s="712" t="s">
        <v>1438</v>
      </c>
      <c r="C72" s="712">
        <v>300000</v>
      </c>
      <c r="D72" s="712">
        <v>250000</v>
      </c>
      <c r="E72" s="712">
        <v>250000</v>
      </c>
      <c r="F72" s="694">
        <v>6360</v>
      </c>
      <c r="G72" s="918">
        <v>234000</v>
      </c>
      <c r="H72" s="1061">
        <f t="shared" ref="H72:H76" si="10">ROUNDUP(G72/0.702804,0)</f>
        <v>332953</v>
      </c>
      <c r="I72" s="735" t="s">
        <v>1439</v>
      </c>
    </row>
    <row r="73" spans="1:9" ht="39" customHeight="1" x14ac:dyDescent="0.2">
      <c r="A73" s="853">
        <v>2</v>
      </c>
      <c r="B73" s="712" t="s">
        <v>1440</v>
      </c>
      <c r="C73" s="712">
        <v>17000</v>
      </c>
      <c r="D73" s="712">
        <v>17000</v>
      </c>
      <c r="E73" s="712">
        <v>18000</v>
      </c>
      <c r="F73" s="694">
        <v>6270</v>
      </c>
      <c r="G73" s="918">
        <f>17000+1000</f>
        <v>18000</v>
      </c>
      <c r="H73" s="1061">
        <f t="shared" si="10"/>
        <v>25612</v>
      </c>
      <c r="I73" s="919" t="s">
        <v>1441</v>
      </c>
    </row>
    <row r="74" spans="1:9" ht="65.25" customHeight="1" x14ac:dyDescent="0.2">
      <c r="A74" s="853">
        <v>3</v>
      </c>
      <c r="B74" s="735" t="s">
        <v>1442</v>
      </c>
      <c r="C74" s="877">
        <v>27600</v>
      </c>
      <c r="D74" s="877">
        <v>21300</v>
      </c>
      <c r="E74" s="877">
        <v>27600</v>
      </c>
      <c r="F74" s="694">
        <v>6255</v>
      </c>
      <c r="G74" s="918">
        <v>21500</v>
      </c>
      <c r="H74" s="1061">
        <f t="shared" si="10"/>
        <v>30592</v>
      </c>
      <c r="I74" s="920" t="s">
        <v>1443</v>
      </c>
    </row>
    <row r="75" spans="1:9" ht="97.5" customHeight="1" x14ac:dyDescent="0.2">
      <c r="A75" s="2322">
        <v>4</v>
      </c>
      <c r="B75" s="1985" t="s">
        <v>1444</v>
      </c>
      <c r="C75" s="529">
        <v>40500</v>
      </c>
      <c r="D75" s="529">
        <v>18000</v>
      </c>
      <c r="E75" s="529">
        <v>40500</v>
      </c>
      <c r="F75" s="694">
        <v>6330</v>
      </c>
      <c r="G75" s="918">
        <v>20000</v>
      </c>
      <c r="H75" s="1061">
        <f t="shared" si="10"/>
        <v>28458</v>
      </c>
      <c r="I75" s="735" t="s">
        <v>1445</v>
      </c>
    </row>
    <row r="76" spans="1:9" ht="27" customHeight="1" x14ac:dyDescent="0.2">
      <c r="A76" s="2323"/>
      <c r="B76" s="1987"/>
      <c r="C76" s="529"/>
      <c r="D76" s="529"/>
      <c r="E76" s="529"/>
      <c r="F76" s="836">
        <v>2275</v>
      </c>
      <c r="G76" s="918">
        <v>20500</v>
      </c>
      <c r="H76" s="1061">
        <f t="shared" si="10"/>
        <v>29169</v>
      </c>
      <c r="I76" s="838" t="s">
        <v>1446</v>
      </c>
    </row>
    <row r="77" spans="1:9" x14ac:dyDescent="0.2">
      <c r="A77" s="856"/>
      <c r="B77" s="856"/>
      <c r="C77" s="856"/>
      <c r="D77" s="856"/>
      <c r="E77" s="856"/>
      <c r="F77" s="856"/>
      <c r="G77" s="856"/>
      <c r="H77" s="880"/>
      <c r="I77" s="856"/>
    </row>
    <row r="78" spans="1:9" x14ac:dyDescent="0.2">
      <c r="A78" s="848" t="s">
        <v>1394</v>
      </c>
      <c r="B78" s="848"/>
      <c r="C78" s="848"/>
      <c r="D78" s="848"/>
      <c r="E78" s="848"/>
      <c r="F78" s="849" t="s">
        <v>1501</v>
      </c>
      <c r="G78" s="849"/>
      <c r="H78" s="870"/>
      <c r="I78" s="849"/>
    </row>
    <row r="79" spans="1:9" x14ac:dyDescent="0.2">
      <c r="A79" s="848" t="s">
        <v>1305</v>
      </c>
      <c r="B79" s="848"/>
      <c r="C79" s="848"/>
      <c r="D79" s="848"/>
      <c r="E79" s="848"/>
      <c r="F79" s="849" t="s">
        <v>1302</v>
      </c>
      <c r="G79" s="849"/>
      <c r="H79" s="870"/>
      <c r="I79" s="858"/>
    </row>
    <row r="80" spans="1:9" ht="15" customHeight="1" x14ac:dyDescent="0.2">
      <c r="A80" s="2322" t="s">
        <v>47</v>
      </c>
      <c r="B80" s="2322" t="s">
        <v>119</v>
      </c>
      <c r="C80" s="1949" t="s">
        <v>120</v>
      </c>
      <c r="D80" s="1949" t="s">
        <v>121</v>
      </c>
      <c r="E80" s="1949" t="s">
        <v>122</v>
      </c>
      <c r="F80" s="2322" t="s">
        <v>129</v>
      </c>
      <c r="G80" s="1949" t="s">
        <v>124</v>
      </c>
      <c r="H80" s="1969" t="s">
        <v>2165</v>
      </c>
      <c r="I80" s="1949" t="s">
        <v>126</v>
      </c>
    </row>
    <row r="81" spans="1:9" ht="33.75" customHeight="1" x14ac:dyDescent="0.2">
      <c r="A81" s="2323"/>
      <c r="B81" s="2323"/>
      <c r="C81" s="1950"/>
      <c r="D81" s="1950"/>
      <c r="E81" s="1950"/>
      <c r="F81" s="2323"/>
      <c r="G81" s="1950"/>
      <c r="H81" s="1971"/>
      <c r="I81" s="1950"/>
    </row>
    <row r="82" spans="1:9" x14ac:dyDescent="0.2">
      <c r="A82" s="2328" t="s">
        <v>2182</v>
      </c>
      <c r="B82" s="2329"/>
      <c r="C82" s="851">
        <f t="shared" ref="C82:D82" si="11">SUM(C83:C94)</f>
        <v>339358</v>
      </c>
      <c r="D82" s="851">
        <f t="shared" si="11"/>
        <v>320208</v>
      </c>
      <c r="E82" s="851">
        <f>SUM(E83:E94)</f>
        <v>322478</v>
      </c>
      <c r="F82" s="851"/>
      <c r="G82" s="851">
        <f>SUM(G83:G94)</f>
        <v>301645</v>
      </c>
      <c r="H82" s="1056">
        <f>SUM(H83:H94)</f>
        <v>429209</v>
      </c>
      <c r="I82" s="851">
        <f>SUM(I83:I94)</f>
        <v>0</v>
      </c>
    </row>
    <row r="83" spans="1:9" ht="25.5" x14ac:dyDescent="0.2">
      <c r="A83" s="853">
        <v>1</v>
      </c>
      <c r="B83" s="712" t="s">
        <v>1447</v>
      </c>
      <c r="C83" s="712">
        <v>72470</v>
      </c>
      <c r="D83" s="712">
        <v>72470</v>
      </c>
      <c r="E83" s="712">
        <v>72470</v>
      </c>
      <c r="F83" s="854">
        <v>3261</v>
      </c>
      <c r="G83" s="865">
        <v>72755</v>
      </c>
      <c r="H83" s="1061">
        <f t="shared" ref="H83:H94" si="12">ROUNDUP(G83/0.702804,0)</f>
        <v>103522</v>
      </c>
      <c r="I83" s="864" t="s">
        <v>1505</v>
      </c>
    </row>
    <row r="84" spans="1:9" ht="25.5" x14ac:dyDescent="0.2">
      <c r="A84" s="853">
        <v>2</v>
      </c>
      <c r="B84" s="712" t="s">
        <v>1448</v>
      </c>
      <c r="C84" s="712">
        <v>82158</v>
      </c>
      <c r="D84" s="712">
        <v>82158</v>
      </c>
      <c r="E84" s="712">
        <v>82158</v>
      </c>
      <c r="F84" s="1703">
        <v>3261</v>
      </c>
      <c r="G84" s="918">
        <v>83910</v>
      </c>
      <c r="H84" s="1061">
        <f t="shared" si="12"/>
        <v>119394</v>
      </c>
      <c r="I84" s="864" t="s">
        <v>1506</v>
      </c>
    </row>
    <row r="85" spans="1:9" ht="27.75" customHeight="1" x14ac:dyDescent="0.2">
      <c r="A85" s="853">
        <v>3</v>
      </c>
      <c r="B85" s="529" t="s">
        <v>1449</v>
      </c>
      <c r="C85" s="529">
        <v>6900</v>
      </c>
      <c r="D85" s="529">
        <v>6900</v>
      </c>
      <c r="E85" s="529">
        <v>7000</v>
      </c>
      <c r="F85" s="1703">
        <v>3262</v>
      </c>
      <c r="G85" s="918">
        <v>6900</v>
      </c>
      <c r="H85" s="1061">
        <f t="shared" si="12"/>
        <v>9818</v>
      </c>
      <c r="I85" s="864" t="s">
        <v>1450</v>
      </c>
    </row>
    <row r="86" spans="1:9" ht="27.75" customHeight="1" x14ac:dyDescent="0.2">
      <c r="A86" s="853">
        <v>4</v>
      </c>
      <c r="B86" s="712" t="s">
        <v>1451</v>
      </c>
      <c r="C86" s="712">
        <v>89650</v>
      </c>
      <c r="D86" s="712">
        <v>73500</v>
      </c>
      <c r="E86" s="712">
        <v>73500</v>
      </c>
      <c r="F86" s="1703">
        <v>6260</v>
      </c>
      <c r="G86" s="918">
        <v>56500</v>
      </c>
      <c r="H86" s="1061">
        <f t="shared" si="12"/>
        <v>80393</v>
      </c>
      <c r="I86" s="864" t="s">
        <v>1452</v>
      </c>
    </row>
    <row r="87" spans="1:9" ht="29.25" customHeight="1" x14ac:dyDescent="0.2">
      <c r="A87" s="853">
        <v>5</v>
      </c>
      <c r="B87" s="529" t="s">
        <v>1424</v>
      </c>
      <c r="C87" s="529">
        <v>23000</v>
      </c>
      <c r="D87" s="529">
        <v>23000</v>
      </c>
      <c r="E87" s="529">
        <v>23000</v>
      </c>
      <c r="F87" s="1703">
        <v>6252</v>
      </c>
      <c r="G87" s="918">
        <v>23000</v>
      </c>
      <c r="H87" s="1061">
        <f t="shared" si="12"/>
        <v>32727</v>
      </c>
      <c r="I87" s="735" t="s">
        <v>1509</v>
      </c>
    </row>
    <row r="88" spans="1:9" ht="24.75" customHeight="1" x14ac:dyDescent="0.2">
      <c r="A88" s="853">
        <v>6</v>
      </c>
      <c r="B88" s="529" t="s">
        <v>1453</v>
      </c>
      <c r="C88" s="529">
        <v>8400</v>
      </c>
      <c r="D88" s="529">
        <v>8400</v>
      </c>
      <c r="E88" s="529">
        <v>9600</v>
      </c>
      <c r="F88" s="1703">
        <v>6423</v>
      </c>
      <c r="G88" s="918">
        <f>8400+200</f>
        <v>8600</v>
      </c>
      <c r="H88" s="1061">
        <f t="shared" si="12"/>
        <v>12237</v>
      </c>
      <c r="I88" s="864" t="s">
        <v>1514</v>
      </c>
    </row>
    <row r="89" spans="1:9" ht="40.5" customHeight="1" x14ac:dyDescent="0.2">
      <c r="A89" s="853">
        <v>7</v>
      </c>
      <c r="B89" s="529" t="s">
        <v>1454</v>
      </c>
      <c r="C89" s="529">
        <v>2400</v>
      </c>
      <c r="D89" s="529">
        <v>2400</v>
      </c>
      <c r="E89" s="529">
        <v>2000</v>
      </c>
      <c r="F89" s="1703">
        <v>6423</v>
      </c>
      <c r="G89" s="918">
        <v>2000</v>
      </c>
      <c r="H89" s="1061">
        <f t="shared" si="12"/>
        <v>2846</v>
      </c>
      <c r="I89" s="920" t="s">
        <v>1515</v>
      </c>
    </row>
    <row r="90" spans="1:9" ht="25.5" x14ac:dyDescent="0.2">
      <c r="A90" s="853">
        <v>8</v>
      </c>
      <c r="B90" s="529" t="s">
        <v>1455</v>
      </c>
      <c r="C90" s="529">
        <v>4500</v>
      </c>
      <c r="D90" s="529">
        <v>4500</v>
      </c>
      <c r="E90" s="529">
        <v>4500</v>
      </c>
      <c r="F90" s="1703">
        <v>6259</v>
      </c>
      <c r="G90" s="918">
        <v>4500</v>
      </c>
      <c r="H90" s="1061">
        <f t="shared" si="12"/>
        <v>6403</v>
      </c>
      <c r="I90" s="735" t="s">
        <v>1516</v>
      </c>
    </row>
    <row r="91" spans="1:9" ht="25.5" x14ac:dyDescent="0.2">
      <c r="A91" s="853">
        <v>9</v>
      </c>
      <c r="B91" s="529" t="s">
        <v>1456</v>
      </c>
      <c r="C91" s="529">
        <v>9500</v>
      </c>
      <c r="D91" s="529">
        <v>9500</v>
      </c>
      <c r="E91" s="529">
        <v>9500</v>
      </c>
      <c r="F91" s="1703">
        <v>6423</v>
      </c>
      <c r="G91" s="918">
        <f>8500+1000</f>
        <v>9500</v>
      </c>
      <c r="H91" s="1061">
        <f t="shared" si="12"/>
        <v>13518</v>
      </c>
      <c r="I91" s="864" t="s">
        <v>1517</v>
      </c>
    </row>
    <row r="92" spans="1:9" ht="37.5" customHeight="1" x14ac:dyDescent="0.2">
      <c r="A92" s="853">
        <v>10</v>
      </c>
      <c r="B92" s="529" t="s">
        <v>1457</v>
      </c>
      <c r="C92" s="529">
        <v>14400</v>
      </c>
      <c r="D92" s="529">
        <v>14400</v>
      </c>
      <c r="E92" s="529">
        <v>11000</v>
      </c>
      <c r="F92" s="854">
        <v>6254</v>
      </c>
      <c r="G92" s="918">
        <v>11000</v>
      </c>
      <c r="H92" s="1061">
        <f t="shared" si="12"/>
        <v>15652</v>
      </c>
      <c r="I92" s="735" t="s">
        <v>1458</v>
      </c>
    </row>
    <row r="93" spans="1:9" ht="52.5" customHeight="1" x14ac:dyDescent="0.2">
      <c r="A93" s="853">
        <v>12</v>
      </c>
      <c r="B93" s="735" t="s">
        <v>1459</v>
      </c>
      <c r="C93" s="877">
        <v>22000</v>
      </c>
      <c r="D93" s="877">
        <v>19000</v>
      </c>
      <c r="E93" s="877">
        <v>23000</v>
      </c>
      <c r="F93" s="1703">
        <v>6255</v>
      </c>
      <c r="G93" s="918">
        <v>19000</v>
      </c>
      <c r="H93" s="1061">
        <f t="shared" si="12"/>
        <v>27035</v>
      </c>
      <c r="I93" s="864" t="s">
        <v>1518</v>
      </c>
    </row>
    <row r="94" spans="1:9" ht="54" customHeight="1" x14ac:dyDescent="0.2">
      <c r="A94" s="876">
        <v>13</v>
      </c>
      <c r="B94" s="712" t="s">
        <v>1460</v>
      </c>
      <c r="C94" s="712">
        <v>3980</v>
      </c>
      <c r="D94" s="712">
        <v>3980</v>
      </c>
      <c r="E94" s="712">
        <v>4750</v>
      </c>
      <c r="F94" s="1703">
        <v>6255</v>
      </c>
      <c r="G94" s="918">
        <f>3500+480</f>
        <v>3980</v>
      </c>
      <c r="H94" s="1061">
        <f t="shared" si="12"/>
        <v>5664</v>
      </c>
      <c r="I94" s="855" t="s">
        <v>1461</v>
      </c>
    </row>
    <row r="95" spans="1:9" ht="17.25" customHeight="1" x14ac:dyDescent="0.2">
      <c r="A95" s="848"/>
      <c r="B95" s="889"/>
      <c r="C95" s="889"/>
      <c r="D95" s="889"/>
      <c r="E95" s="889"/>
      <c r="F95" s="889"/>
      <c r="G95" s="889"/>
      <c r="H95" s="884"/>
      <c r="I95" s="889"/>
    </row>
    <row r="96" spans="1:9" x14ac:dyDescent="0.2">
      <c r="A96" s="848" t="s">
        <v>1394</v>
      </c>
      <c r="B96" s="848"/>
      <c r="C96" s="848"/>
      <c r="D96" s="848"/>
      <c r="E96" s="848"/>
      <c r="F96" s="849" t="s">
        <v>1500</v>
      </c>
      <c r="G96" s="849"/>
      <c r="H96" s="870"/>
      <c r="I96" s="849"/>
    </row>
    <row r="97" spans="1:9" x14ac:dyDescent="0.2">
      <c r="A97" s="848" t="s">
        <v>1305</v>
      </c>
      <c r="B97" s="848"/>
      <c r="C97" s="848"/>
      <c r="D97" s="848"/>
      <c r="E97" s="848"/>
      <c r="F97" s="849" t="s">
        <v>1462</v>
      </c>
      <c r="G97" s="849"/>
      <c r="H97" s="870"/>
      <c r="I97" s="849"/>
    </row>
    <row r="98" spans="1:9" ht="15" customHeight="1" x14ac:dyDescent="0.2">
      <c r="A98" s="2322" t="s">
        <v>47</v>
      </c>
      <c r="B98" s="2322" t="s">
        <v>119</v>
      </c>
      <c r="C98" s="1949" t="s">
        <v>120</v>
      </c>
      <c r="D98" s="1949" t="s">
        <v>121</v>
      </c>
      <c r="E98" s="1949" t="s">
        <v>122</v>
      </c>
      <c r="F98" s="2322" t="s">
        <v>129</v>
      </c>
      <c r="G98" s="1949" t="s">
        <v>124</v>
      </c>
      <c r="H98" s="1969" t="s">
        <v>2165</v>
      </c>
      <c r="I98" s="1949" t="s">
        <v>126</v>
      </c>
    </row>
    <row r="99" spans="1:9" ht="33" customHeight="1" x14ac:dyDescent="0.2">
      <c r="A99" s="2323"/>
      <c r="B99" s="2323"/>
      <c r="C99" s="1950"/>
      <c r="D99" s="1950"/>
      <c r="E99" s="1950"/>
      <c r="F99" s="2323"/>
      <c r="G99" s="1950"/>
      <c r="H99" s="1971"/>
      <c r="I99" s="1950"/>
    </row>
    <row r="100" spans="1:9" x14ac:dyDescent="0.2">
      <c r="A100" s="2326" t="s">
        <v>2182</v>
      </c>
      <c r="B100" s="2327"/>
      <c r="C100" s="851">
        <f t="shared" ref="C100:D100" si="13">SUM(C101:C101)</f>
        <v>245500</v>
      </c>
      <c r="D100" s="851">
        <f t="shared" si="13"/>
        <v>217370</v>
      </c>
      <c r="E100" s="851">
        <f>SUM(E101:E101)</f>
        <v>261000</v>
      </c>
      <c r="F100" s="851"/>
      <c r="G100" s="851">
        <f>SUM(G101:G101)</f>
        <v>245500</v>
      </c>
      <c r="H100" s="1059">
        <f>SUM(H101:H101)</f>
        <v>349316</v>
      </c>
      <c r="I100" s="851">
        <f>SUM(I101:I101)</f>
        <v>0</v>
      </c>
    </row>
    <row r="101" spans="1:9" ht="36" customHeight="1" x14ac:dyDescent="0.2">
      <c r="A101" s="853">
        <v>1</v>
      </c>
      <c r="B101" s="712" t="s">
        <v>1463</v>
      </c>
      <c r="C101" s="712">
        <v>245500</v>
      </c>
      <c r="D101" s="712">
        <v>217370</v>
      </c>
      <c r="E101" s="712">
        <v>261000</v>
      </c>
      <c r="F101" s="694">
        <v>6423</v>
      </c>
      <c r="G101" s="918">
        <v>245500</v>
      </c>
      <c r="H101" s="1061">
        <f t="shared" ref="H101" si="14">ROUNDUP(G101/0.702804,0)</f>
        <v>349316</v>
      </c>
      <c r="I101" s="864" t="s">
        <v>1521</v>
      </c>
    </row>
    <row r="102" spans="1:9" x14ac:dyDescent="0.2">
      <c r="A102" s="848"/>
      <c r="B102" s="848"/>
      <c r="C102" s="848"/>
      <c r="D102" s="848"/>
      <c r="E102" s="848"/>
      <c r="F102" s="848"/>
      <c r="G102" s="848"/>
      <c r="H102" s="890"/>
      <c r="I102" s="891"/>
    </row>
    <row r="103" spans="1:9" x14ac:dyDescent="0.2">
      <c r="A103" s="2336" t="s">
        <v>2170</v>
      </c>
      <c r="B103" s="2336"/>
      <c r="C103" s="1205">
        <f t="shared" ref="C103:H103" si="15">C14+C21+C30+C46+C55+C71+C82+C100</f>
        <v>1509300</v>
      </c>
      <c r="D103" s="1205">
        <f t="shared" si="15"/>
        <v>1339938</v>
      </c>
      <c r="E103" s="1205">
        <f t="shared" si="15"/>
        <v>1536339</v>
      </c>
      <c r="F103" s="1205">
        <f t="shared" si="15"/>
        <v>0</v>
      </c>
      <c r="G103" s="1205">
        <f t="shared" si="15"/>
        <v>1460509</v>
      </c>
      <c r="H103" s="1205">
        <f t="shared" si="15"/>
        <v>2078139</v>
      </c>
      <c r="I103" s="892"/>
    </row>
    <row r="104" spans="1:9" x14ac:dyDescent="0.2">
      <c r="A104" s="1200"/>
      <c r="B104" s="1200"/>
      <c r="C104" s="1201"/>
      <c r="D104" s="1201"/>
      <c r="E104" s="1201"/>
      <c r="F104" s="1202"/>
      <c r="G104" s="1203"/>
      <c r="H104" s="1203"/>
      <c r="I104" s="1202"/>
    </row>
    <row r="105" spans="1:9" x14ac:dyDescent="0.2">
      <c r="A105" s="1202"/>
      <c r="B105" s="1202"/>
      <c r="C105" s="1202"/>
      <c r="D105" s="1202"/>
      <c r="E105" s="1202"/>
      <c r="F105" s="1202"/>
      <c r="G105" s="1202"/>
      <c r="H105" s="1204"/>
      <c r="I105" s="1202"/>
    </row>
  </sheetData>
  <sheetProtection password="CA5B" sheet="1" objects="1" scenarios="1"/>
  <mergeCells count="94">
    <mergeCell ref="I38:I40"/>
    <mergeCell ref="A103:B103"/>
    <mergeCell ref="G80:G81"/>
    <mergeCell ref="H80:H81"/>
    <mergeCell ref="I80:I81"/>
    <mergeCell ref="A82:B82"/>
    <mergeCell ref="A98:A99"/>
    <mergeCell ref="B98:B99"/>
    <mergeCell ref="C98:C99"/>
    <mergeCell ref="D98:D99"/>
    <mergeCell ref="E98:E99"/>
    <mergeCell ref="F98:F99"/>
    <mergeCell ref="G98:G99"/>
    <mergeCell ref="H98:H99"/>
    <mergeCell ref="I98:I99"/>
    <mergeCell ref="A100:B100"/>
    <mergeCell ref="E80:E81"/>
    <mergeCell ref="F80:F81"/>
    <mergeCell ref="A69:A70"/>
    <mergeCell ref="B69:B70"/>
    <mergeCell ref="C69:C70"/>
    <mergeCell ref="D69:D70"/>
    <mergeCell ref="E69:E70"/>
    <mergeCell ref="F69:F70"/>
    <mergeCell ref="A71:B71"/>
    <mergeCell ref="A80:A81"/>
    <mergeCell ref="B80:B81"/>
    <mergeCell ref="C80:C81"/>
    <mergeCell ref="D80:D81"/>
    <mergeCell ref="B75:B76"/>
    <mergeCell ref="A75:A76"/>
    <mergeCell ref="A55:B55"/>
    <mergeCell ref="A63:A65"/>
    <mergeCell ref="B63:B65"/>
    <mergeCell ref="I63:I65"/>
    <mergeCell ref="G69:G70"/>
    <mergeCell ref="H69:H70"/>
    <mergeCell ref="I69:I70"/>
    <mergeCell ref="H44:H45"/>
    <mergeCell ref="I44:I45"/>
    <mergeCell ref="A46:B46"/>
    <mergeCell ref="A51:B51"/>
    <mergeCell ref="A53:A54"/>
    <mergeCell ref="B53:B54"/>
    <mergeCell ref="C53:C54"/>
    <mergeCell ref="D53:D54"/>
    <mergeCell ref="E53:E54"/>
    <mergeCell ref="F53:F54"/>
    <mergeCell ref="G53:G54"/>
    <mergeCell ref="H53:H54"/>
    <mergeCell ref="I53:I54"/>
    <mergeCell ref="F44:F45"/>
    <mergeCell ref="G44:G45"/>
    <mergeCell ref="D44:D45"/>
    <mergeCell ref="E44:E45"/>
    <mergeCell ref="A28:A29"/>
    <mergeCell ref="B28:B29"/>
    <mergeCell ref="C28:C29"/>
    <mergeCell ref="D28:D29"/>
    <mergeCell ref="E28:E29"/>
    <mergeCell ref="B38:B40"/>
    <mergeCell ref="A38:A40"/>
    <mergeCell ref="A44:A45"/>
    <mergeCell ref="B44:B45"/>
    <mergeCell ref="C44:C45"/>
    <mergeCell ref="G28:G29"/>
    <mergeCell ref="H28:H29"/>
    <mergeCell ref="I28:I29"/>
    <mergeCell ref="I23:I24"/>
    <mergeCell ref="F28:F29"/>
    <mergeCell ref="F19:F20"/>
    <mergeCell ref="G19:G20"/>
    <mergeCell ref="H19:H20"/>
    <mergeCell ref="I19:I20"/>
    <mergeCell ref="A21:B21"/>
    <mergeCell ref="E19:E20"/>
    <mergeCell ref="A14:B14"/>
    <mergeCell ref="A19:A20"/>
    <mergeCell ref="B19:B20"/>
    <mergeCell ref="C19:C20"/>
    <mergeCell ref="D19:D20"/>
    <mergeCell ref="F1:I2"/>
    <mergeCell ref="A12:A13"/>
    <mergeCell ref="B12:B13"/>
    <mergeCell ref="C12:C13"/>
    <mergeCell ref="D12:D13"/>
    <mergeCell ref="E12:E13"/>
    <mergeCell ref="C6:I6"/>
    <mergeCell ref="A8:I8"/>
    <mergeCell ref="F9:I9"/>
    <mergeCell ref="F12:F13"/>
    <mergeCell ref="G12:G13"/>
    <mergeCell ref="H12:H13"/>
    <mergeCell ref="I12:I13"/>
  </mergeCells>
  <pageMargins left="0.74803149606299213" right="0.15748031496062992" top="0.39370078740157483" bottom="0.39370078740157483" header="0.51181102362204722" footer="0.51181102362204722"/>
  <pageSetup paperSize="9" scale="65"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05"/>
  <sheetViews>
    <sheetView showRuler="0" zoomScale="110" zoomScaleNormal="110" workbookViewId="0">
      <selection activeCell="N8" sqref="N8"/>
    </sheetView>
  </sheetViews>
  <sheetFormatPr defaultRowHeight="12" x14ac:dyDescent="0.2"/>
  <cols>
    <col min="1" max="1" width="4.85546875" style="215" customWidth="1"/>
    <col min="2" max="2" width="29.42578125" style="215" customWidth="1"/>
    <col min="3" max="3" width="7.5703125" style="215" customWidth="1"/>
    <col min="4" max="5" width="8.42578125" style="215" customWidth="1"/>
    <col min="6" max="6" width="8.85546875" style="215" customWidth="1"/>
    <col min="7" max="7" width="8" style="215" customWidth="1"/>
    <col min="8" max="8" width="7.42578125" style="215" customWidth="1"/>
    <col min="9" max="9" width="7.85546875" style="215" customWidth="1"/>
    <col min="10" max="10" width="7.85546875" style="215" hidden="1" customWidth="1"/>
    <col min="11" max="11" width="8.28515625" style="215" hidden="1" customWidth="1"/>
    <col min="12" max="12" width="7.5703125" style="215" customWidth="1"/>
    <col min="13" max="13" width="8.7109375" style="215" customWidth="1"/>
    <col min="14" max="250" width="9.140625" style="215"/>
    <col min="251" max="251" width="4.85546875" style="215" customWidth="1"/>
    <col min="252" max="252" width="29.42578125" style="215" customWidth="1"/>
    <col min="253" max="253" width="10.7109375" style="215" bestFit="1" customWidth="1"/>
    <col min="254" max="254" width="9.5703125" style="215" bestFit="1" customWidth="1"/>
    <col min="255" max="255" width="10.7109375" style="215" bestFit="1" customWidth="1"/>
    <col min="256" max="256" width="9.5703125" style="215" bestFit="1" customWidth="1"/>
    <col min="257" max="257" width="10.7109375" style="215" bestFit="1" customWidth="1"/>
    <col min="258" max="258" width="9.5703125" style="215" bestFit="1" customWidth="1"/>
    <col min="259" max="260" width="9.7109375" style="215" customWidth="1"/>
    <col min="261" max="261" width="11" style="215" customWidth="1"/>
    <col min="262" max="262" width="9.140625" style="215" customWidth="1"/>
    <col min="263" max="263" width="10.28515625" style="215" customWidth="1"/>
    <col min="264" max="264" width="12.28515625" style="215" customWidth="1"/>
    <col min="265" max="506" width="9.140625" style="215"/>
    <col min="507" max="507" width="4.85546875" style="215" customWidth="1"/>
    <col min="508" max="508" width="29.42578125" style="215" customWidth="1"/>
    <col min="509" max="509" width="10.7109375" style="215" bestFit="1" customWidth="1"/>
    <col min="510" max="510" width="9.5703125" style="215" bestFit="1" customWidth="1"/>
    <col min="511" max="511" width="10.7109375" style="215" bestFit="1" customWidth="1"/>
    <col min="512" max="512" width="9.5703125" style="215" bestFit="1" customWidth="1"/>
    <col min="513" max="513" width="10.7109375" style="215" bestFit="1" customWidth="1"/>
    <col min="514" max="514" width="9.5703125" style="215" bestFit="1" customWidth="1"/>
    <col min="515" max="516" width="9.7109375" style="215" customWidth="1"/>
    <col min="517" max="517" width="11" style="215" customWidth="1"/>
    <col min="518" max="518" width="9.140625" style="215" customWidth="1"/>
    <col min="519" max="519" width="10.28515625" style="215" customWidth="1"/>
    <col min="520" max="520" width="12.28515625" style="215" customWidth="1"/>
    <col min="521" max="762" width="9.140625" style="215"/>
    <col min="763" max="763" width="4.85546875" style="215" customWidth="1"/>
    <col min="764" max="764" width="29.42578125" style="215" customWidth="1"/>
    <col min="765" max="765" width="10.7109375" style="215" bestFit="1" customWidth="1"/>
    <col min="766" max="766" width="9.5703125" style="215" bestFit="1" customWidth="1"/>
    <col min="767" max="767" width="10.7109375" style="215" bestFit="1" customWidth="1"/>
    <col min="768" max="768" width="9.5703125" style="215" bestFit="1" customWidth="1"/>
    <col min="769" max="769" width="10.7109375" style="215" bestFit="1" customWidth="1"/>
    <col min="770" max="770" width="9.5703125" style="215" bestFit="1" customWidth="1"/>
    <col min="771" max="772" width="9.7109375" style="215" customWidth="1"/>
    <col min="773" max="773" width="11" style="215" customWidth="1"/>
    <col min="774" max="774" width="9.140625" style="215" customWidth="1"/>
    <col min="775" max="775" width="10.28515625" style="215" customWidth="1"/>
    <col min="776" max="776" width="12.28515625" style="215" customWidth="1"/>
    <col min="777" max="1018" width="9.140625" style="215"/>
    <col min="1019" max="1019" width="4.85546875" style="215" customWidth="1"/>
    <col min="1020" max="1020" width="29.42578125" style="215" customWidth="1"/>
    <col min="1021" max="1021" width="10.7109375" style="215" bestFit="1" customWidth="1"/>
    <col min="1022" max="1022" width="9.5703125" style="215" bestFit="1" customWidth="1"/>
    <col min="1023" max="1023" width="10.7109375" style="215" bestFit="1" customWidth="1"/>
    <col min="1024" max="1024" width="9.5703125" style="215" bestFit="1" customWidth="1"/>
    <col min="1025" max="1025" width="10.7109375" style="215" bestFit="1" customWidth="1"/>
    <col min="1026" max="1026" width="9.5703125" style="215" bestFit="1" customWidth="1"/>
    <col min="1027" max="1028" width="9.7109375" style="215" customWidth="1"/>
    <col min="1029" max="1029" width="11" style="215" customWidth="1"/>
    <col min="1030" max="1030" width="9.140625" style="215" customWidth="1"/>
    <col min="1031" max="1031" width="10.28515625" style="215" customWidth="1"/>
    <col min="1032" max="1032" width="12.28515625" style="215" customWidth="1"/>
    <col min="1033" max="1274" width="9.140625" style="215"/>
    <col min="1275" max="1275" width="4.85546875" style="215" customWidth="1"/>
    <col min="1276" max="1276" width="29.42578125" style="215" customWidth="1"/>
    <col min="1277" max="1277" width="10.7109375" style="215" bestFit="1" customWidth="1"/>
    <col min="1278" max="1278" width="9.5703125" style="215" bestFit="1" customWidth="1"/>
    <col min="1279" max="1279" width="10.7109375" style="215" bestFit="1" customWidth="1"/>
    <col min="1280" max="1280" width="9.5703125" style="215" bestFit="1" customWidth="1"/>
    <col min="1281" max="1281" width="10.7109375" style="215" bestFit="1" customWidth="1"/>
    <col min="1282" max="1282" width="9.5703125" style="215" bestFit="1" customWidth="1"/>
    <col min="1283" max="1284" width="9.7109375" style="215" customWidth="1"/>
    <col min="1285" max="1285" width="11" style="215" customWidth="1"/>
    <col min="1286" max="1286" width="9.140625" style="215" customWidth="1"/>
    <col min="1287" max="1287" width="10.28515625" style="215" customWidth="1"/>
    <col min="1288" max="1288" width="12.28515625" style="215" customWidth="1"/>
    <col min="1289" max="1530" width="9.140625" style="215"/>
    <col min="1531" max="1531" width="4.85546875" style="215" customWidth="1"/>
    <col min="1532" max="1532" width="29.42578125" style="215" customWidth="1"/>
    <col min="1533" max="1533" width="10.7109375" style="215" bestFit="1" customWidth="1"/>
    <col min="1534" max="1534" width="9.5703125" style="215" bestFit="1" customWidth="1"/>
    <col min="1535" max="1535" width="10.7109375" style="215" bestFit="1" customWidth="1"/>
    <col min="1536" max="1536" width="9.5703125" style="215" bestFit="1" customWidth="1"/>
    <col min="1537" max="1537" width="10.7109375" style="215" bestFit="1" customWidth="1"/>
    <col min="1538" max="1538" width="9.5703125" style="215" bestFit="1" customWidth="1"/>
    <col min="1539" max="1540" width="9.7109375" style="215" customWidth="1"/>
    <col min="1541" max="1541" width="11" style="215" customWidth="1"/>
    <col min="1542" max="1542" width="9.140625" style="215" customWidth="1"/>
    <col min="1543" max="1543" width="10.28515625" style="215" customWidth="1"/>
    <col min="1544" max="1544" width="12.28515625" style="215" customWidth="1"/>
    <col min="1545" max="1786" width="9.140625" style="215"/>
    <col min="1787" max="1787" width="4.85546875" style="215" customWidth="1"/>
    <col min="1788" max="1788" width="29.42578125" style="215" customWidth="1"/>
    <col min="1789" max="1789" width="10.7109375" style="215" bestFit="1" customWidth="1"/>
    <col min="1790" max="1790" width="9.5703125" style="215" bestFit="1" customWidth="1"/>
    <col min="1791" max="1791" width="10.7109375" style="215" bestFit="1" customWidth="1"/>
    <col min="1792" max="1792" width="9.5703125" style="215" bestFit="1" customWidth="1"/>
    <col min="1793" max="1793" width="10.7109375" style="215" bestFit="1" customWidth="1"/>
    <col min="1794" max="1794" width="9.5703125" style="215" bestFit="1" customWidth="1"/>
    <col min="1795" max="1796" width="9.7109375" style="215" customWidth="1"/>
    <col min="1797" max="1797" width="11" style="215" customWidth="1"/>
    <col min="1798" max="1798" width="9.140625" style="215" customWidth="1"/>
    <col min="1799" max="1799" width="10.28515625" style="215" customWidth="1"/>
    <col min="1800" max="1800" width="12.28515625" style="215" customWidth="1"/>
    <col min="1801" max="2042" width="9.140625" style="215"/>
    <col min="2043" max="2043" width="4.85546875" style="215" customWidth="1"/>
    <col min="2044" max="2044" width="29.42578125" style="215" customWidth="1"/>
    <col min="2045" max="2045" width="10.7109375" style="215" bestFit="1" customWidth="1"/>
    <col min="2046" max="2046" width="9.5703125" style="215" bestFit="1" customWidth="1"/>
    <col min="2047" max="2047" width="10.7109375" style="215" bestFit="1" customWidth="1"/>
    <col min="2048" max="2048" width="9.5703125" style="215" bestFit="1" customWidth="1"/>
    <col min="2049" max="2049" width="10.7109375" style="215" bestFit="1" customWidth="1"/>
    <col min="2050" max="2050" width="9.5703125" style="215" bestFit="1" customWidth="1"/>
    <col min="2051" max="2052" width="9.7109375" style="215" customWidth="1"/>
    <col min="2053" max="2053" width="11" style="215" customWidth="1"/>
    <col min="2054" max="2054" width="9.140625" style="215" customWidth="1"/>
    <col min="2055" max="2055" width="10.28515625" style="215" customWidth="1"/>
    <col min="2056" max="2056" width="12.28515625" style="215" customWidth="1"/>
    <col min="2057" max="2298" width="9.140625" style="215"/>
    <col min="2299" max="2299" width="4.85546875" style="215" customWidth="1"/>
    <col min="2300" max="2300" width="29.42578125" style="215" customWidth="1"/>
    <col min="2301" max="2301" width="10.7109375" style="215" bestFit="1" customWidth="1"/>
    <col min="2302" max="2302" width="9.5703125" style="215" bestFit="1" customWidth="1"/>
    <col min="2303" max="2303" width="10.7109375" style="215" bestFit="1" customWidth="1"/>
    <col min="2304" max="2304" width="9.5703125" style="215" bestFit="1" customWidth="1"/>
    <col min="2305" max="2305" width="10.7109375" style="215" bestFit="1" customWidth="1"/>
    <col min="2306" max="2306" width="9.5703125" style="215" bestFit="1" customWidth="1"/>
    <col min="2307" max="2308" width="9.7109375" style="215" customWidth="1"/>
    <col min="2309" max="2309" width="11" style="215" customWidth="1"/>
    <col min="2310" max="2310" width="9.140625" style="215" customWidth="1"/>
    <col min="2311" max="2311" width="10.28515625" style="215" customWidth="1"/>
    <col min="2312" max="2312" width="12.28515625" style="215" customWidth="1"/>
    <col min="2313" max="2554" width="9.140625" style="215"/>
    <col min="2555" max="2555" width="4.85546875" style="215" customWidth="1"/>
    <col min="2556" max="2556" width="29.42578125" style="215" customWidth="1"/>
    <col min="2557" max="2557" width="10.7109375" style="215" bestFit="1" customWidth="1"/>
    <col min="2558" max="2558" width="9.5703125" style="215" bestFit="1" customWidth="1"/>
    <col min="2559" max="2559" width="10.7109375" style="215" bestFit="1" customWidth="1"/>
    <col min="2560" max="2560" width="9.5703125" style="215" bestFit="1" customWidth="1"/>
    <col min="2561" max="2561" width="10.7109375" style="215" bestFit="1" customWidth="1"/>
    <col min="2562" max="2562" width="9.5703125" style="215" bestFit="1" customWidth="1"/>
    <col min="2563" max="2564" width="9.7109375" style="215" customWidth="1"/>
    <col min="2565" max="2565" width="11" style="215" customWidth="1"/>
    <col min="2566" max="2566" width="9.140625" style="215" customWidth="1"/>
    <col min="2567" max="2567" width="10.28515625" style="215" customWidth="1"/>
    <col min="2568" max="2568" width="12.28515625" style="215" customWidth="1"/>
    <col min="2569" max="2810" width="9.140625" style="215"/>
    <col min="2811" max="2811" width="4.85546875" style="215" customWidth="1"/>
    <col min="2812" max="2812" width="29.42578125" style="215" customWidth="1"/>
    <col min="2813" max="2813" width="10.7109375" style="215" bestFit="1" customWidth="1"/>
    <col min="2814" max="2814" width="9.5703125" style="215" bestFit="1" customWidth="1"/>
    <col min="2815" max="2815" width="10.7109375" style="215" bestFit="1" customWidth="1"/>
    <col min="2816" max="2816" width="9.5703125" style="215" bestFit="1" customWidth="1"/>
    <col min="2817" max="2817" width="10.7109375" style="215" bestFit="1" customWidth="1"/>
    <col min="2818" max="2818" width="9.5703125" style="215" bestFit="1" customWidth="1"/>
    <col min="2819" max="2820" width="9.7109375" style="215" customWidth="1"/>
    <col min="2821" max="2821" width="11" style="215" customWidth="1"/>
    <col min="2822" max="2822" width="9.140625" style="215" customWidth="1"/>
    <col min="2823" max="2823" width="10.28515625" style="215" customWidth="1"/>
    <col min="2824" max="2824" width="12.28515625" style="215" customWidth="1"/>
    <col min="2825" max="3066" width="9.140625" style="215"/>
    <col min="3067" max="3067" width="4.85546875" style="215" customWidth="1"/>
    <col min="3068" max="3068" width="29.42578125" style="215" customWidth="1"/>
    <col min="3069" max="3069" width="10.7109375" style="215" bestFit="1" customWidth="1"/>
    <col min="3070" max="3070" width="9.5703125" style="215" bestFit="1" customWidth="1"/>
    <col min="3071" max="3071" width="10.7109375" style="215" bestFit="1" customWidth="1"/>
    <col min="3072" max="3072" width="9.5703125" style="215" bestFit="1" customWidth="1"/>
    <col min="3073" max="3073" width="10.7109375" style="215" bestFit="1" customWidth="1"/>
    <col min="3074" max="3074" width="9.5703125" style="215" bestFit="1" customWidth="1"/>
    <col min="3075" max="3076" width="9.7109375" style="215" customWidth="1"/>
    <col min="3077" max="3077" width="11" style="215" customWidth="1"/>
    <col min="3078" max="3078" width="9.140625" style="215" customWidth="1"/>
    <col min="3079" max="3079" width="10.28515625" style="215" customWidth="1"/>
    <col min="3080" max="3080" width="12.28515625" style="215" customWidth="1"/>
    <col min="3081" max="3322" width="9.140625" style="215"/>
    <col min="3323" max="3323" width="4.85546875" style="215" customWidth="1"/>
    <col min="3324" max="3324" width="29.42578125" style="215" customWidth="1"/>
    <col min="3325" max="3325" width="10.7109375" style="215" bestFit="1" customWidth="1"/>
    <col min="3326" max="3326" width="9.5703125" style="215" bestFit="1" customWidth="1"/>
    <col min="3327" max="3327" width="10.7109375" style="215" bestFit="1" customWidth="1"/>
    <col min="3328" max="3328" width="9.5703125" style="215" bestFit="1" customWidth="1"/>
    <col min="3329" max="3329" width="10.7109375" style="215" bestFit="1" customWidth="1"/>
    <col min="3330" max="3330" width="9.5703125" style="215" bestFit="1" customWidth="1"/>
    <col min="3331" max="3332" width="9.7109375" style="215" customWidth="1"/>
    <col min="3333" max="3333" width="11" style="215" customWidth="1"/>
    <col min="3334" max="3334" width="9.140625" style="215" customWidth="1"/>
    <col min="3335" max="3335" width="10.28515625" style="215" customWidth="1"/>
    <col min="3336" max="3336" width="12.28515625" style="215" customWidth="1"/>
    <col min="3337" max="3578" width="9.140625" style="215"/>
    <col min="3579" max="3579" width="4.85546875" style="215" customWidth="1"/>
    <col min="3580" max="3580" width="29.42578125" style="215" customWidth="1"/>
    <col min="3581" max="3581" width="10.7109375" style="215" bestFit="1" customWidth="1"/>
    <col min="3582" max="3582" width="9.5703125" style="215" bestFit="1" customWidth="1"/>
    <col min="3583" max="3583" width="10.7109375" style="215" bestFit="1" customWidth="1"/>
    <col min="3584" max="3584" width="9.5703125" style="215" bestFit="1" customWidth="1"/>
    <col min="3585" max="3585" width="10.7109375" style="215" bestFit="1" customWidth="1"/>
    <col min="3586" max="3586" width="9.5703125" style="215" bestFit="1" customWidth="1"/>
    <col min="3587" max="3588" width="9.7109375" style="215" customWidth="1"/>
    <col min="3589" max="3589" width="11" style="215" customWidth="1"/>
    <col min="3590" max="3590" width="9.140625" style="215" customWidth="1"/>
    <col min="3591" max="3591" width="10.28515625" style="215" customWidth="1"/>
    <col min="3592" max="3592" width="12.28515625" style="215" customWidth="1"/>
    <col min="3593" max="3834" width="9.140625" style="215"/>
    <col min="3835" max="3835" width="4.85546875" style="215" customWidth="1"/>
    <col min="3836" max="3836" width="29.42578125" style="215" customWidth="1"/>
    <col min="3837" max="3837" width="10.7109375" style="215" bestFit="1" customWidth="1"/>
    <col min="3838" max="3838" width="9.5703125" style="215" bestFit="1" customWidth="1"/>
    <col min="3839" max="3839" width="10.7109375" style="215" bestFit="1" customWidth="1"/>
    <col min="3840" max="3840" width="9.5703125" style="215" bestFit="1" customWidth="1"/>
    <col min="3841" max="3841" width="10.7109375" style="215" bestFit="1" customWidth="1"/>
    <col min="3842" max="3842" width="9.5703125" style="215" bestFit="1" customWidth="1"/>
    <col min="3843" max="3844" width="9.7109375" style="215" customWidth="1"/>
    <col min="3845" max="3845" width="11" style="215" customWidth="1"/>
    <col min="3846" max="3846" width="9.140625" style="215" customWidth="1"/>
    <col min="3847" max="3847" width="10.28515625" style="215" customWidth="1"/>
    <col min="3848" max="3848" width="12.28515625" style="215" customWidth="1"/>
    <col min="3849" max="4090" width="9.140625" style="215"/>
    <col min="4091" max="4091" width="4.85546875" style="215" customWidth="1"/>
    <col min="4092" max="4092" width="29.42578125" style="215" customWidth="1"/>
    <col min="4093" max="4093" width="10.7109375" style="215" bestFit="1" customWidth="1"/>
    <col min="4094" max="4094" width="9.5703125" style="215" bestFit="1" customWidth="1"/>
    <col min="4095" max="4095" width="10.7109375" style="215" bestFit="1" customWidth="1"/>
    <col min="4096" max="4096" width="9.5703125" style="215" bestFit="1" customWidth="1"/>
    <col min="4097" max="4097" width="10.7109375" style="215" bestFit="1" customWidth="1"/>
    <col min="4098" max="4098" width="9.5703125" style="215" bestFit="1" customWidth="1"/>
    <col min="4099" max="4100" width="9.7109375" style="215" customWidth="1"/>
    <col min="4101" max="4101" width="11" style="215" customWidth="1"/>
    <col min="4102" max="4102" width="9.140625" style="215" customWidth="1"/>
    <col min="4103" max="4103" width="10.28515625" style="215" customWidth="1"/>
    <col min="4104" max="4104" width="12.28515625" style="215" customWidth="1"/>
    <col min="4105" max="4346" width="9.140625" style="215"/>
    <col min="4347" max="4347" width="4.85546875" style="215" customWidth="1"/>
    <col min="4348" max="4348" width="29.42578125" style="215" customWidth="1"/>
    <col min="4349" max="4349" width="10.7109375" style="215" bestFit="1" customWidth="1"/>
    <col min="4350" max="4350" width="9.5703125" style="215" bestFit="1" customWidth="1"/>
    <col min="4351" max="4351" width="10.7109375" style="215" bestFit="1" customWidth="1"/>
    <col min="4352" max="4352" width="9.5703125" style="215" bestFit="1" customWidth="1"/>
    <col min="4353" max="4353" width="10.7109375" style="215" bestFit="1" customWidth="1"/>
    <col min="4354" max="4354" width="9.5703125" style="215" bestFit="1" customWidth="1"/>
    <col min="4355" max="4356" width="9.7109375" style="215" customWidth="1"/>
    <col min="4357" max="4357" width="11" style="215" customWidth="1"/>
    <col min="4358" max="4358" width="9.140625" style="215" customWidth="1"/>
    <col min="4359" max="4359" width="10.28515625" style="215" customWidth="1"/>
    <col min="4360" max="4360" width="12.28515625" style="215" customWidth="1"/>
    <col min="4361" max="4602" width="9.140625" style="215"/>
    <col min="4603" max="4603" width="4.85546875" style="215" customWidth="1"/>
    <col min="4604" max="4604" width="29.42578125" style="215" customWidth="1"/>
    <col min="4605" max="4605" width="10.7109375" style="215" bestFit="1" customWidth="1"/>
    <col min="4606" max="4606" width="9.5703125" style="215" bestFit="1" customWidth="1"/>
    <col min="4607" max="4607" width="10.7109375" style="215" bestFit="1" customWidth="1"/>
    <col min="4608" max="4608" width="9.5703125" style="215" bestFit="1" customWidth="1"/>
    <col min="4609" max="4609" width="10.7109375" style="215" bestFit="1" customWidth="1"/>
    <col min="4610" max="4610" width="9.5703125" style="215" bestFit="1" customWidth="1"/>
    <col min="4611" max="4612" width="9.7109375" style="215" customWidth="1"/>
    <col min="4613" max="4613" width="11" style="215" customWidth="1"/>
    <col min="4614" max="4614" width="9.140625" style="215" customWidth="1"/>
    <col min="4615" max="4615" width="10.28515625" style="215" customWidth="1"/>
    <col min="4616" max="4616" width="12.28515625" style="215" customWidth="1"/>
    <col min="4617" max="4858" width="9.140625" style="215"/>
    <col min="4859" max="4859" width="4.85546875" style="215" customWidth="1"/>
    <col min="4860" max="4860" width="29.42578125" style="215" customWidth="1"/>
    <col min="4861" max="4861" width="10.7109375" style="215" bestFit="1" customWidth="1"/>
    <col min="4862" max="4862" width="9.5703125" style="215" bestFit="1" customWidth="1"/>
    <col min="4863" max="4863" width="10.7109375" style="215" bestFit="1" customWidth="1"/>
    <col min="4864" max="4864" width="9.5703125" style="215" bestFit="1" customWidth="1"/>
    <col min="4865" max="4865" width="10.7109375" style="215" bestFit="1" customWidth="1"/>
    <col min="4866" max="4866" width="9.5703125" style="215" bestFit="1" customWidth="1"/>
    <col min="4867" max="4868" width="9.7109375" style="215" customWidth="1"/>
    <col min="4869" max="4869" width="11" style="215" customWidth="1"/>
    <col min="4870" max="4870" width="9.140625" style="215" customWidth="1"/>
    <col min="4871" max="4871" width="10.28515625" style="215" customWidth="1"/>
    <col min="4872" max="4872" width="12.28515625" style="215" customWidth="1"/>
    <col min="4873" max="5114" width="9.140625" style="215"/>
    <col min="5115" max="5115" width="4.85546875" style="215" customWidth="1"/>
    <col min="5116" max="5116" width="29.42578125" style="215" customWidth="1"/>
    <col min="5117" max="5117" width="10.7109375" style="215" bestFit="1" customWidth="1"/>
    <col min="5118" max="5118" width="9.5703125" style="215" bestFit="1" customWidth="1"/>
    <col min="5119" max="5119" width="10.7109375" style="215" bestFit="1" customWidth="1"/>
    <col min="5120" max="5120" width="9.5703125" style="215" bestFit="1" customWidth="1"/>
    <col min="5121" max="5121" width="10.7109375" style="215" bestFit="1" customWidth="1"/>
    <col min="5122" max="5122" width="9.5703125" style="215" bestFit="1" customWidth="1"/>
    <col min="5123" max="5124" width="9.7109375" style="215" customWidth="1"/>
    <col min="5125" max="5125" width="11" style="215" customWidth="1"/>
    <col min="5126" max="5126" width="9.140625" style="215" customWidth="1"/>
    <col min="5127" max="5127" width="10.28515625" style="215" customWidth="1"/>
    <col min="5128" max="5128" width="12.28515625" style="215" customWidth="1"/>
    <col min="5129" max="5370" width="9.140625" style="215"/>
    <col min="5371" max="5371" width="4.85546875" style="215" customWidth="1"/>
    <col min="5372" max="5372" width="29.42578125" style="215" customWidth="1"/>
    <col min="5373" max="5373" width="10.7109375" style="215" bestFit="1" customWidth="1"/>
    <col min="5374" max="5374" width="9.5703125" style="215" bestFit="1" customWidth="1"/>
    <col min="5375" max="5375" width="10.7109375" style="215" bestFit="1" customWidth="1"/>
    <col min="5376" max="5376" width="9.5703125" style="215" bestFit="1" customWidth="1"/>
    <col min="5377" max="5377" width="10.7109375" style="215" bestFit="1" customWidth="1"/>
    <col min="5378" max="5378" width="9.5703125" style="215" bestFit="1" customWidth="1"/>
    <col min="5379" max="5380" width="9.7109375" style="215" customWidth="1"/>
    <col min="5381" max="5381" width="11" style="215" customWidth="1"/>
    <col min="5382" max="5382" width="9.140625" style="215" customWidth="1"/>
    <col min="5383" max="5383" width="10.28515625" style="215" customWidth="1"/>
    <col min="5384" max="5384" width="12.28515625" style="215" customWidth="1"/>
    <col min="5385" max="5626" width="9.140625" style="215"/>
    <col min="5627" max="5627" width="4.85546875" style="215" customWidth="1"/>
    <col min="5628" max="5628" width="29.42578125" style="215" customWidth="1"/>
    <col min="5629" max="5629" width="10.7109375" style="215" bestFit="1" customWidth="1"/>
    <col min="5630" max="5630" width="9.5703125" style="215" bestFit="1" customWidth="1"/>
    <col min="5631" max="5631" width="10.7109375" style="215" bestFit="1" customWidth="1"/>
    <col min="5632" max="5632" width="9.5703125" style="215" bestFit="1" customWidth="1"/>
    <col min="5633" max="5633" width="10.7109375" style="215" bestFit="1" customWidth="1"/>
    <col min="5634" max="5634" width="9.5703125" style="215" bestFit="1" customWidth="1"/>
    <col min="5635" max="5636" width="9.7109375" style="215" customWidth="1"/>
    <col min="5637" max="5637" width="11" style="215" customWidth="1"/>
    <col min="5638" max="5638" width="9.140625" style="215" customWidth="1"/>
    <col min="5639" max="5639" width="10.28515625" style="215" customWidth="1"/>
    <col min="5640" max="5640" width="12.28515625" style="215" customWidth="1"/>
    <col min="5641" max="5882" width="9.140625" style="215"/>
    <col min="5883" max="5883" width="4.85546875" style="215" customWidth="1"/>
    <col min="5884" max="5884" width="29.42578125" style="215" customWidth="1"/>
    <col min="5885" max="5885" width="10.7109375" style="215" bestFit="1" customWidth="1"/>
    <col min="5886" max="5886" width="9.5703125" style="215" bestFit="1" customWidth="1"/>
    <col min="5887" max="5887" width="10.7109375" style="215" bestFit="1" customWidth="1"/>
    <col min="5888" max="5888" width="9.5703125" style="215" bestFit="1" customWidth="1"/>
    <col min="5889" max="5889" width="10.7109375" style="215" bestFit="1" customWidth="1"/>
    <col min="5890" max="5890" width="9.5703125" style="215" bestFit="1" customWidth="1"/>
    <col min="5891" max="5892" width="9.7109375" style="215" customWidth="1"/>
    <col min="5893" max="5893" width="11" style="215" customWidth="1"/>
    <col min="5894" max="5894" width="9.140625" style="215" customWidth="1"/>
    <col min="5895" max="5895" width="10.28515625" style="215" customWidth="1"/>
    <col min="5896" max="5896" width="12.28515625" style="215" customWidth="1"/>
    <col min="5897" max="6138" width="9.140625" style="215"/>
    <col min="6139" max="6139" width="4.85546875" style="215" customWidth="1"/>
    <col min="6140" max="6140" width="29.42578125" style="215" customWidth="1"/>
    <col min="6141" max="6141" width="10.7109375" style="215" bestFit="1" customWidth="1"/>
    <col min="6142" max="6142" width="9.5703125" style="215" bestFit="1" customWidth="1"/>
    <col min="6143" max="6143" width="10.7109375" style="215" bestFit="1" customWidth="1"/>
    <col min="6144" max="6144" width="9.5703125" style="215" bestFit="1" customWidth="1"/>
    <col min="6145" max="6145" width="10.7109375" style="215" bestFit="1" customWidth="1"/>
    <col min="6146" max="6146" width="9.5703125" style="215" bestFit="1" customWidth="1"/>
    <col min="6147" max="6148" width="9.7109375" style="215" customWidth="1"/>
    <col min="6149" max="6149" width="11" style="215" customWidth="1"/>
    <col min="6150" max="6150" width="9.140625" style="215" customWidth="1"/>
    <col min="6151" max="6151" width="10.28515625" style="215" customWidth="1"/>
    <col min="6152" max="6152" width="12.28515625" style="215" customWidth="1"/>
    <col min="6153" max="6394" width="9.140625" style="215"/>
    <col min="6395" max="6395" width="4.85546875" style="215" customWidth="1"/>
    <col min="6396" max="6396" width="29.42578125" style="215" customWidth="1"/>
    <col min="6397" max="6397" width="10.7109375" style="215" bestFit="1" customWidth="1"/>
    <col min="6398" max="6398" width="9.5703125" style="215" bestFit="1" customWidth="1"/>
    <col min="6399" max="6399" width="10.7109375" style="215" bestFit="1" customWidth="1"/>
    <col min="6400" max="6400" width="9.5703125" style="215" bestFit="1" customWidth="1"/>
    <col min="6401" max="6401" width="10.7109375" style="215" bestFit="1" customWidth="1"/>
    <col min="6402" max="6402" width="9.5703125" style="215" bestFit="1" customWidth="1"/>
    <col min="6403" max="6404" width="9.7109375" style="215" customWidth="1"/>
    <col min="6405" max="6405" width="11" style="215" customWidth="1"/>
    <col min="6406" max="6406" width="9.140625" style="215" customWidth="1"/>
    <col min="6407" max="6407" width="10.28515625" style="215" customWidth="1"/>
    <col min="6408" max="6408" width="12.28515625" style="215" customWidth="1"/>
    <col min="6409" max="6650" width="9.140625" style="215"/>
    <col min="6651" max="6651" width="4.85546875" style="215" customWidth="1"/>
    <col min="6652" max="6652" width="29.42578125" style="215" customWidth="1"/>
    <col min="6653" max="6653" width="10.7109375" style="215" bestFit="1" customWidth="1"/>
    <col min="6654" max="6654" width="9.5703125" style="215" bestFit="1" customWidth="1"/>
    <col min="6655" max="6655" width="10.7109375" style="215" bestFit="1" customWidth="1"/>
    <col min="6656" max="6656" width="9.5703125" style="215" bestFit="1" customWidth="1"/>
    <col min="6657" max="6657" width="10.7109375" style="215" bestFit="1" customWidth="1"/>
    <col min="6658" max="6658" width="9.5703125" style="215" bestFit="1" customWidth="1"/>
    <col min="6659" max="6660" width="9.7109375" style="215" customWidth="1"/>
    <col min="6661" max="6661" width="11" style="215" customWidth="1"/>
    <col min="6662" max="6662" width="9.140625" style="215" customWidth="1"/>
    <col min="6663" max="6663" width="10.28515625" style="215" customWidth="1"/>
    <col min="6664" max="6664" width="12.28515625" style="215" customWidth="1"/>
    <col min="6665" max="6906" width="9.140625" style="215"/>
    <col min="6907" max="6907" width="4.85546875" style="215" customWidth="1"/>
    <col min="6908" max="6908" width="29.42578125" style="215" customWidth="1"/>
    <col min="6909" max="6909" width="10.7109375" style="215" bestFit="1" customWidth="1"/>
    <col min="6910" max="6910" width="9.5703125" style="215" bestFit="1" customWidth="1"/>
    <col min="6911" max="6911" width="10.7109375" style="215" bestFit="1" customWidth="1"/>
    <col min="6912" max="6912" width="9.5703125" style="215" bestFit="1" customWidth="1"/>
    <col min="6913" max="6913" width="10.7109375" style="215" bestFit="1" customWidth="1"/>
    <col min="6914" max="6914" width="9.5703125" style="215" bestFit="1" customWidth="1"/>
    <col min="6915" max="6916" width="9.7109375" style="215" customWidth="1"/>
    <col min="6917" max="6917" width="11" style="215" customWidth="1"/>
    <col min="6918" max="6918" width="9.140625" style="215" customWidth="1"/>
    <col min="6919" max="6919" width="10.28515625" style="215" customWidth="1"/>
    <col min="6920" max="6920" width="12.28515625" style="215" customWidth="1"/>
    <col min="6921" max="7162" width="9.140625" style="215"/>
    <col min="7163" max="7163" width="4.85546875" style="215" customWidth="1"/>
    <col min="7164" max="7164" width="29.42578125" style="215" customWidth="1"/>
    <col min="7165" max="7165" width="10.7109375" style="215" bestFit="1" customWidth="1"/>
    <col min="7166" max="7166" width="9.5703125" style="215" bestFit="1" customWidth="1"/>
    <col min="7167" max="7167" width="10.7109375" style="215" bestFit="1" customWidth="1"/>
    <col min="7168" max="7168" width="9.5703125" style="215" bestFit="1" customWidth="1"/>
    <col min="7169" max="7169" width="10.7109375" style="215" bestFit="1" customWidth="1"/>
    <col min="7170" max="7170" width="9.5703125" style="215" bestFit="1" customWidth="1"/>
    <col min="7171" max="7172" width="9.7109375" style="215" customWidth="1"/>
    <col min="7173" max="7173" width="11" style="215" customWidth="1"/>
    <col min="7174" max="7174" width="9.140625" style="215" customWidth="1"/>
    <col min="7175" max="7175" width="10.28515625" style="215" customWidth="1"/>
    <col min="7176" max="7176" width="12.28515625" style="215" customWidth="1"/>
    <col min="7177" max="7418" width="9.140625" style="215"/>
    <col min="7419" max="7419" width="4.85546875" style="215" customWidth="1"/>
    <col min="7420" max="7420" width="29.42578125" style="215" customWidth="1"/>
    <col min="7421" max="7421" width="10.7109375" style="215" bestFit="1" customWidth="1"/>
    <col min="7422" max="7422" width="9.5703125" style="215" bestFit="1" customWidth="1"/>
    <col min="7423" max="7423" width="10.7109375" style="215" bestFit="1" customWidth="1"/>
    <col min="7424" max="7424" width="9.5703125" style="215" bestFit="1" customWidth="1"/>
    <col min="7425" max="7425" width="10.7109375" style="215" bestFit="1" customWidth="1"/>
    <col min="7426" max="7426" width="9.5703125" style="215" bestFit="1" customWidth="1"/>
    <col min="7427" max="7428" width="9.7109375" style="215" customWidth="1"/>
    <col min="7429" max="7429" width="11" style="215" customWidth="1"/>
    <col min="7430" max="7430" width="9.140625" style="215" customWidth="1"/>
    <col min="7431" max="7431" width="10.28515625" style="215" customWidth="1"/>
    <col min="7432" max="7432" width="12.28515625" style="215" customWidth="1"/>
    <col min="7433" max="7674" width="9.140625" style="215"/>
    <col min="7675" max="7675" width="4.85546875" style="215" customWidth="1"/>
    <col min="7676" max="7676" width="29.42578125" style="215" customWidth="1"/>
    <col min="7677" max="7677" width="10.7109375" style="215" bestFit="1" customWidth="1"/>
    <col min="7678" max="7678" width="9.5703125" style="215" bestFit="1" customWidth="1"/>
    <col min="7679" max="7679" width="10.7109375" style="215" bestFit="1" customWidth="1"/>
    <col min="7680" max="7680" width="9.5703125" style="215" bestFit="1" customWidth="1"/>
    <col min="7681" max="7681" width="10.7109375" style="215" bestFit="1" customWidth="1"/>
    <col min="7682" max="7682" width="9.5703125" style="215" bestFit="1" customWidth="1"/>
    <col min="7683" max="7684" width="9.7109375" style="215" customWidth="1"/>
    <col min="7685" max="7685" width="11" style="215" customWidth="1"/>
    <col min="7686" max="7686" width="9.140625" style="215" customWidth="1"/>
    <col min="7687" max="7687" width="10.28515625" style="215" customWidth="1"/>
    <col min="7688" max="7688" width="12.28515625" style="215" customWidth="1"/>
    <col min="7689" max="7930" width="9.140625" style="215"/>
    <col min="7931" max="7931" width="4.85546875" style="215" customWidth="1"/>
    <col min="7932" max="7932" width="29.42578125" style="215" customWidth="1"/>
    <col min="7933" max="7933" width="10.7109375" style="215" bestFit="1" customWidth="1"/>
    <col min="7934" max="7934" width="9.5703125" style="215" bestFit="1" customWidth="1"/>
    <col min="7935" max="7935" width="10.7109375" style="215" bestFit="1" customWidth="1"/>
    <col min="7936" max="7936" width="9.5703125" style="215" bestFit="1" customWidth="1"/>
    <col min="7937" max="7937" width="10.7109375" style="215" bestFit="1" customWidth="1"/>
    <col min="7938" max="7938" width="9.5703125" style="215" bestFit="1" customWidth="1"/>
    <col min="7939" max="7940" width="9.7109375" style="215" customWidth="1"/>
    <col min="7941" max="7941" width="11" style="215" customWidth="1"/>
    <col min="7942" max="7942" width="9.140625" style="215" customWidth="1"/>
    <col min="7943" max="7943" width="10.28515625" style="215" customWidth="1"/>
    <col min="7944" max="7944" width="12.28515625" style="215" customWidth="1"/>
    <col min="7945" max="8186" width="9.140625" style="215"/>
    <col min="8187" max="8187" width="4.85546875" style="215" customWidth="1"/>
    <col min="8188" max="8188" width="29.42578125" style="215" customWidth="1"/>
    <col min="8189" max="8189" width="10.7109375" style="215" bestFit="1" customWidth="1"/>
    <col min="8190" max="8190" width="9.5703125" style="215" bestFit="1" customWidth="1"/>
    <col min="8191" max="8191" width="10.7109375" style="215" bestFit="1" customWidth="1"/>
    <col min="8192" max="8192" width="9.5703125" style="215" bestFit="1" customWidth="1"/>
    <col min="8193" max="8193" width="10.7109375" style="215" bestFit="1" customWidth="1"/>
    <col min="8194" max="8194" width="9.5703125" style="215" bestFit="1" customWidth="1"/>
    <col min="8195" max="8196" width="9.7109375" style="215" customWidth="1"/>
    <col min="8197" max="8197" width="11" style="215" customWidth="1"/>
    <col min="8198" max="8198" width="9.140625" style="215" customWidth="1"/>
    <col min="8199" max="8199" width="10.28515625" style="215" customWidth="1"/>
    <col min="8200" max="8200" width="12.28515625" style="215" customWidth="1"/>
    <col min="8201" max="8442" width="9.140625" style="215"/>
    <col min="8443" max="8443" width="4.85546875" style="215" customWidth="1"/>
    <col min="8444" max="8444" width="29.42578125" style="215" customWidth="1"/>
    <col min="8445" max="8445" width="10.7109375" style="215" bestFit="1" customWidth="1"/>
    <col min="8446" max="8446" width="9.5703125" style="215" bestFit="1" customWidth="1"/>
    <col min="8447" max="8447" width="10.7109375" style="215" bestFit="1" customWidth="1"/>
    <col min="8448" max="8448" width="9.5703125" style="215" bestFit="1" customWidth="1"/>
    <col min="8449" max="8449" width="10.7109375" style="215" bestFit="1" customWidth="1"/>
    <col min="8450" max="8450" width="9.5703125" style="215" bestFit="1" customWidth="1"/>
    <col min="8451" max="8452" width="9.7109375" style="215" customWidth="1"/>
    <col min="8453" max="8453" width="11" style="215" customWidth="1"/>
    <col min="8454" max="8454" width="9.140625" style="215" customWidth="1"/>
    <col min="8455" max="8455" width="10.28515625" style="215" customWidth="1"/>
    <col min="8456" max="8456" width="12.28515625" style="215" customWidth="1"/>
    <col min="8457" max="8698" width="9.140625" style="215"/>
    <col min="8699" max="8699" width="4.85546875" style="215" customWidth="1"/>
    <col min="8700" max="8700" width="29.42578125" style="215" customWidth="1"/>
    <col min="8701" max="8701" width="10.7109375" style="215" bestFit="1" customWidth="1"/>
    <col min="8702" max="8702" width="9.5703125" style="215" bestFit="1" customWidth="1"/>
    <col min="8703" max="8703" width="10.7109375" style="215" bestFit="1" customWidth="1"/>
    <col min="8704" max="8704" width="9.5703125" style="215" bestFit="1" customWidth="1"/>
    <col min="8705" max="8705" width="10.7109375" style="215" bestFit="1" customWidth="1"/>
    <col min="8706" max="8706" width="9.5703125" style="215" bestFit="1" customWidth="1"/>
    <col min="8707" max="8708" width="9.7109375" style="215" customWidth="1"/>
    <col min="8709" max="8709" width="11" style="215" customWidth="1"/>
    <col min="8710" max="8710" width="9.140625" style="215" customWidth="1"/>
    <col min="8711" max="8711" width="10.28515625" style="215" customWidth="1"/>
    <col min="8712" max="8712" width="12.28515625" style="215" customWidth="1"/>
    <col min="8713" max="8954" width="9.140625" style="215"/>
    <col min="8955" max="8955" width="4.85546875" style="215" customWidth="1"/>
    <col min="8956" max="8956" width="29.42578125" style="215" customWidth="1"/>
    <col min="8957" max="8957" width="10.7109375" style="215" bestFit="1" customWidth="1"/>
    <col min="8958" max="8958" width="9.5703125" style="215" bestFit="1" customWidth="1"/>
    <col min="8959" max="8959" width="10.7109375" style="215" bestFit="1" customWidth="1"/>
    <col min="8960" max="8960" width="9.5703125" style="215" bestFit="1" customWidth="1"/>
    <col min="8961" max="8961" width="10.7109375" style="215" bestFit="1" customWidth="1"/>
    <col min="8962" max="8962" width="9.5703125" style="215" bestFit="1" customWidth="1"/>
    <col min="8963" max="8964" width="9.7109375" style="215" customWidth="1"/>
    <col min="8965" max="8965" width="11" style="215" customWidth="1"/>
    <col min="8966" max="8966" width="9.140625" style="215" customWidth="1"/>
    <col min="8967" max="8967" width="10.28515625" style="215" customWidth="1"/>
    <col min="8968" max="8968" width="12.28515625" style="215" customWidth="1"/>
    <col min="8969" max="9210" width="9.140625" style="215"/>
    <col min="9211" max="9211" width="4.85546875" style="215" customWidth="1"/>
    <col min="9212" max="9212" width="29.42578125" style="215" customWidth="1"/>
    <col min="9213" max="9213" width="10.7109375" style="215" bestFit="1" customWidth="1"/>
    <col min="9214" max="9214" width="9.5703125" style="215" bestFit="1" customWidth="1"/>
    <col min="9215" max="9215" width="10.7109375" style="215" bestFit="1" customWidth="1"/>
    <col min="9216" max="9216" width="9.5703125" style="215" bestFit="1" customWidth="1"/>
    <col min="9217" max="9217" width="10.7109375" style="215" bestFit="1" customWidth="1"/>
    <col min="9218" max="9218" width="9.5703125" style="215" bestFit="1" customWidth="1"/>
    <col min="9219" max="9220" width="9.7109375" style="215" customWidth="1"/>
    <col min="9221" max="9221" width="11" style="215" customWidth="1"/>
    <col min="9222" max="9222" width="9.140625" style="215" customWidth="1"/>
    <col min="9223" max="9223" width="10.28515625" style="215" customWidth="1"/>
    <col min="9224" max="9224" width="12.28515625" style="215" customWidth="1"/>
    <col min="9225" max="9466" width="9.140625" style="215"/>
    <col min="9467" max="9467" width="4.85546875" style="215" customWidth="1"/>
    <col min="9468" max="9468" width="29.42578125" style="215" customWidth="1"/>
    <col min="9469" max="9469" width="10.7109375" style="215" bestFit="1" customWidth="1"/>
    <col min="9470" max="9470" width="9.5703125" style="215" bestFit="1" customWidth="1"/>
    <col min="9471" max="9471" width="10.7109375" style="215" bestFit="1" customWidth="1"/>
    <col min="9472" max="9472" width="9.5703125" style="215" bestFit="1" customWidth="1"/>
    <col min="9473" max="9473" width="10.7109375" style="215" bestFit="1" customWidth="1"/>
    <col min="9474" max="9474" width="9.5703125" style="215" bestFit="1" customWidth="1"/>
    <col min="9475" max="9476" width="9.7109375" style="215" customWidth="1"/>
    <col min="9477" max="9477" width="11" style="215" customWidth="1"/>
    <col min="9478" max="9478" width="9.140625" style="215" customWidth="1"/>
    <col min="9479" max="9479" width="10.28515625" style="215" customWidth="1"/>
    <col min="9480" max="9480" width="12.28515625" style="215" customWidth="1"/>
    <col min="9481" max="9722" width="9.140625" style="215"/>
    <col min="9723" max="9723" width="4.85546875" style="215" customWidth="1"/>
    <col min="9724" max="9724" width="29.42578125" style="215" customWidth="1"/>
    <col min="9725" max="9725" width="10.7109375" style="215" bestFit="1" customWidth="1"/>
    <col min="9726" max="9726" width="9.5703125" style="215" bestFit="1" customWidth="1"/>
    <col min="9727" max="9727" width="10.7109375" style="215" bestFit="1" customWidth="1"/>
    <col min="9728" max="9728" width="9.5703125" style="215" bestFit="1" customWidth="1"/>
    <col min="9729" max="9729" width="10.7109375" style="215" bestFit="1" customWidth="1"/>
    <col min="9730" max="9730" width="9.5703125" style="215" bestFit="1" customWidth="1"/>
    <col min="9731" max="9732" width="9.7109375" style="215" customWidth="1"/>
    <col min="9733" max="9733" width="11" style="215" customWidth="1"/>
    <col min="9734" max="9734" width="9.140625" style="215" customWidth="1"/>
    <col min="9735" max="9735" width="10.28515625" style="215" customWidth="1"/>
    <col min="9736" max="9736" width="12.28515625" style="215" customWidth="1"/>
    <col min="9737" max="9978" width="9.140625" style="215"/>
    <col min="9979" max="9979" width="4.85546875" style="215" customWidth="1"/>
    <col min="9980" max="9980" width="29.42578125" style="215" customWidth="1"/>
    <col min="9981" max="9981" width="10.7109375" style="215" bestFit="1" customWidth="1"/>
    <col min="9982" max="9982" width="9.5703125" style="215" bestFit="1" customWidth="1"/>
    <col min="9983" max="9983" width="10.7109375" style="215" bestFit="1" customWidth="1"/>
    <col min="9984" max="9984" width="9.5703125" style="215" bestFit="1" customWidth="1"/>
    <col min="9985" max="9985" width="10.7109375" style="215" bestFit="1" customWidth="1"/>
    <col min="9986" max="9986" width="9.5703125" style="215" bestFit="1" customWidth="1"/>
    <col min="9987" max="9988" width="9.7109375" style="215" customWidth="1"/>
    <col min="9989" max="9989" width="11" style="215" customWidth="1"/>
    <col min="9990" max="9990" width="9.140625" style="215" customWidth="1"/>
    <col min="9991" max="9991" width="10.28515625" style="215" customWidth="1"/>
    <col min="9992" max="9992" width="12.28515625" style="215" customWidth="1"/>
    <col min="9993" max="10234" width="9.140625" style="215"/>
    <col min="10235" max="10235" width="4.85546875" style="215" customWidth="1"/>
    <col min="10236" max="10236" width="29.42578125" style="215" customWidth="1"/>
    <col min="10237" max="10237" width="10.7109375" style="215" bestFit="1" customWidth="1"/>
    <col min="10238" max="10238" width="9.5703125" style="215" bestFit="1" customWidth="1"/>
    <col min="10239" max="10239" width="10.7109375" style="215" bestFit="1" customWidth="1"/>
    <col min="10240" max="10240" width="9.5703125" style="215" bestFit="1" customWidth="1"/>
    <col min="10241" max="10241" width="10.7109375" style="215" bestFit="1" customWidth="1"/>
    <col min="10242" max="10242" width="9.5703125" style="215" bestFit="1" customWidth="1"/>
    <col min="10243" max="10244" width="9.7109375" style="215" customWidth="1"/>
    <col min="10245" max="10245" width="11" style="215" customWidth="1"/>
    <col min="10246" max="10246" width="9.140625" style="215" customWidth="1"/>
    <col min="10247" max="10247" width="10.28515625" style="215" customWidth="1"/>
    <col min="10248" max="10248" width="12.28515625" style="215" customWidth="1"/>
    <col min="10249" max="10490" width="9.140625" style="215"/>
    <col min="10491" max="10491" width="4.85546875" style="215" customWidth="1"/>
    <col min="10492" max="10492" width="29.42578125" style="215" customWidth="1"/>
    <col min="10493" max="10493" width="10.7109375" style="215" bestFit="1" customWidth="1"/>
    <col min="10494" max="10494" width="9.5703125" style="215" bestFit="1" customWidth="1"/>
    <col min="10495" max="10495" width="10.7109375" style="215" bestFit="1" customWidth="1"/>
    <col min="10496" max="10496" width="9.5703125" style="215" bestFit="1" customWidth="1"/>
    <col min="10497" max="10497" width="10.7109375" style="215" bestFit="1" customWidth="1"/>
    <col min="10498" max="10498" width="9.5703125" style="215" bestFit="1" customWidth="1"/>
    <col min="10499" max="10500" width="9.7109375" style="215" customWidth="1"/>
    <col min="10501" max="10501" width="11" style="215" customWidth="1"/>
    <col min="10502" max="10502" width="9.140625" style="215" customWidth="1"/>
    <col min="10503" max="10503" width="10.28515625" style="215" customWidth="1"/>
    <col min="10504" max="10504" width="12.28515625" style="215" customWidth="1"/>
    <col min="10505" max="10746" width="9.140625" style="215"/>
    <col min="10747" max="10747" width="4.85546875" style="215" customWidth="1"/>
    <col min="10748" max="10748" width="29.42578125" style="215" customWidth="1"/>
    <col min="10749" max="10749" width="10.7109375" style="215" bestFit="1" customWidth="1"/>
    <col min="10750" max="10750" width="9.5703125" style="215" bestFit="1" customWidth="1"/>
    <col min="10751" max="10751" width="10.7109375" style="215" bestFit="1" customWidth="1"/>
    <col min="10752" max="10752" width="9.5703125" style="215" bestFit="1" customWidth="1"/>
    <col min="10753" max="10753" width="10.7109375" style="215" bestFit="1" customWidth="1"/>
    <col min="10754" max="10754" width="9.5703125" style="215" bestFit="1" customWidth="1"/>
    <col min="10755" max="10756" width="9.7109375" style="215" customWidth="1"/>
    <col min="10757" max="10757" width="11" style="215" customWidth="1"/>
    <col min="10758" max="10758" width="9.140625" style="215" customWidth="1"/>
    <col min="10759" max="10759" width="10.28515625" style="215" customWidth="1"/>
    <col min="10760" max="10760" width="12.28515625" style="215" customWidth="1"/>
    <col min="10761" max="11002" width="9.140625" style="215"/>
    <col min="11003" max="11003" width="4.85546875" style="215" customWidth="1"/>
    <col min="11004" max="11004" width="29.42578125" style="215" customWidth="1"/>
    <col min="11005" max="11005" width="10.7109375" style="215" bestFit="1" customWidth="1"/>
    <col min="11006" max="11006" width="9.5703125" style="215" bestFit="1" customWidth="1"/>
    <col min="11007" max="11007" width="10.7109375" style="215" bestFit="1" customWidth="1"/>
    <col min="11008" max="11008" width="9.5703125" style="215" bestFit="1" customWidth="1"/>
    <col min="11009" max="11009" width="10.7109375" style="215" bestFit="1" customWidth="1"/>
    <col min="11010" max="11010" width="9.5703125" style="215" bestFit="1" customWidth="1"/>
    <col min="11011" max="11012" width="9.7109375" style="215" customWidth="1"/>
    <col min="11013" max="11013" width="11" style="215" customWidth="1"/>
    <col min="11014" max="11014" width="9.140625" style="215" customWidth="1"/>
    <col min="11015" max="11015" width="10.28515625" style="215" customWidth="1"/>
    <col min="11016" max="11016" width="12.28515625" style="215" customWidth="1"/>
    <col min="11017" max="11258" width="9.140625" style="215"/>
    <col min="11259" max="11259" width="4.85546875" style="215" customWidth="1"/>
    <col min="11260" max="11260" width="29.42578125" style="215" customWidth="1"/>
    <col min="11261" max="11261" width="10.7109375" style="215" bestFit="1" customWidth="1"/>
    <col min="11262" max="11262" width="9.5703125" style="215" bestFit="1" customWidth="1"/>
    <col min="11263" max="11263" width="10.7109375" style="215" bestFit="1" customWidth="1"/>
    <col min="11264" max="11264" width="9.5703125" style="215" bestFit="1" customWidth="1"/>
    <col min="11265" max="11265" width="10.7109375" style="215" bestFit="1" customWidth="1"/>
    <col min="11266" max="11266" width="9.5703125" style="215" bestFit="1" customWidth="1"/>
    <col min="11267" max="11268" width="9.7109375" style="215" customWidth="1"/>
    <col min="11269" max="11269" width="11" style="215" customWidth="1"/>
    <col min="11270" max="11270" width="9.140625" style="215" customWidth="1"/>
    <col min="11271" max="11271" width="10.28515625" style="215" customWidth="1"/>
    <col min="11272" max="11272" width="12.28515625" style="215" customWidth="1"/>
    <col min="11273" max="11514" width="9.140625" style="215"/>
    <col min="11515" max="11515" width="4.85546875" style="215" customWidth="1"/>
    <col min="11516" max="11516" width="29.42578125" style="215" customWidth="1"/>
    <col min="11517" max="11517" width="10.7109375" style="215" bestFit="1" customWidth="1"/>
    <col min="11518" max="11518" width="9.5703125" style="215" bestFit="1" customWidth="1"/>
    <col min="11519" max="11519" width="10.7109375" style="215" bestFit="1" customWidth="1"/>
    <col min="11520" max="11520" width="9.5703125" style="215" bestFit="1" customWidth="1"/>
    <col min="11521" max="11521" width="10.7109375" style="215" bestFit="1" customWidth="1"/>
    <col min="11522" max="11522" width="9.5703125" style="215" bestFit="1" customWidth="1"/>
    <col min="11523" max="11524" width="9.7109375" style="215" customWidth="1"/>
    <col min="11525" max="11525" width="11" style="215" customWidth="1"/>
    <col min="11526" max="11526" width="9.140625" style="215" customWidth="1"/>
    <col min="11527" max="11527" width="10.28515625" style="215" customWidth="1"/>
    <col min="11528" max="11528" width="12.28515625" style="215" customWidth="1"/>
    <col min="11529" max="11770" width="9.140625" style="215"/>
    <col min="11771" max="11771" width="4.85546875" style="215" customWidth="1"/>
    <col min="11772" max="11772" width="29.42578125" style="215" customWidth="1"/>
    <col min="11773" max="11773" width="10.7109375" style="215" bestFit="1" customWidth="1"/>
    <col min="11774" max="11774" width="9.5703125" style="215" bestFit="1" customWidth="1"/>
    <col min="11775" max="11775" width="10.7109375" style="215" bestFit="1" customWidth="1"/>
    <col min="11776" max="11776" width="9.5703125" style="215" bestFit="1" customWidth="1"/>
    <col min="11777" max="11777" width="10.7109375" style="215" bestFit="1" customWidth="1"/>
    <col min="11778" max="11778" width="9.5703125" style="215" bestFit="1" customWidth="1"/>
    <col min="11779" max="11780" width="9.7109375" style="215" customWidth="1"/>
    <col min="11781" max="11781" width="11" style="215" customWidth="1"/>
    <col min="11782" max="11782" width="9.140625" style="215" customWidth="1"/>
    <col min="11783" max="11783" width="10.28515625" style="215" customWidth="1"/>
    <col min="11784" max="11784" width="12.28515625" style="215" customWidth="1"/>
    <col min="11785" max="12026" width="9.140625" style="215"/>
    <col min="12027" max="12027" width="4.85546875" style="215" customWidth="1"/>
    <col min="12028" max="12028" width="29.42578125" style="215" customWidth="1"/>
    <col min="12029" max="12029" width="10.7109375" style="215" bestFit="1" customWidth="1"/>
    <col min="12030" max="12030" width="9.5703125" style="215" bestFit="1" customWidth="1"/>
    <col min="12031" max="12031" width="10.7109375" style="215" bestFit="1" customWidth="1"/>
    <col min="12032" max="12032" width="9.5703125" style="215" bestFit="1" customWidth="1"/>
    <col min="12033" max="12033" width="10.7109375" style="215" bestFit="1" customWidth="1"/>
    <col min="12034" max="12034" width="9.5703125" style="215" bestFit="1" customWidth="1"/>
    <col min="12035" max="12036" width="9.7109375" style="215" customWidth="1"/>
    <col min="12037" max="12037" width="11" style="215" customWidth="1"/>
    <col min="12038" max="12038" width="9.140625" style="215" customWidth="1"/>
    <col min="12039" max="12039" width="10.28515625" style="215" customWidth="1"/>
    <col min="12040" max="12040" width="12.28515625" style="215" customWidth="1"/>
    <col min="12041" max="12282" width="9.140625" style="215"/>
    <col min="12283" max="12283" width="4.85546875" style="215" customWidth="1"/>
    <col min="12284" max="12284" width="29.42578125" style="215" customWidth="1"/>
    <col min="12285" max="12285" width="10.7109375" style="215" bestFit="1" customWidth="1"/>
    <col min="12286" max="12286" width="9.5703125" style="215" bestFit="1" customWidth="1"/>
    <col min="12287" max="12287" width="10.7109375" style="215" bestFit="1" customWidth="1"/>
    <col min="12288" max="12288" width="9.5703125" style="215" bestFit="1" customWidth="1"/>
    <col min="12289" max="12289" width="10.7109375" style="215" bestFit="1" customWidth="1"/>
    <col min="12290" max="12290" width="9.5703125" style="215" bestFit="1" customWidth="1"/>
    <col min="12291" max="12292" width="9.7109375" style="215" customWidth="1"/>
    <col min="12293" max="12293" width="11" style="215" customWidth="1"/>
    <col min="12294" max="12294" width="9.140625" style="215" customWidth="1"/>
    <col min="12295" max="12295" width="10.28515625" style="215" customWidth="1"/>
    <col min="12296" max="12296" width="12.28515625" style="215" customWidth="1"/>
    <col min="12297" max="12538" width="9.140625" style="215"/>
    <col min="12539" max="12539" width="4.85546875" style="215" customWidth="1"/>
    <col min="12540" max="12540" width="29.42578125" style="215" customWidth="1"/>
    <col min="12541" max="12541" width="10.7109375" style="215" bestFit="1" customWidth="1"/>
    <col min="12542" max="12542" width="9.5703125" style="215" bestFit="1" customWidth="1"/>
    <col min="12543" max="12543" width="10.7109375" style="215" bestFit="1" customWidth="1"/>
    <col min="12544" max="12544" width="9.5703125" style="215" bestFit="1" customWidth="1"/>
    <col min="12545" max="12545" width="10.7109375" style="215" bestFit="1" customWidth="1"/>
    <col min="12546" max="12546" width="9.5703125" style="215" bestFit="1" customWidth="1"/>
    <col min="12547" max="12548" width="9.7109375" style="215" customWidth="1"/>
    <col min="12549" max="12549" width="11" style="215" customWidth="1"/>
    <col min="12550" max="12550" width="9.140625" style="215" customWidth="1"/>
    <col min="12551" max="12551" width="10.28515625" style="215" customWidth="1"/>
    <col min="12552" max="12552" width="12.28515625" style="215" customWidth="1"/>
    <col min="12553" max="12794" width="9.140625" style="215"/>
    <col min="12795" max="12795" width="4.85546875" style="215" customWidth="1"/>
    <col min="12796" max="12796" width="29.42578125" style="215" customWidth="1"/>
    <col min="12797" max="12797" width="10.7109375" style="215" bestFit="1" customWidth="1"/>
    <col min="12798" max="12798" width="9.5703125" style="215" bestFit="1" customWidth="1"/>
    <col min="12799" max="12799" width="10.7109375" style="215" bestFit="1" customWidth="1"/>
    <col min="12800" max="12800" width="9.5703125" style="215" bestFit="1" customWidth="1"/>
    <col min="12801" max="12801" width="10.7109375" style="215" bestFit="1" customWidth="1"/>
    <col min="12802" max="12802" width="9.5703125" style="215" bestFit="1" customWidth="1"/>
    <col min="12803" max="12804" width="9.7109375" style="215" customWidth="1"/>
    <col min="12805" max="12805" width="11" style="215" customWidth="1"/>
    <col min="12806" max="12806" width="9.140625" style="215" customWidth="1"/>
    <col min="12807" max="12807" width="10.28515625" style="215" customWidth="1"/>
    <col min="12808" max="12808" width="12.28515625" style="215" customWidth="1"/>
    <col min="12809" max="13050" width="9.140625" style="215"/>
    <col min="13051" max="13051" width="4.85546875" style="215" customWidth="1"/>
    <col min="13052" max="13052" width="29.42578125" style="215" customWidth="1"/>
    <col min="13053" max="13053" width="10.7109375" style="215" bestFit="1" customWidth="1"/>
    <col min="13054" max="13054" width="9.5703125" style="215" bestFit="1" customWidth="1"/>
    <col min="13055" max="13055" width="10.7109375" style="215" bestFit="1" customWidth="1"/>
    <col min="13056" max="13056" width="9.5703125" style="215" bestFit="1" customWidth="1"/>
    <col min="13057" max="13057" width="10.7109375" style="215" bestFit="1" customWidth="1"/>
    <col min="13058" max="13058" width="9.5703125" style="215" bestFit="1" customWidth="1"/>
    <col min="13059" max="13060" width="9.7109375" style="215" customWidth="1"/>
    <col min="13061" max="13061" width="11" style="215" customWidth="1"/>
    <col min="13062" max="13062" width="9.140625" style="215" customWidth="1"/>
    <col min="13063" max="13063" width="10.28515625" style="215" customWidth="1"/>
    <col min="13064" max="13064" width="12.28515625" style="215" customWidth="1"/>
    <col min="13065" max="13306" width="9.140625" style="215"/>
    <col min="13307" max="13307" width="4.85546875" style="215" customWidth="1"/>
    <col min="13308" max="13308" width="29.42578125" style="215" customWidth="1"/>
    <col min="13309" max="13309" width="10.7109375" style="215" bestFit="1" customWidth="1"/>
    <col min="13310" max="13310" width="9.5703125" style="215" bestFit="1" customWidth="1"/>
    <col min="13311" max="13311" width="10.7109375" style="215" bestFit="1" customWidth="1"/>
    <col min="13312" max="13312" width="9.5703125" style="215" bestFit="1" customWidth="1"/>
    <col min="13313" max="13313" width="10.7109375" style="215" bestFit="1" customWidth="1"/>
    <col min="13314" max="13314" width="9.5703125" style="215" bestFit="1" customWidth="1"/>
    <col min="13315" max="13316" width="9.7109375" style="215" customWidth="1"/>
    <col min="13317" max="13317" width="11" style="215" customWidth="1"/>
    <col min="13318" max="13318" width="9.140625" style="215" customWidth="1"/>
    <col min="13319" max="13319" width="10.28515625" style="215" customWidth="1"/>
    <col min="13320" max="13320" width="12.28515625" style="215" customWidth="1"/>
    <col min="13321" max="13562" width="9.140625" style="215"/>
    <col min="13563" max="13563" width="4.85546875" style="215" customWidth="1"/>
    <col min="13564" max="13564" width="29.42578125" style="215" customWidth="1"/>
    <col min="13565" max="13565" width="10.7109375" style="215" bestFit="1" customWidth="1"/>
    <col min="13566" max="13566" width="9.5703125" style="215" bestFit="1" customWidth="1"/>
    <col min="13567" max="13567" width="10.7109375" style="215" bestFit="1" customWidth="1"/>
    <col min="13568" max="13568" width="9.5703125" style="215" bestFit="1" customWidth="1"/>
    <col min="13569" max="13569" width="10.7109375" style="215" bestFit="1" customWidth="1"/>
    <col min="13570" max="13570" width="9.5703125" style="215" bestFit="1" customWidth="1"/>
    <col min="13571" max="13572" width="9.7109375" style="215" customWidth="1"/>
    <col min="13573" max="13573" width="11" style="215" customWidth="1"/>
    <col min="13574" max="13574" width="9.140625" style="215" customWidth="1"/>
    <col min="13575" max="13575" width="10.28515625" style="215" customWidth="1"/>
    <col min="13576" max="13576" width="12.28515625" style="215" customWidth="1"/>
    <col min="13577" max="13818" width="9.140625" style="215"/>
    <col min="13819" max="13819" width="4.85546875" style="215" customWidth="1"/>
    <col min="13820" max="13820" width="29.42578125" style="215" customWidth="1"/>
    <col min="13821" max="13821" width="10.7109375" style="215" bestFit="1" customWidth="1"/>
    <col min="13822" max="13822" width="9.5703125" style="215" bestFit="1" customWidth="1"/>
    <col min="13823" max="13823" width="10.7109375" style="215" bestFit="1" customWidth="1"/>
    <col min="13824" max="13824" width="9.5703125" style="215" bestFit="1" customWidth="1"/>
    <col min="13825" max="13825" width="10.7109375" style="215" bestFit="1" customWidth="1"/>
    <col min="13826" max="13826" width="9.5703125" style="215" bestFit="1" customWidth="1"/>
    <col min="13827" max="13828" width="9.7109375" style="215" customWidth="1"/>
    <col min="13829" max="13829" width="11" style="215" customWidth="1"/>
    <col min="13830" max="13830" width="9.140625" style="215" customWidth="1"/>
    <col min="13831" max="13831" width="10.28515625" style="215" customWidth="1"/>
    <col min="13832" max="13832" width="12.28515625" style="215" customWidth="1"/>
    <col min="13833" max="14074" width="9.140625" style="215"/>
    <col min="14075" max="14075" width="4.85546875" style="215" customWidth="1"/>
    <col min="14076" max="14076" width="29.42578125" style="215" customWidth="1"/>
    <col min="14077" max="14077" width="10.7109375" style="215" bestFit="1" customWidth="1"/>
    <col min="14078" max="14078" width="9.5703125" style="215" bestFit="1" customWidth="1"/>
    <col min="14079" max="14079" width="10.7109375" style="215" bestFit="1" customWidth="1"/>
    <col min="14080" max="14080" width="9.5703125" style="215" bestFit="1" customWidth="1"/>
    <col min="14081" max="14081" width="10.7109375" style="215" bestFit="1" customWidth="1"/>
    <col min="14082" max="14082" width="9.5703125" style="215" bestFit="1" customWidth="1"/>
    <col min="14083" max="14084" width="9.7109375" style="215" customWidth="1"/>
    <col min="14085" max="14085" width="11" style="215" customWidth="1"/>
    <col min="14086" max="14086" width="9.140625" style="215" customWidth="1"/>
    <col min="14087" max="14087" width="10.28515625" style="215" customWidth="1"/>
    <col min="14088" max="14088" width="12.28515625" style="215" customWidth="1"/>
    <col min="14089" max="14330" width="9.140625" style="215"/>
    <col min="14331" max="14331" width="4.85546875" style="215" customWidth="1"/>
    <col min="14332" max="14332" width="29.42578125" style="215" customWidth="1"/>
    <col min="14333" max="14333" width="10.7109375" style="215" bestFit="1" customWidth="1"/>
    <col min="14334" max="14334" width="9.5703125" style="215" bestFit="1" customWidth="1"/>
    <col min="14335" max="14335" width="10.7109375" style="215" bestFit="1" customWidth="1"/>
    <col min="14336" max="14336" width="9.5703125" style="215" bestFit="1" customWidth="1"/>
    <col min="14337" max="14337" width="10.7109375" style="215" bestFit="1" customWidth="1"/>
    <col min="14338" max="14338" width="9.5703125" style="215" bestFit="1" customWidth="1"/>
    <col min="14339" max="14340" width="9.7109375" style="215" customWidth="1"/>
    <col min="14341" max="14341" width="11" style="215" customWidth="1"/>
    <col min="14342" max="14342" width="9.140625" style="215" customWidth="1"/>
    <col min="14343" max="14343" width="10.28515625" style="215" customWidth="1"/>
    <col min="14344" max="14344" width="12.28515625" style="215" customWidth="1"/>
    <col min="14345" max="14586" width="9.140625" style="215"/>
    <col min="14587" max="14587" width="4.85546875" style="215" customWidth="1"/>
    <col min="14588" max="14588" width="29.42578125" style="215" customWidth="1"/>
    <col min="14589" max="14589" width="10.7109375" style="215" bestFit="1" customWidth="1"/>
    <col min="14590" max="14590" width="9.5703125" style="215" bestFit="1" customWidth="1"/>
    <col min="14591" max="14591" width="10.7109375" style="215" bestFit="1" customWidth="1"/>
    <col min="14592" max="14592" width="9.5703125" style="215" bestFit="1" customWidth="1"/>
    <col min="14593" max="14593" width="10.7109375" style="215" bestFit="1" customWidth="1"/>
    <col min="14594" max="14594" width="9.5703125" style="215" bestFit="1" customWidth="1"/>
    <col min="14595" max="14596" width="9.7109375" style="215" customWidth="1"/>
    <col min="14597" max="14597" width="11" style="215" customWidth="1"/>
    <col min="14598" max="14598" width="9.140625" style="215" customWidth="1"/>
    <col min="14599" max="14599" width="10.28515625" style="215" customWidth="1"/>
    <col min="14600" max="14600" width="12.28515625" style="215" customWidth="1"/>
    <col min="14601" max="14842" width="9.140625" style="215"/>
    <col min="14843" max="14843" width="4.85546875" style="215" customWidth="1"/>
    <col min="14844" max="14844" width="29.42578125" style="215" customWidth="1"/>
    <col min="14845" max="14845" width="10.7109375" style="215" bestFit="1" customWidth="1"/>
    <col min="14846" max="14846" width="9.5703125" style="215" bestFit="1" customWidth="1"/>
    <col min="14847" max="14847" width="10.7109375" style="215" bestFit="1" customWidth="1"/>
    <col min="14848" max="14848" width="9.5703125" style="215" bestFit="1" customWidth="1"/>
    <col min="14849" max="14849" width="10.7109375" style="215" bestFit="1" customWidth="1"/>
    <col min="14850" max="14850" width="9.5703125" style="215" bestFit="1" customWidth="1"/>
    <col min="14851" max="14852" width="9.7109375" style="215" customWidth="1"/>
    <col min="14853" max="14853" width="11" style="215" customWidth="1"/>
    <col min="14854" max="14854" width="9.140625" style="215" customWidth="1"/>
    <col min="14855" max="14855" width="10.28515625" style="215" customWidth="1"/>
    <col min="14856" max="14856" width="12.28515625" style="215" customWidth="1"/>
    <col min="14857" max="15098" width="9.140625" style="215"/>
    <col min="15099" max="15099" width="4.85546875" style="215" customWidth="1"/>
    <col min="15100" max="15100" width="29.42578125" style="215" customWidth="1"/>
    <col min="15101" max="15101" width="10.7109375" style="215" bestFit="1" customWidth="1"/>
    <col min="15102" max="15102" width="9.5703125" style="215" bestFit="1" customWidth="1"/>
    <col min="15103" max="15103" width="10.7109375" style="215" bestFit="1" customWidth="1"/>
    <col min="15104" max="15104" width="9.5703125" style="215" bestFit="1" customWidth="1"/>
    <col min="15105" max="15105" width="10.7109375" style="215" bestFit="1" customWidth="1"/>
    <col min="15106" max="15106" width="9.5703125" style="215" bestFit="1" customWidth="1"/>
    <col min="15107" max="15108" width="9.7109375" style="215" customWidth="1"/>
    <col min="15109" max="15109" width="11" style="215" customWidth="1"/>
    <col min="15110" max="15110" width="9.140625" style="215" customWidth="1"/>
    <col min="15111" max="15111" width="10.28515625" style="215" customWidth="1"/>
    <col min="15112" max="15112" width="12.28515625" style="215" customWidth="1"/>
    <col min="15113" max="15354" width="9.140625" style="215"/>
    <col min="15355" max="15355" width="4.85546875" style="215" customWidth="1"/>
    <col min="15356" max="15356" width="29.42578125" style="215" customWidth="1"/>
    <col min="15357" max="15357" width="10.7109375" style="215" bestFit="1" customWidth="1"/>
    <col min="15358" max="15358" width="9.5703125" style="215" bestFit="1" customWidth="1"/>
    <col min="15359" max="15359" width="10.7109375" style="215" bestFit="1" customWidth="1"/>
    <col min="15360" max="15360" width="9.5703125" style="215" bestFit="1" customWidth="1"/>
    <col min="15361" max="15361" width="10.7109375" style="215" bestFit="1" customWidth="1"/>
    <col min="15362" max="15362" width="9.5703125" style="215" bestFit="1" customWidth="1"/>
    <col min="15363" max="15364" width="9.7109375" style="215" customWidth="1"/>
    <col min="15365" max="15365" width="11" style="215" customWidth="1"/>
    <col min="15366" max="15366" width="9.140625" style="215" customWidth="1"/>
    <col min="15367" max="15367" width="10.28515625" style="215" customWidth="1"/>
    <col min="15368" max="15368" width="12.28515625" style="215" customWidth="1"/>
    <col min="15369" max="15610" width="9.140625" style="215"/>
    <col min="15611" max="15611" width="4.85546875" style="215" customWidth="1"/>
    <col min="15612" max="15612" width="29.42578125" style="215" customWidth="1"/>
    <col min="15613" max="15613" width="10.7109375" style="215" bestFit="1" customWidth="1"/>
    <col min="15614" max="15614" width="9.5703125" style="215" bestFit="1" customWidth="1"/>
    <col min="15615" max="15615" width="10.7109375" style="215" bestFit="1" customWidth="1"/>
    <col min="15616" max="15616" width="9.5703125" style="215" bestFit="1" customWidth="1"/>
    <col min="15617" max="15617" width="10.7109375" style="215" bestFit="1" customWidth="1"/>
    <col min="15618" max="15618" width="9.5703125" style="215" bestFit="1" customWidth="1"/>
    <col min="15619" max="15620" width="9.7109375" style="215" customWidth="1"/>
    <col min="15621" max="15621" width="11" style="215" customWidth="1"/>
    <col min="15622" max="15622" width="9.140625" style="215" customWidth="1"/>
    <col min="15623" max="15623" width="10.28515625" style="215" customWidth="1"/>
    <col min="15624" max="15624" width="12.28515625" style="215" customWidth="1"/>
    <col min="15625" max="15866" width="9.140625" style="215"/>
    <col min="15867" max="15867" width="4.85546875" style="215" customWidth="1"/>
    <col min="15868" max="15868" width="29.42578125" style="215" customWidth="1"/>
    <col min="15869" max="15869" width="10.7109375" style="215" bestFit="1" customWidth="1"/>
    <col min="15870" max="15870" width="9.5703125" style="215" bestFit="1" customWidth="1"/>
    <col min="15871" max="15871" width="10.7109375" style="215" bestFit="1" customWidth="1"/>
    <col min="15872" max="15872" width="9.5703125" style="215" bestFit="1" customWidth="1"/>
    <col min="15873" max="15873" width="10.7109375" style="215" bestFit="1" customWidth="1"/>
    <col min="15874" max="15874" width="9.5703125" style="215" bestFit="1" customWidth="1"/>
    <col min="15875" max="15876" width="9.7109375" style="215" customWidth="1"/>
    <col min="15877" max="15877" width="11" style="215" customWidth="1"/>
    <col min="15878" max="15878" width="9.140625" style="215" customWidth="1"/>
    <col min="15879" max="15879" width="10.28515625" style="215" customWidth="1"/>
    <col min="15880" max="15880" width="12.28515625" style="215" customWidth="1"/>
    <col min="15881" max="16122" width="9.140625" style="215"/>
    <col min="16123" max="16123" width="4.85546875" style="215" customWidth="1"/>
    <col min="16124" max="16124" width="29.42578125" style="215" customWidth="1"/>
    <col min="16125" max="16125" width="10.7109375" style="215" bestFit="1" customWidth="1"/>
    <col min="16126" max="16126" width="9.5703125" style="215" bestFit="1" customWidth="1"/>
    <col min="16127" max="16127" width="10.7109375" style="215" bestFit="1" customWidth="1"/>
    <col min="16128" max="16128" width="9.5703125" style="215" bestFit="1" customWidth="1"/>
    <col min="16129" max="16129" width="10.7109375" style="215" bestFit="1" customWidth="1"/>
    <col min="16130" max="16130" width="9.5703125" style="215" bestFit="1" customWidth="1"/>
    <col min="16131" max="16132" width="9.7109375" style="215" customWidth="1"/>
    <col min="16133" max="16133" width="11" style="215" customWidth="1"/>
    <col min="16134" max="16134" width="9.140625" style="215" customWidth="1"/>
    <col min="16135" max="16135" width="10.28515625" style="215" customWidth="1"/>
    <col min="16136" max="16136" width="12.28515625" style="215" customWidth="1"/>
    <col min="16137" max="16384" width="9.140625" style="215"/>
  </cols>
  <sheetData>
    <row r="1" spans="1:13" x14ac:dyDescent="0.2">
      <c r="G1" s="1978" t="s">
        <v>2186</v>
      </c>
      <c r="H1" s="1979"/>
      <c r="I1" s="1979"/>
      <c r="J1" s="1979"/>
      <c r="K1" s="1979"/>
      <c r="L1" s="1979"/>
      <c r="M1" s="1979"/>
    </row>
    <row r="2" spans="1:13" x14ac:dyDescent="0.2">
      <c r="G2" s="1979"/>
      <c r="H2" s="1979"/>
      <c r="I2" s="1979"/>
      <c r="J2" s="1979"/>
      <c r="K2" s="1979"/>
      <c r="L2" s="1979"/>
      <c r="M2" s="1979"/>
    </row>
    <row r="3" spans="1:13" x14ac:dyDescent="0.2">
      <c r="G3" s="1979"/>
      <c r="H3" s="1979"/>
      <c r="I3" s="1979"/>
      <c r="J3" s="1979"/>
      <c r="K3" s="1979"/>
      <c r="L3" s="1979"/>
      <c r="M3" s="1979"/>
    </row>
    <row r="4" spans="1:13" x14ac:dyDescent="0.2">
      <c r="G4" s="1880"/>
      <c r="H4" s="1880"/>
      <c r="I4" s="1880"/>
      <c r="J4" s="1880"/>
      <c r="K4" s="1880"/>
      <c r="L4" s="1880"/>
      <c r="M4" s="1880"/>
    </row>
    <row r="5" spans="1:13" x14ac:dyDescent="0.2">
      <c r="G5" s="1880"/>
      <c r="H5" s="1880"/>
      <c r="I5" s="1880"/>
      <c r="J5" s="1880"/>
      <c r="K5" s="1880"/>
      <c r="L5" s="1880"/>
      <c r="M5" s="1880"/>
    </row>
    <row r="6" spans="1:13" x14ac:dyDescent="0.2">
      <c r="G6" s="1880"/>
      <c r="H6" s="1880"/>
      <c r="I6" s="1880"/>
      <c r="J6" s="1880"/>
      <c r="K6" s="1880"/>
      <c r="L6" s="1880"/>
      <c r="M6" s="1880"/>
    </row>
    <row r="7" spans="1:13" ht="15.75" x14ac:dyDescent="0.25">
      <c r="A7" s="426" t="s">
        <v>1395</v>
      </c>
      <c r="B7" s="219"/>
      <c r="C7" s="2430" t="s">
        <v>1982</v>
      </c>
      <c r="D7" s="2430"/>
      <c r="E7" s="2430"/>
      <c r="F7" s="2430"/>
      <c r="G7" s="2430"/>
      <c r="H7" s="2430"/>
      <c r="I7" s="2430"/>
      <c r="J7" s="2430"/>
      <c r="K7" s="2430"/>
      <c r="L7" s="1872"/>
      <c r="M7" s="1872"/>
    </row>
    <row r="8" spans="1:13" x14ac:dyDescent="0.2">
      <c r="A8" s="2431" t="s">
        <v>1526</v>
      </c>
      <c r="B8" s="2431"/>
      <c r="C8" s="2342">
        <v>90009229680</v>
      </c>
      <c r="D8" s="2342"/>
      <c r="E8" s="2342"/>
      <c r="F8" s="2342"/>
      <c r="G8" s="2342"/>
      <c r="H8" s="2342"/>
      <c r="I8" s="2342"/>
      <c r="J8" s="2342"/>
      <c r="K8" s="2342"/>
      <c r="L8" s="1872"/>
      <c r="M8" s="1872"/>
    </row>
    <row r="9" spans="1:13" ht="15.75" x14ac:dyDescent="0.2">
      <c r="A9" s="2343"/>
      <c r="B9" s="2343"/>
      <c r="C9" s="2344" t="s">
        <v>1983</v>
      </c>
      <c r="D9" s="2344"/>
      <c r="E9" s="2344"/>
      <c r="F9" s="2344"/>
      <c r="G9" s="2344"/>
      <c r="H9" s="2344"/>
      <c r="I9" s="2344"/>
      <c r="J9" s="2344"/>
      <c r="K9" s="2344"/>
      <c r="L9" s="1890"/>
      <c r="M9" s="1890"/>
    </row>
    <row r="10" spans="1:13" x14ac:dyDescent="0.2">
      <c r="A10" s="426" t="s">
        <v>1394</v>
      </c>
      <c r="B10" s="426"/>
      <c r="C10" s="2006" t="s">
        <v>1527</v>
      </c>
      <c r="D10" s="2006"/>
      <c r="E10" s="2006"/>
      <c r="F10" s="2006"/>
      <c r="G10" s="2006"/>
      <c r="H10" s="2006"/>
      <c r="I10" s="2006"/>
      <c r="J10" s="2006"/>
      <c r="K10" s="2006"/>
      <c r="L10" s="1870"/>
      <c r="M10" s="1870"/>
    </row>
    <row r="11" spans="1:13" x14ac:dyDescent="0.2">
      <c r="A11" s="1170" t="s">
        <v>1305</v>
      </c>
      <c r="B11" s="1170"/>
      <c r="C11" s="2432" t="s">
        <v>1984</v>
      </c>
      <c r="D11" s="2432"/>
      <c r="E11" s="2432"/>
      <c r="F11" s="2432"/>
      <c r="G11" s="2432"/>
      <c r="H11" s="2432"/>
      <c r="I11" s="2432"/>
      <c r="J11" s="2432"/>
      <c r="K11" s="2433"/>
      <c r="L11" s="1171"/>
      <c r="M11" s="1171"/>
    </row>
    <row r="12" spans="1:13" ht="36" customHeight="1" x14ac:dyDescent="0.2">
      <c r="A12" s="1999" t="s">
        <v>47</v>
      </c>
      <c r="B12" s="2050" t="s">
        <v>119</v>
      </c>
      <c r="C12" s="2436" t="s">
        <v>1528</v>
      </c>
      <c r="D12" s="2437"/>
      <c r="E12" s="2436" t="s">
        <v>1529</v>
      </c>
      <c r="F12" s="2437"/>
      <c r="G12" s="2436" t="s">
        <v>1530</v>
      </c>
      <c r="H12" s="2437"/>
      <c r="I12" s="2422" t="s">
        <v>129</v>
      </c>
      <c r="J12" s="2424" t="s">
        <v>1531</v>
      </c>
      <c r="K12" s="2425"/>
      <c r="L12" s="2426" t="s">
        <v>2165</v>
      </c>
      <c r="M12" s="2427"/>
    </row>
    <row r="13" spans="1:13" ht="17.25" x14ac:dyDescent="0.2">
      <c r="A13" s="2434"/>
      <c r="B13" s="2435"/>
      <c r="C13" s="1197" t="s">
        <v>127</v>
      </c>
      <c r="D13" s="1197" t="s">
        <v>128</v>
      </c>
      <c r="E13" s="1197" t="s">
        <v>127</v>
      </c>
      <c r="F13" s="1197" t="s">
        <v>128</v>
      </c>
      <c r="G13" s="1197" t="s">
        <v>127</v>
      </c>
      <c r="H13" s="1197" t="s">
        <v>128</v>
      </c>
      <c r="I13" s="2423"/>
      <c r="J13" s="1198" t="s">
        <v>127</v>
      </c>
      <c r="K13" s="1197" t="s">
        <v>128</v>
      </c>
      <c r="L13" s="1197" t="s">
        <v>127</v>
      </c>
      <c r="M13" s="1199" t="s">
        <v>128</v>
      </c>
    </row>
    <row r="14" spans="1:13" x14ac:dyDescent="0.2">
      <c r="A14" s="2428" t="s">
        <v>1532</v>
      </c>
      <c r="B14" s="2429"/>
      <c r="C14" s="1335">
        <f t="shared" ref="C14:M14" si="0">SUM(C15,C28,C43,C100,C338,C349,C379,C399)</f>
        <v>447116</v>
      </c>
      <c r="D14" s="1335">
        <f t="shared" si="0"/>
        <v>2634</v>
      </c>
      <c r="E14" s="1335">
        <f t="shared" si="0"/>
        <v>259287.52</v>
      </c>
      <c r="F14" s="1335">
        <f t="shared" si="0"/>
        <v>0</v>
      </c>
      <c r="G14" s="1335">
        <f t="shared" si="0"/>
        <v>434860</v>
      </c>
      <c r="H14" s="1335">
        <f t="shared" si="0"/>
        <v>2650</v>
      </c>
      <c r="I14" s="1335">
        <f t="shared" si="0"/>
        <v>0</v>
      </c>
      <c r="J14" s="1335">
        <f t="shared" si="0"/>
        <v>387860</v>
      </c>
      <c r="K14" s="1335">
        <f t="shared" si="0"/>
        <v>2650</v>
      </c>
      <c r="L14" s="1335">
        <f t="shared" si="0"/>
        <v>551982</v>
      </c>
      <c r="M14" s="1335">
        <f t="shared" si="0"/>
        <v>3773</v>
      </c>
    </row>
    <row r="15" spans="1:13" ht="24" x14ac:dyDescent="0.2">
      <c r="A15" s="1272">
        <v>1</v>
      </c>
      <c r="B15" s="1273" t="s">
        <v>1877</v>
      </c>
      <c r="C15" s="1336"/>
      <c r="D15" s="1337"/>
      <c r="E15" s="1337"/>
      <c r="F15" s="1337"/>
      <c r="G15" s="1278">
        <f>SUM(G16,G22)</f>
        <v>25400</v>
      </c>
      <c r="H15" s="1337"/>
      <c r="I15" s="1337"/>
      <c r="J15" s="1337">
        <f>SUM(J16,J22)</f>
        <v>25400</v>
      </c>
      <c r="K15" s="1337">
        <f t="shared" ref="K15:M15" si="1">SUM(K16,K22)</f>
        <v>0</v>
      </c>
      <c r="L15" s="1337">
        <f>SUM(L16,L22)</f>
        <v>36146</v>
      </c>
      <c r="M15" s="1338">
        <f t="shared" si="1"/>
        <v>0</v>
      </c>
    </row>
    <row r="16" spans="1:13" x14ac:dyDescent="0.2">
      <c r="A16" s="2414">
        <v>1.1000000000000001</v>
      </c>
      <c r="B16" s="2376" t="s">
        <v>1878</v>
      </c>
      <c r="C16" s="1339">
        <f>SUM(C18:C21)</f>
        <v>0</v>
      </c>
      <c r="D16" s="1340">
        <f>SUM(D18:D21)</f>
        <v>0</v>
      </c>
      <c r="E16" s="1340">
        <f>SUM(E18:E21)</f>
        <v>0</v>
      </c>
      <c r="F16" s="1340">
        <f>SUM(F18:F21)</f>
        <v>0</v>
      </c>
      <c r="G16" s="1340">
        <f>SUM(G17:G21)</f>
        <v>10400</v>
      </c>
      <c r="H16" s="1340">
        <f t="shared" ref="H16" si="2">SUM(H18:H21)</f>
        <v>0</v>
      </c>
      <c r="I16" s="1340"/>
      <c r="J16" s="1340">
        <f>SUM(J17:J21)</f>
        <v>10400</v>
      </c>
      <c r="K16" s="1340">
        <f>SUM(K17:K21)</f>
        <v>0</v>
      </c>
      <c r="L16" s="1340">
        <f>SUM(L17:L21)</f>
        <v>14800</v>
      </c>
      <c r="M16" s="1341">
        <f t="shared" ref="M16" si="3">SUM(M17:M21)</f>
        <v>0</v>
      </c>
    </row>
    <row r="17" spans="1:13" x14ac:dyDescent="0.2">
      <c r="A17" s="2415"/>
      <c r="B17" s="2376"/>
      <c r="C17" s="1342"/>
      <c r="D17" s="1343"/>
      <c r="E17" s="1344"/>
      <c r="F17" s="1344"/>
      <c r="G17" s="1345">
        <v>3000</v>
      </c>
      <c r="H17" s="1343"/>
      <c r="I17" s="1776">
        <v>2262</v>
      </c>
      <c r="J17" s="1345">
        <v>3000</v>
      </c>
      <c r="K17" s="1343"/>
      <c r="L17" s="1345">
        <f>ROUNDUP(J17/0.702804,0)</f>
        <v>4269</v>
      </c>
      <c r="M17" s="1346">
        <f>ROUNDUP(K17/0.702804,0)</f>
        <v>0</v>
      </c>
    </row>
    <row r="18" spans="1:13" x14ac:dyDescent="0.2">
      <c r="A18" s="2415"/>
      <c r="B18" s="2376"/>
      <c r="C18" s="1347"/>
      <c r="D18" s="1348"/>
      <c r="E18" s="1348"/>
      <c r="F18" s="1349"/>
      <c r="G18" s="1350">
        <v>2600</v>
      </c>
      <c r="H18" s="1351"/>
      <c r="I18" s="819">
        <v>2275</v>
      </c>
      <c r="J18" s="1352">
        <v>2600</v>
      </c>
      <c r="K18" s="1353"/>
      <c r="L18" s="771">
        <f t="shared" ref="L18:L21" si="4">ROUNDUP(J18/0.702804,0)</f>
        <v>3700</v>
      </c>
      <c r="M18" s="1354">
        <f t="shared" ref="M18:M21" si="5">ROUNDUP(K18/0.702804,0)</f>
        <v>0</v>
      </c>
    </row>
    <row r="19" spans="1:13" x14ac:dyDescent="0.2">
      <c r="A19" s="2415"/>
      <c r="B19" s="2376"/>
      <c r="C19" s="1355"/>
      <c r="D19" s="1356"/>
      <c r="E19" s="1356"/>
      <c r="F19" s="1357"/>
      <c r="G19" s="1358">
        <v>1000</v>
      </c>
      <c r="H19" s="1359"/>
      <c r="I19" s="450">
        <v>2279</v>
      </c>
      <c r="J19" s="1360">
        <v>1000</v>
      </c>
      <c r="K19" s="1361"/>
      <c r="L19" s="771">
        <f t="shared" si="4"/>
        <v>1423</v>
      </c>
      <c r="M19" s="1354">
        <f t="shared" si="5"/>
        <v>0</v>
      </c>
    </row>
    <row r="20" spans="1:13" x14ac:dyDescent="0.2">
      <c r="A20" s="2415"/>
      <c r="B20" s="2376"/>
      <c r="C20" s="1355"/>
      <c r="D20" s="1356"/>
      <c r="E20" s="1356"/>
      <c r="F20" s="1357"/>
      <c r="G20" s="771">
        <v>3500</v>
      </c>
      <c r="H20" s="1359"/>
      <c r="I20" s="819">
        <v>2363</v>
      </c>
      <c r="J20" s="1360">
        <v>3500</v>
      </c>
      <c r="K20" s="1361"/>
      <c r="L20" s="771">
        <f t="shared" si="4"/>
        <v>4981</v>
      </c>
      <c r="M20" s="1354">
        <f t="shared" si="5"/>
        <v>0</v>
      </c>
    </row>
    <row r="21" spans="1:13" x14ac:dyDescent="0.2">
      <c r="A21" s="2416"/>
      <c r="B21" s="2377"/>
      <c r="C21" s="1362"/>
      <c r="D21" s="1363"/>
      <c r="E21" s="1363"/>
      <c r="F21" s="1364"/>
      <c r="G21" s="1365">
        <v>300</v>
      </c>
      <c r="H21" s="1366"/>
      <c r="I21" s="450">
        <v>2390</v>
      </c>
      <c r="J21" s="1367">
        <v>300</v>
      </c>
      <c r="K21" s="1368"/>
      <c r="L21" s="776">
        <f t="shared" si="4"/>
        <v>427</v>
      </c>
      <c r="M21" s="1369">
        <f t="shared" si="5"/>
        <v>0</v>
      </c>
    </row>
    <row r="22" spans="1:13" x14ac:dyDescent="0.2">
      <c r="A22" s="2414" t="s">
        <v>206</v>
      </c>
      <c r="B22" s="2375" t="s">
        <v>1879</v>
      </c>
      <c r="C22" s="1370">
        <f>SUM(C23:C27)</f>
        <v>0</v>
      </c>
      <c r="D22" s="1371">
        <f>SUM(D23:D27)</f>
        <v>0</v>
      </c>
      <c r="E22" s="1371">
        <f>SUM(E23:E27)</f>
        <v>0</v>
      </c>
      <c r="F22" s="1371">
        <f>SUM(F23:F27)</f>
        <v>0</v>
      </c>
      <c r="G22" s="1371">
        <f>SUM(G23:G27)</f>
        <v>15000</v>
      </c>
      <c r="H22" s="1371">
        <f t="shared" ref="H22:M22" si="6">SUM(H23:H27)</f>
        <v>0</v>
      </c>
      <c r="I22" s="1371"/>
      <c r="J22" s="1371">
        <f>SUM(J23:J27)</f>
        <v>15000</v>
      </c>
      <c r="K22" s="1371">
        <f t="shared" si="6"/>
        <v>0</v>
      </c>
      <c r="L22" s="1371">
        <f>SUM(L23:L27)</f>
        <v>21346</v>
      </c>
      <c r="M22" s="1341">
        <f t="shared" si="6"/>
        <v>0</v>
      </c>
    </row>
    <row r="23" spans="1:13" x14ac:dyDescent="0.2">
      <c r="A23" s="2415"/>
      <c r="B23" s="2376"/>
      <c r="C23" s="1372"/>
      <c r="D23" s="1373"/>
      <c r="E23" s="1374"/>
      <c r="F23" s="1374"/>
      <c r="G23" s="1345">
        <v>3700</v>
      </c>
      <c r="H23" s="1375"/>
      <c r="I23" s="1345">
        <v>1150</v>
      </c>
      <c r="J23" s="1376">
        <v>3700</v>
      </c>
      <c r="K23" s="1353"/>
      <c r="L23" s="1377">
        <f t="shared" ref="L23:M27" si="7">ROUNDUP(J23/0.702804,0)</f>
        <v>5265</v>
      </c>
      <c r="M23" s="1378">
        <f t="shared" si="7"/>
        <v>0</v>
      </c>
    </row>
    <row r="24" spans="1:13" x14ac:dyDescent="0.2">
      <c r="A24" s="2415"/>
      <c r="B24" s="2376"/>
      <c r="C24" s="1355"/>
      <c r="D24" s="1357"/>
      <c r="E24" s="1357"/>
      <c r="F24" s="1357"/>
      <c r="G24" s="771">
        <v>100</v>
      </c>
      <c r="H24" s="1359"/>
      <c r="I24" s="1517">
        <v>2262</v>
      </c>
      <c r="J24" s="1360">
        <v>100</v>
      </c>
      <c r="K24" s="1361"/>
      <c r="L24" s="1377">
        <f t="shared" si="7"/>
        <v>143</v>
      </c>
      <c r="M24" s="1175">
        <f t="shared" si="7"/>
        <v>0</v>
      </c>
    </row>
    <row r="25" spans="1:13" x14ac:dyDescent="0.2">
      <c r="A25" s="2415"/>
      <c r="B25" s="2376"/>
      <c r="C25" s="1355"/>
      <c r="D25" s="1357"/>
      <c r="E25" s="1357"/>
      <c r="F25" s="1357"/>
      <c r="G25" s="771">
        <v>5700</v>
      </c>
      <c r="H25" s="1359"/>
      <c r="I25" s="771">
        <v>2264</v>
      </c>
      <c r="J25" s="1360">
        <v>5700</v>
      </c>
      <c r="K25" s="1361"/>
      <c r="L25" s="1377">
        <f t="shared" si="7"/>
        <v>8111</v>
      </c>
      <c r="M25" s="1175">
        <f t="shared" si="7"/>
        <v>0</v>
      </c>
    </row>
    <row r="26" spans="1:13" x14ac:dyDescent="0.2">
      <c r="A26" s="2415"/>
      <c r="B26" s="2376"/>
      <c r="C26" s="1355"/>
      <c r="D26" s="1357"/>
      <c r="E26" s="1357"/>
      <c r="F26" s="1357"/>
      <c r="G26" s="771">
        <v>3500</v>
      </c>
      <c r="H26" s="1359"/>
      <c r="I26" s="771">
        <v>2279</v>
      </c>
      <c r="J26" s="1360">
        <v>3500</v>
      </c>
      <c r="K26" s="1361"/>
      <c r="L26" s="1377">
        <f t="shared" si="7"/>
        <v>4981</v>
      </c>
      <c r="M26" s="1175">
        <f t="shared" si="7"/>
        <v>0</v>
      </c>
    </row>
    <row r="27" spans="1:13" x14ac:dyDescent="0.2">
      <c r="A27" s="2416"/>
      <c r="B27" s="2377"/>
      <c r="C27" s="1379"/>
      <c r="D27" s="1380"/>
      <c r="E27" s="1380"/>
      <c r="F27" s="1380"/>
      <c r="G27" s="1381">
        <v>2000</v>
      </c>
      <c r="H27" s="1382"/>
      <c r="I27" s="1381">
        <v>2390</v>
      </c>
      <c r="J27" s="1383">
        <v>2000</v>
      </c>
      <c r="K27" s="1384"/>
      <c r="L27" s="1377">
        <f t="shared" si="7"/>
        <v>2846</v>
      </c>
      <c r="M27" s="1385">
        <f t="shared" si="7"/>
        <v>0</v>
      </c>
    </row>
    <row r="28" spans="1:13" ht="24" x14ac:dyDescent="0.2">
      <c r="A28" s="1274">
        <v>2</v>
      </c>
      <c r="B28" s="1275" t="s">
        <v>1880</v>
      </c>
      <c r="C28" s="1336">
        <f>C29</f>
        <v>93753</v>
      </c>
      <c r="D28" s="1337">
        <f>D29</f>
        <v>0</v>
      </c>
      <c r="E28" s="1337">
        <f>E29</f>
        <v>0</v>
      </c>
      <c r="F28" s="1337">
        <f>F29</f>
        <v>0</v>
      </c>
      <c r="G28" s="1337">
        <f>G29</f>
        <v>0</v>
      </c>
      <c r="H28" s="1337">
        <v>0</v>
      </c>
      <c r="I28" s="1337"/>
      <c r="J28" s="1337">
        <f>J29</f>
        <v>0</v>
      </c>
      <c r="K28" s="1337">
        <f>K29</f>
        <v>0</v>
      </c>
      <c r="L28" s="1337">
        <f>L29</f>
        <v>0</v>
      </c>
      <c r="M28" s="1338">
        <f>M29</f>
        <v>0</v>
      </c>
    </row>
    <row r="29" spans="1:13" ht="15" customHeight="1" x14ac:dyDescent="0.2">
      <c r="A29" s="1279" t="s">
        <v>211</v>
      </c>
      <c r="B29" s="1614" t="s">
        <v>1881</v>
      </c>
      <c r="C29" s="1276">
        <f>SUM(C30:C42)</f>
        <v>93753</v>
      </c>
      <c r="D29" s="1278">
        <f t="shared" ref="D29:M29" si="8">SUM(D30:D42)</f>
        <v>0</v>
      </c>
      <c r="E29" s="1278">
        <f t="shared" si="8"/>
        <v>0</v>
      </c>
      <c r="F29" s="1278">
        <f t="shared" si="8"/>
        <v>0</v>
      </c>
      <c r="G29" s="1278">
        <f>SUM(G30:G42)</f>
        <v>0</v>
      </c>
      <c r="H29" s="1278">
        <v>0</v>
      </c>
      <c r="I29" s="1278"/>
      <c r="J29" s="1278">
        <f t="shared" si="8"/>
        <v>0</v>
      </c>
      <c r="K29" s="1278">
        <f t="shared" si="8"/>
        <v>0</v>
      </c>
      <c r="L29" s="1278">
        <f t="shared" si="8"/>
        <v>0</v>
      </c>
      <c r="M29" s="1277">
        <f t="shared" si="8"/>
        <v>0</v>
      </c>
    </row>
    <row r="30" spans="1:13" ht="24" x14ac:dyDescent="0.2">
      <c r="A30" s="2417"/>
      <c r="B30" s="1305" t="s">
        <v>1882</v>
      </c>
      <c r="C30" s="1172">
        <v>53113</v>
      </c>
      <c r="D30" s="1386"/>
      <c r="E30" s="1387"/>
      <c r="F30" s="1376"/>
      <c r="G30" s="1388"/>
      <c r="H30" s="1376"/>
      <c r="I30" s="1172">
        <v>2361</v>
      </c>
      <c r="J30" s="1376"/>
      <c r="K30" s="1389"/>
      <c r="L30" s="1390">
        <f t="shared" ref="L30:L42" si="9">ROUNDUP(J30/0.702804,0)</f>
        <v>0</v>
      </c>
      <c r="M30" s="1391">
        <f t="shared" ref="M30:M42" si="10">ROUNDUP(K30/0.702804,0)</f>
        <v>0</v>
      </c>
    </row>
    <row r="31" spans="1:13" x14ac:dyDescent="0.2">
      <c r="A31" s="2418"/>
      <c r="B31" s="1306" t="s">
        <v>1883</v>
      </c>
      <c r="C31" s="1172">
        <v>848</v>
      </c>
      <c r="D31" s="1360"/>
      <c r="E31" s="1387"/>
      <c r="F31" s="1383"/>
      <c r="G31" s="1392"/>
      <c r="H31" s="1383"/>
      <c r="I31" s="1777">
        <v>2312</v>
      </c>
      <c r="J31" s="1386"/>
      <c r="K31" s="1393"/>
      <c r="L31" s="999">
        <f t="shared" si="9"/>
        <v>0</v>
      </c>
      <c r="M31" s="1394">
        <f t="shared" si="10"/>
        <v>0</v>
      </c>
    </row>
    <row r="32" spans="1:13" x14ac:dyDescent="0.2">
      <c r="A32" s="2418"/>
      <c r="B32" s="1306" t="s">
        <v>1884</v>
      </c>
      <c r="C32" s="1172">
        <v>200</v>
      </c>
      <c r="D32" s="1360"/>
      <c r="E32" s="1387"/>
      <c r="F32" s="1360"/>
      <c r="G32" s="1395"/>
      <c r="H32" s="1360"/>
      <c r="I32" s="1172">
        <v>2249</v>
      </c>
      <c r="J32" s="1360"/>
      <c r="K32" s="1396"/>
      <c r="L32" s="999">
        <f t="shared" si="9"/>
        <v>0</v>
      </c>
      <c r="M32" s="1176">
        <f t="shared" si="10"/>
        <v>0</v>
      </c>
    </row>
    <row r="33" spans="1:13" x14ac:dyDescent="0.2">
      <c r="A33" s="2418"/>
      <c r="B33" s="1307" t="s">
        <v>1885</v>
      </c>
      <c r="C33" s="1397">
        <v>4389</v>
      </c>
      <c r="D33" s="1360"/>
      <c r="E33" s="1387"/>
      <c r="F33" s="1386"/>
      <c r="G33" s="1398"/>
      <c r="H33" s="1386"/>
      <c r="I33" s="1778">
        <v>2261</v>
      </c>
      <c r="J33" s="1386"/>
      <c r="K33" s="1393"/>
      <c r="L33" s="999">
        <f t="shared" si="9"/>
        <v>0</v>
      </c>
      <c r="M33" s="1176">
        <f t="shared" si="10"/>
        <v>0</v>
      </c>
    </row>
    <row r="34" spans="1:13" x14ac:dyDescent="0.2">
      <c r="A34" s="2418"/>
      <c r="B34" s="1308" t="s">
        <v>1886</v>
      </c>
      <c r="C34" s="1397">
        <v>14237</v>
      </c>
      <c r="D34" s="1352"/>
      <c r="E34" s="1172"/>
      <c r="F34" s="1360"/>
      <c r="G34" s="1395"/>
      <c r="H34" s="1360"/>
      <c r="I34" s="1172">
        <v>2363</v>
      </c>
      <c r="J34" s="1360"/>
      <c r="K34" s="1396"/>
      <c r="L34" s="999">
        <f t="shared" si="9"/>
        <v>0</v>
      </c>
      <c r="M34" s="1176">
        <f t="shared" si="10"/>
        <v>0</v>
      </c>
    </row>
    <row r="35" spans="1:13" x14ac:dyDescent="0.2">
      <c r="A35" s="2418"/>
      <c r="B35" s="1309" t="s">
        <v>1887</v>
      </c>
      <c r="C35" s="1397">
        <v>15639</v>
      </c>
      <c r="D35" s="1386"/>
      <c r="E35" s="1387"/>
      <c r="F35" s="1360"/>
      <c r="G35" s="1395"/>
      <c r="H35" s="1360"/>
      <c r="I35" s="1172">
        <v>2262</v>
      </c>
      <c r="J35" s="1360"/>
      <c r="K35" s="1396"/>
      <c r="L35" s="999">
        <f t="shared" si="9"/>
        <v>0</v>
      </c>
      <c r="M35" s="1176">
        <f t="shared" si="10"/>
        <v>0</v>
      </c>
    </row>
    <row r="36" spans="1:13" x14ac:dyDescent="0.2">
      <c r="A36" s="2418"/>
      <c r="B36" s="2420" t="s">
        <v>1888</v>
      </c>
      <c r="C36" s="1397">
        <v>690</v>
      </c>
      <c r="D36" s="1360"/>
      <c r="E36" s="1172"/>
      <c r="F36" s="1360"/>
      <c r="G36" s="1395"/>
      <c r="H36" s="1360"/>
      <c r="I36" s="1172">
        <v>1150</v>
      </c>
      <c r="J36" s="1360"/>
      <c r="K36" s="1396"/>
      <c r="L36" s="999">
        <f t="shared" si="9"/>
        <v>0</v>
      </c>
      <c r="M36" s="1176">
        <f t="shared" si="10"/>
        <v>0</v>
      </c>
    </row>
    <row r="37" spans="1:13" ht="12.75" x14ac:dyDescent="0.2">
      <c r="A37" s="2418"/>
      <c r="B37" s="2421"/>
      <c r="C37" s="1399">
        <v>149</v>
      </c>
      <c r="D37" s="1352"/>
      <c r="E37" s="1400"/>
      <c r="F37" s="1360"/>
      <c r="G37" s="1395"/>
      <c r="H37" s="1360"/>
      <c r="I37" s="1779">
        <v>1210</v>
      </c>
      <c r="J37" s="1360"/>
      <c r="K37" s="1396"/>
      <c r="L37" s="999">
        <f t="shared" si="9"/>
        <v>0</v>
      </c>
      <c r="M37" s="1176">
        <f t="shared" si="10"/>
        <v>0</v>
      </c>
    </row>
    <row r="38" spans="1:13" ht="12.75" x14ac:dyDescent="0.2">
      <c r="A38" s="2418"/>
      <c r="B38" s="1307" t="s">
        <v>1889</v>
      </c>
      <c r="C38" s="1401">
        <v>100</v>
      </c>
      <c r="D38" s="1386"/>
      <c r="E38" s="1402"/>
      <c r="F38" s="1360"/>
      <c r="G38" s="1395"/>
      <c r="H38" s="1360"/>
      <c r="I38" s="1387">
        <v>2341</v>
      </c>
      <c r="J38" s="1360"/>
      <c r="K38" s="1396"/>
      <c r="L38" s="999">
        <f t="shared" si="9"/>
        <v>0</v>
      </c>
      <c r="M38" s="1176">
        <f t="shared" si="10"/>
        <v>0</v>
      </c>
    </row>
    <row r="39" spans="1:13" x14ac:dyDescent="0.2">
      <c r="A39" s="2418"/>
      <c r="B39" s="1309" t="s">
        <v>1890</v>
      </c>
      <c r="C39" s="1397">
        <v>322</v>
      </c>
      <c r="D39" s="1360"/>
      <c r="E39" s="1387"/>
      <c r="F39" s="1360"/>
      <c r="G39" s="1395"/>
      <c r="H39" s="1360"/>
      <c r="I39" s="1172">
        <v>2390</v>
      </c>
      <c r="J39" s="1360"/>
      <c r="K39" s="1396"/>
      <c r="L39" s="999">
        <f t="shared" si="9"/>
        <v>0</v>
      </c>
      <c r="M39" s="1176">
        <f t="shared" si="10"/>
        <v>0</v>
      </c>
    </row>
    <row r="40" spans="1:13" ht="12" customHeight="1" x14ac:dyDescent="0.2">
      <c r="A40" s="2418"/>
      <c r="B40" s="1309" t="s">
        <v>1891</v>
      </c>
      <c r="C40" s="1397">
        <v>598</v>
      </c>
      <c r="D40" s="1360"/>
      <c r="E40" s="1387"/>
      <c r="F40" s="1360"/>
      <c r="G40" s="1395"/>
      <c r="H40" s="1360"/>
      <c r="I40" s="1172">
        <v>2363</v>
      </c>
      <c r="J40" s="1360"/>
      <c r="K40" s="1396"/>
      <c r="L40" s="999">
        <f t="shared" si="9"/>
        <v>0</v>
      </c>
      <c r="M40" s="1176">
        <f t="shared" si="10"/>
        <v>0</v>
      </c>
    </row>
    <row r="41" spans="1:13" ht="13.5" customHeight="1" x14ac:dyDescent="0.2">
      <c r="A41" s="2418"/>
      <c r="B41" s="1310" t="s">
        <v>1892</v>
      </c>
      <c r="C41" s="1397">
        <v>2427</v>
      </c>
      <c r="D41" s="1386"/>
      <c r="E41" s="1172"/>
      <c r="F41" s="1360"/>
      <c r="G41" s="1395"/>
      <c r="H41" s="1360"/>
      <c r="I41" s="1172">
        <v>2361</v>
      </c>
      <c r="J41" s="1360"/>
      <c r="K41" s="1403"/>
      <c r="L41" s="1404">
        <f t="shared" si="9"/>
        <v>0</v>
      </c>
      <c r="M41" s="1405">
        <f t="shared" si="10"/>
        <v>0</v>
      </c>
    </row>
    <row r="42" spans="1:13" x14ac:dyDescent="0.2">
      <c r="A42" s="2419"/>
      <c r="B42" s="1311" t="s">
        <v>1893</v>
      </c>
      <c r="C42" s="1406">
        <v>1041</v>
      </c>
      <c r="D42" s="1367"/>
      <c r="E42" s="1407"/>
      <c r="F42" s="1367"/>
      <c r="G42" s="1408"/>
      <c r="H42" s="1367"/>
      <c r="I42" s="1407">
        <v>2275</v>
      </c>
      <c r="J42" s="1367"/>
      <c r="K42" s="1409"/>
      <c r="L42" s="1410">
        <f t="shared" si="9"/>
        <v>0</v>
      </c>
      <c r="M42" s="1385">
        <f t="shared" si="10"/>
        <v>0</v>
      </c>
    </row>
    <row r="43" spans="1:13" x14ac:dyDescent="0.2">
      <c r="A43" s="1281">
        <v>3</v>
      </c>
      <c r="B43" s="1275" t="s">
        <v>1894</v>
      </c>
      <c r="C43" s="1336">
        <f t="shared" ref="C43:H43" si="11">SUM(C44,C51,C56,C59,C64,C71,C77,C83,C85,C86,C87,C89,C93,C96)</f>
        <v>47973</v>
      </c>
      <c r="D43" s="1337">
        <f t="shared" si="11"/>
        <v>0</v>
      </c>
      <c r="E43" s="1337">
        <f t="shared" si="11"/>
        <v>21065.65</v>
      </c>
      <c r="F43" s="1337">
        <f t="shared" si="11"/>
        <v>0</v>
      </c>
      <c r="G43" s="1337">
        <f t="shared" si="11"/>
        <v>62500</v>
      </c>
      <c r="H43" s="1337">
        <f t="shared" si="11"/>
        <v>0</v>
      </c>
      <c r="I43" s="1337"/>
      <c r="J43" s="1337">
        <f>SUM(J44,J51,J56,J59,J64,J71,J77,J83,J85,J86,J87,J89,J93,J96)</f>
        <v>62440</v>
      </c>
      <c r="K43" s="1337">
        <f>SUM(K44,K51,K56,K59,K64,K71,K77,K83,K85,K86,K87,K89,K93,K96)</f>
        <v>0</v>
      </c>
      <c r="L43" s="1337">
        <f>SUM(L44,L51,L56,L59,L64,L71,L77,L83,L85,L86,L87,L89,L93,L96)</f>
        <v>88859</v>
      </c>
      <c r="M43" s="1338">
        <f>SUM(M44,M51,M56,M59,M64,M71,M77,M83,M85,M86,M87,M89,M93,M96)</f>
        <v>0</v>
      </c>
    </row>
    <row r="44" spans="1:13" x14ac:dyDescent="0.2">
      <c r="A44" s="2399">
        <v>3.1</v>
      </c>
      <c r="B44" s="2396" t="s">
        <v>1895</v>
      </c>
      <c r="C44" s="1411">
        <f t="shared" ref="C44:K44" si="12">SUM(C45:C50)</f>
        <v>3000</v>
      </c>
      <c r="D44" s="1412">
        <f t="shared" si="12"/>
        <v>0</v>
      </c>
      <c r="E44" s="1412">
        <f t="shared" si="12"/>
        <v>2999.42</v>
      </c>
      <c r="F44" s="1412">
        <f t="shared" si="12"/>
        <v>0</v>
      </c>
      <c r="G44" s="1337">
        <f t="shared" si="12"/>
        <v>3060</v>
      </c>
      <c r="H44" s="1412">
        <f t="shared" si="12"/>
        <v>0</v>
      </c>
      <c r="I44" s="1337"/>
      <c r="J44" s="1412">
        <f>SUM(J45:J50)</f>
        <v>3000</v>
      </c>
      <c r="K44" s="1412">
        <f t="shared" si="12"/>
        <v>0</v>
      </c>
      <c r="L44" s="1412">
        <f>SUM(L45:L50)</f>
        <v>4272</v>
      </c>
      <c r="M44" s="1413">
        <f>SUM(M45:M50)</f>
        <v>0</v>
      </c>
    </row>
    <row r="45" spans="1:13" x14ac:dyDescent="0.2">
      <c r="A45" s="2400"/>
      <c r="B45" s="2397"/>
      <c r="C45" s="1414">
        <v>446</v>
      </c>
      <c r="D45" s="1376"/>
      <c r="E45" s="1415">
        <v>446</v>
      </c>
      <c r="F45" s="1352"/>
      <c r="G45" s="1416">
        <v>1000</v>
      </c>
      <c r="H45" s="1352"/>
      <c r="I45" s="1257">
        <v>1150</v>
      </c>
      <c r="J45" s="1352">
        <v>940</v>
      </c>
      <c r="K45" s="1417"/>
      <c r="L45" s="1377">
        <f t="shared" ref="L45:M61" si="13">ROUNDUP(J45/0.702804,0)</f>
        <v>1338</v>
      </c>
      <c r="M45" s="1378">
        <f t="shared" si="13"/>
        <v>0</v>
      </c>
    </row>
    <row r="46" spans="1:13" x14ac:dyDescent="0.2">
      <c r="A46" s="2400"/>
      <c r="B46" s="2397"/>
      <c r="C46" s="1414">
        <v>500</v>
      </c>
      <c r="D46" s="1352"/>
      <c r="E46" s="1415">
        <v>500</v>
      </c>
      <c r="F46" s="1352"/>
      <c r="G46" s="1418">
        <v>200</v>
      </c>
      <c r="H46" s="1352"/>
      <c r="I46" s="1257">
        <v>2231</v>
      </c>
      <c r="J46" s="1352">
        <v>200</v>
      </c>
      <c r="K46" s="1417"/>
      <c r="L46" s="1377">
        <f t="shared" si="13"/>
        <v>285</v>
      </c>
      <c r="M46" s="1175">
        <f t="shared" si="13"/>
        <v>0</v>
      </c>
    </row>
    <row r="47" spans="1:13" x14ac:dyDescent="0.2">
      <c r="A47" s="2400"/>
      <c r="B47" s="2397"/>
      <c r="C47" s="1414">
        <v>75</v>
      </c>
      <c r="D47" s="1352"/>
      <c r="E47" s="1415">
        <v>75.02</v>
      </c>
      <c r="F47" s="1352"/>
      <c r="G47" s="1419">
        <v>60</v>
      </c>
      <c r="H47" s="1352"/>
      <c r="I47" s="1257">
        <v>2262</v>
      </c>
      <c r="J47" s="1352">
        <v>60</v>
      </c>
      <c r="K47" s="1417"/>
      <c r="L47" s="1377">
        <f t="shared" si="13"/>
        <v>86</v>
      </c>
      <c r="M47" s="1175">
        <f t="shared" si="13"/>
        <v>0</v>
      </c>
    </row>
    <row r="48" spans="1:13" x14ac:dyDescent="0.2">
      <c r="A48" s="2400"/>
      <c r="B48" s="2397"/>
      <c r="C48" s="1420">
        <v>1408</v>
      </c>
      <c r="D48" s="1360"/>
      <c r="E48" s="1421">
        <v>1407.4</v>
      </c>
      <c r="F48" s="1360"/>
      <c r="G48" s="1422">
        <v>700</v>
      </c>
      <c r="H48" s="1360"/>
      <c r="I48" s="411">
        <v>2264</v>
      </c>
      <c r="J48" s="1360">
        <v>700</v>
      </c>
      <c r="K48" s="1423"/>
      <c r="L48" s="1377">
        <f t="shared" si="13"/>
        <v>997</v>
      </c>
      <c r="M48" s="1175">
        <f t="shared" si="13"/>
        <v>0</v>
      </c>
    </row>
    <row r="49" spans="1:13" x14ac:dyDescent="0.2">
      <c r="A49" s="2400"/>
      <c r="B49" s="2397"/>
      <c r="C49" s="1420">
        <v>218</v>
      </c>
      <c r="D49" s="1360"/>
      <c r="E49" s="1421">
        <v>218</v>
      </c>
      <c r="F49" s="1360"/>
      <c r="G49" s="1422">
        <v>800</v>
      </c>
      <c r="H49" s="1360"/>
      <c r="I49" s="411">
        <v>2279</v>
      </c>
      <c r="J49" s="1360">
        <v>800</v>
      </c>
      <c r="K49" s="1423"/>
      <c r="L49" s="1377">
        <f t="shared" si="13"/>
        <v>1139</v>
      </c>
      <c r="M49" s="1175">
        <f t="shared" si="13"/>
        <v>0</v>
      </c>
    </row>
    <row r="50" spans="1:13" x14ac:dyDescent="0.2">
      <c r="A50" s="2401"/>
      <c r="B50" s="2398"/>
      <c r="C50" s="1424">
        <v>353</v>
      </c>
      <c r="D50" s="1386"/>
      <c r="E50" s="1425">
        <v>353</v>
      </c>
      <c r="F50" s="1386"/>
      <c r="G50" s="1419">
        <v>300</v>
      </c>
      <c r="H50" s="1386"/>
      <c r="I50" s="1521">
        <v>2390</v>
      </c>
      <c r="J50" s="1386">
        <v>300</v>
      </c>
      <c r="K50" s="1426"/>
      <c r="L50" s="1377">
        <f t="shared" si="13"/>
        <v>427</v>
      </c>
      <c r="M50" s="1385">
        <f t="shared" si="13"/>
        <v>0</v>
      </c>
    </row>
    <row r="51" spans="1:13" x14ac:dyDescent="0.2">
      <c r="A51" s="2393">
        <v>3.2</v>
      </c>
      <c r="B51" s="2375" t="s">
        <v>1555</v>
      </c>
      <c r="C51" s="1411">
        <f t="shared" ref="C51:H51" si="14">SUM(C52:C55)</f>
        <v>600</v>
      </c>
      <c r="D51" s="1412">
        <f t="shared" si="14"/>
        <v>0</v>
      </c>
      <c r="E51" s="1412">
        <f t="shared" si="14"/>
        <v>450</v>
      </c>
      <c r="F51" s="1412">
        <f t="shared" si="14"/>
        <v>0</v>
      </c>
      <c r="G51" s="1337">
        <f t="shared" si="14"/>
        <v>2750</v>
      </c>
      <c r="H51" s="1412">
        <f t="shared" si="14"/>
        <v>0</v>
      </c>
      <c r="I51" s="1337"/>
      <c r="J51" s="1412">
        <f>SUM(J52:J55)</f>
        <v>2750</v>
      </c>
      <c r="K51" s="1412">
        <f>SUM(K52:K55)</f>
        <v>0</v>
      </c>
      <c r="L51" s="1412">
        <f>SUM(L52:L55)</f>
        <v>3914</v>
      </c>
      <c r="M51" s="1413">
        <f>SUM(M52:M55)</f>
        <v>0</v>
      </c>
    </row>
    <row r="52" spans="1:13" x14ac:dyDescent="0.2">
      <c r="A52" s="2394"/>
      <c r="B52" s="2376"/>
      <c r="C52" s="1427">
        <v>150</v>
      </c>
      <c r="D52" s="1376"/>
      <c r="E52" s="1376">
        <v>150</v>
      </c>
      <c r="F52" s="1376"/>
      <c r="G52" s="1428">
        <v>1250</v>
      </c>
      <c r="H52" s="1377"/>
      <c r="I52" s="1428">
        <v>1150</v>
      </c>
      <c r="J52" s="1376">
        <v>1250</v>
      </c>
      <c r="K52" s="1429"/>
      <c r="L52" s="1377">
        <f t="shared" si="13"/>
        <v>1779</v>
      </c>
      <c r="M52" s="1378">
        <f t="shared" si="13"/>
        <v>0</v>
      </c>
    </row>
    <row r="53" spans="1:13" x14ac:dyDescent="0.2">
      <c r="A53" s="2394"/>
      <c r="B53" s="2376"/>
      <c r="C53" s="1420">
        <v>150</v>
      </c>
      <c r="D53" s="1352"/>
      <c r="E53" s="1352"/>
      <c r="F53" s="1352"/>
      <c r="G53" s="1257"/>
      <c r="H53" s="1377"/>
      <c r="I53" s="411">
        <v>2262</v>
      </c>
      <c r="J53" s="1352"/>
      <c r="K53" s="1417"/>
      <c r="L53" s="1377">
        <f t="shared" si="13"/>
        <v>0</v>
      </c>
      <c r="M53" s="1175">
        <f t="shared" si="13"/>
        <v>0</v>
      </c>
    </row>
    <row r="54" spans="1:13" x14ac:dyDescent="0.2">
      <c r="A54" s="2394"/>
      <c r="B54" s="2376"/>
      <c r="C54" s="1430">
        <v>0</v>
      </c>
      <c r="D54" s="1360"/>
      <c r="E54" s="1360"/>
      <c r="F54" s="1360"/>
      <c r="G54" s="411">
        <v>900</v>
      </c>
      <c r="H54" s="999"/>
      <c r="I54" s="937">
        <v>2264</v>
      </c>
      <c r="J54" s="1360">
        <v>900</v>
      </c>
      <c r="K54" s="1423"/>
      <c r="L54" s="1377">
        <f t="shared" si="13"/>
        <v>1281</v>
      </c>
      <c r="M54" s="1175">
        <f t="shared" si="13"/>
        <v>0</v>
      </c>
    </row>
    <row r="55" spans="1:13" x14ac:dyDescent="0.2">
      <c r="A55" s="2395"/>
      <c r="B55" s="2377"/>
      <c r="C55" s="1431">
        <v>300</v>
      </c>
      <c r="D55" s="1432"/>
      <c r="E55" s="1432">
        <v>300</v>
      </c>
      <c r="F55" s="1432"/>
      <c r="G55" s="1433">
        <v>600</v>
      </c>
      <c r="H55" s="1410"/>
      <c r="I55" s="422">
        <v>2390</v>
      </c>
      <c r="J55" s="1432">
        <v>600</v>
      </c>
      <c r="K55" s="1434"/>
      <c r="L55" s="1377">
        <f t="shared" si="13"/>
        <v>854</v>
      </c>
      <c r="M55" s="1385">
        <f t="shared" si="13"/>
        <v>0</v>
      </c>
    </row>
    <row r="56" spans="1:13" x14ac:dyDescent="0.2">
      <c r="A56" s="2355">
        <v>3.3</v>
      </c>
      <c r="B56" s="2375" t="s">
        <v>1558</v>
      </c>
      <c r="C56" s="1411">
        <f>SUM(C57:C58)</f>
        <v>500</v>
      </c>
      <c r="D56" s="1412">
        <f t="shared" ref="D56:K56" si="15">SUM(D57:D58)</f>
        <v>0</v>
      </c>
      <c r="E56" s="1412">
        <f t="shared" si="15"/>
        <v>374.91999999999996</v>
      </c>
      <c r="F56" s="1412">
        <f t="shared" si="15"/>
        <v>0</v>
      </c>
      <c r="G56" s="1337">
        <f t="shared" si="15"/>
        <v>500</v>
      </c>
      <c r="H56" s="1412">
        <f t="shared" si="15"/>
        <v>0</v>
      </c>
      <c r="I56" s="1337"/>
      <c r="J56" s="1412">
        <f>SUM(J57:J58)</f>
        <v>500</v>
      </c>
      <c r="K56" s="1412">
        <f t="shared" si="15"/>
        <v>0</v>
      </c>
      <c r="L56" s="1412">
        <f>SUM(L57:L58)</f>
        <v>712</v>
      </c>
      <c r="M56" s="1413">
        <f>SUM(M57:M58)</f>
        <v>0</v>
      </c>
    </row>
    <row r="57" spans="1:13" x14ac:dyDescent="0.2">
      <c r="A57" s="2356"/>
      <c r="B57" s="2376"/>
      <c r="C57" s="1424">
        <v>221</v>
      </c>
      <c r="D57" s="1435"/>
      <c r="E57" s="1425">
        <v>221</v>
      </c>
      <c r="F57" s="1435"/>
      <c r="G57" s="1428">
        <v>200</v>
      </c>
      <c r="H57" s="1435"/>
      <c r="I57" s="1521">
        <v>2279</v>
      </c>
      <c r="J57" s="1386">
        <v>200</v>
      </c>
      <c r="K57" s="1426"/>
      <c r="L57" s="1377">
        <f t="shared" si="13"/>
        <v>285</v>
      </c>
      <c r="M57" s="1378">
        <f t="shared" si="13"/>
        <v>0</v>
      </c>
    </row>
    <row r="58" spans="1:13" ht="12.75" x14ac:dyDescent="0.2">
      <c r="A58" s="2357"/>
      <c r="B58" s="2377"/>
      <c r="C58" s="1436">
        <v>279</v>
      </c>
      <c r="D58" s="1367"/>
      <c r="E58" s="1437">
        <v>153.91999999999999</v>
      </c>
      <c r="F58" s="1367"/>
      <c r="G58" s="1438">
        <v>300</v>
      </c>
      <c r="H58" s="1367"/>
      <c r="I58" s="422">
        <v>2390</v>
      </c>
      <c r="J58" s="1367">
        <v>300</v>
      </c>
      <c r="K58" s="1439"/>
      <c r="L58" s="1377">
        <f t="shared" si="13"/>
        <v>427</v>
      </c>
      <c r="M58" s="1385">
        <f t="shared" si="13"/>
        <v>0</v>
      </c>
    </row>
    <row r="59" spans="1:13" x14ac:dyDescent="0.2">
      <c r="A59" s="2393">
        <v>3.4</v>
      </c>
      <c r="B59" s="2396" t="s">
        <v>1559</v>
      </c>
      <c r="C59" s="1411">
        <f t="shared" ref="C59:K59" si="16">SUM(C60:C63)</f>
        <v>410</v>
      </c>
      <c r="D59" s="1412">
        <f t="shared" si="16"/>
        <v>0</v>
      </c>
      <c r="E59" s="1412">
        <f t="shared" si="16"/>
        <v>236.25</v>
      </c>
      <c r="F59" s="1412">
        <f t="shared" si="16"/>
        <v>0</v>
      </c>
      <c r="G59" s="1337">
        <f t="shared" si="16"/>
        <v>510</v>
      </c>
      <c r="H59" s="1412">
        <f t="shared" si="16"/>
        <v>0</v>
      </c>
      <c r="I59" s="1337"/>
      <c r="J59" s="1412">
        <f>SUM(J60:J63)</f>
        <v>510</v>
      </c>
      <c r="K59" s="1412">
        <f t="shared" si="16"/>
        <v>0</v>
      </c>
      <c r="L59" s="1412">
        <f>SUM(L60:L63)</f>
        <v>727</v>
      </c>
      <c r="M59" s="1413">
        <f>SUM(M60:M63)</f>
        <v>0</v>
      </c>
    </row>
    <row r="60" spans="1:13" x14ac:dyDescent="0.2">
      <c r="A60" s="2394"/>
      <c r="B60" s="2397"/>
      <c r="C60" s="1414">
        <v>80</v>
      </c>
      <c r="D60" s="1352"/>
      <c r="E60" s="1415">
        <v>80</v>
      </c>
      <c r="F60" s="1352"/>
      <c r="G60" s="1416">
        <v>200</v>
      </c>
      <c r="H60" s="1352"/>
      <c r="I60" s="1257">
        <v>1150</v>
      </c>
      <c r="J60" s="1352">
        <v>200</v>
      </c>
      <c r="K60" s="1417"/>
      <c r="L60" s="1377">
        <f t="shared" si="13"/>
        <v>285</v>
      </c>
      <c r="M60" s="1378">
        <f t="shared" si="13"/>
        <v>0</v>
      </c>
    </row>
    <row r="61" spans="1:13" x14ac:dyDescent="0.2">
      <c r="A61" s="2394"/>
      <c r="B61" s="2397"/>
      <c r="C61" s="1414">
        <v>40</v>
      </c>
      <c r="D61" s="1352"/>
      <c r="E61" s="1415">
        <v>40</v>
      </c>
      <c r="F61" s="1352"/>
      <c r="G61" s="1440">
        <v>40</v>
      </c>
      <c r="H61" s="1352"/>
      <c r="I61" s="1257">
        <v>2264</v>
      </c>
      <c r="J61" s="1352">
        <v>40</v>
      </c>
      <c r="K61" s="1417"/>
      <c r="L61" s="1377">
        <f t="shared" si="13"/>
        <v>57</v>
      </c>
      <c r="M61" s="1175">
        <f t="shared" si="13"/>
        <v>0</v>
      </c>
    </row>
    <row r="62" spans="1:13" x14ac:dyDescent="0.2">
      <c r="A62" s="2394"/>
      <c r="B62" s="2397"/>
      <c r="C62" s="1420">
        <v>60</v>
      </c>
      <c r="D62" s="1360"/>
      <c r="E62" s="1421"/>
      <c r="F62" s="1360"/>
      <c r="G62" s="1418">
        <v>0</v>
      </c>
      <c r="H62" s="1360"/>
      <c r="I62" s="411">
        <v>2279</v>
      </c>
      <c r="J62" s="1360">
        <v>0</v>
      </c>
      <c r="K62" s="1423"/>
      <c r="L62" s="1377">
        <f t="shared" ref="L62:M63" si="17">ROUNDUP(J62/0.702804,0)</f>
        <v>0</v>
      </c>
      <c r="M62" s="1175">
        <f t="shared" si="17"/>
        <v>0</v>
      </c>
    </row>
    <row r="63" spans="1:13" x14ac:dyDescent="0.2">
      <c r="A63" s="2395"/>
      <c r="B63" s="2398"/>
      <c r="C63" s="1441">
        <v>230</v>
      </c>
      <c r="D63" s="1367"/>
      <c r="E63" s="1442">
        <v>116.25</v>
      </c>
      <c r="F63" s="1383"/>
      <c r="G63" s="1419">
        <v>270</v>
      </c>
      <c r="H63" s="1383"/>
      <c r="I63" s="518">
        <v>2390</v>
      </c>
      <c r="J63" s="1383">
        <v>270</v>
      </c>
      <c r="K63" s="1443"/>
      <c r="L63" s="1377">
        <f t="shared" si="17"/>
        <v>385</v>
      </c>
      <c r="M63" s="1175">
        <f t="shared" si="17"/>
        <v>0</v>
      </c>
    </row>
    <row r="64" spans="1:13" x14ac:dyDescent="0.2">
      <c r="A64" s="2393">
        <v>3.5</v>
      </c>
      <c r="B64" s="2358" t="s">
        <v>1564</v>
      </c>
      <c r="C64" s="1444">
        <f t="shared" ref="C64:K64" si="18">SUM(C65:C70)</f>
        <v>5857</v>
      </c>
      <c r="D64" s="1445">
        <f t="shared" si="18"/>
        <v>0</v>
      </c>
      <c r="E64" s="1445">
        <f t="shared" si="18"/>
        <v>4358.6299999999992</v>
      </c>
      <c r="F64" s="1445">
        <f t="shared" si="18"/>
        <v>0</v>
      </c>
      <c r="G64" s="1446">
        <f t="shared" si="18"/>
        <v>14070</v>
      </c>
      <c r="H64" s="1445">
        <f t="shared" si="18"/>
        <v>0</v>
      </c>
      <c r="I64" s="1446"/>
      <c r="J64" s="1445">
        <f>SUM(J65:J70)</f>
        <v>14070</v>
      </c>
      <c r="K64" s="1445">
        <f t="shared" si="18"/>
        <v>0</v>
      </c>
      <c r="L64" s="1445">
        <f>SUM(L65:L70)</f>
        <v>20021</v>
      </c>
      <c r="M64" s="1447">
        <f>SUM(M65:M70)</f>
        <v>0</v>
      </c>
    </row>
    <row r="65" spans="1:13" ht="12.75" x14ac:dyDescent="0.2">
      <c r="A65" s="2394"/>
      <c r="B65" s="2353"/>
      <c r="C65" s="1448">
        <v>60</v>
      </c>
      <c r="D65" s="1449"/>
      <c r="E65" s="1449">
        <v>60</v>
      </c>
      <c r="F65" s="1450"/>
      <c r="G65" s="1451"/>
      <c r="H65" s="1452"/>
      <c r="I65" s="1428">
        <v>2261</v>
      </c>
      <c r="J65" s="1453"/>
      <c r="K65" s="1429"/>
      <c r="L65" s="1377">
        <f t="shared" ref="L65:M70" si="19">ROUNDUP(J65/0.702804,0)</f>
        <v>0</v>
      </c>
      <c r="M65" s="1175">
        <f t="shared" si="19"/>
        <v>0</v>
      </c>
    </row>
    <row r="66" spans="1:13" x14ac:dyDescent="0.2">
      <c r="A66" s="2394"/>
      <c r="B66" s="2353"/>
      <c r="C66" s="1415">
        <v>5437</v>
      </c>
      <c r="D66" s="1352"/>
      <c r="E66" s="1352">
        <v>4009.99</v>
      </c>
      <c r="F66" s="1352"/>
      <c r="G66" s="1440">
        <v>13500</v>
      </c>
      <c r="H66" s="1352"/>
      <c r="I66" s="1257">
        <v>2262</v>
      </c>
      <c r="J66" s="1352">
        <v>13500</v>
      </c>
      <c r="K66" s="1417"/>
      <c r="L66" s="1377">
        <f t="shared" si="19"/>
        <v>19209</v>
      </c>
      <c r="M66" s="1175">
        <f t="shared" si="19"/>
        <v>0</v>
      </c>
    </row>
    <row r="67" spans="1:13" x14ac:dyDescent="0.2">
      <c r="A67" s="2394"/>
      <c r="B67" s="2353"/>
      <c r="C67" s="999">
        <v>0</v>
      </c>
      <c r="D67" s="999"/>
      <c r="E67" s="999"/>
      <c r="F67" s="999"/>
      <c r="G67" s="1454"/>
      <c r="H67" s="999"/>
      <c r="I67" s="1257">
        <v>2122</v>
      </c>
      <c r="J67" s="1352"/>
      <c r="K67" s="1417"/>
      <c r="L67" s="1377">
        <f t="shared" si="19"/>
        <v>0</v>
      </c>
      <c r="M67" s="1175">
        <f t="shared" si="19"/>
        <v>0</v>
      </c>
    </row>
    <row r="68" spans="1:13" x14ac:dyDescent="0.2">
      <c r="A68" s="2394"/>
      <c r="B68" s="2353"/>
      <c r="C68" s="999">
        <v>200</v>
      </c>
      <c r="D68" s="999"/>
      <c r="E68" s="999">
        <v>148.71</v>
      </c>
      <c r="F68" s="999"/>
      <c r="G68" s="1454">
        <v>300</v>
      </c>
      <c r="H68" s="999"/>
      <c r="I68" s="1257">
        <v>2279</v>
      </c>
      <c r="J68" s="1352">
        <v>300</v>
      </c>
      <c r="K68" s="1417"/>
      <c r="L68" s="1377">
        <f t="shared" si="19"/>
        <v>427</v>
      </c>
      <c r="M68" s="1175">
        <f t="shared" si="19"/>
        <v>0</v>
      </c>
    </row>
    <row r="69" spans="1:13" x14ac:dyDescent="0.2">
      <c r="A69" s="2394"/>
      <c r="B69" s="2353"/>
      <c r="C69" s="1455">
        <v>30</v>
      </c>
      <c r="D69" s="1456"/>
      <c r="E69" s="1456">
        <v>10.44</v>
      </c>
      <c r="F69" s="1456"/>
      <c r="G69" s="1457">
        <v>20</v>
      </c>
      <c r="H69" s="1456"/>
      <c r="I69" s="1257">
        <v>2322</v>
      </c>
      <c r="J69" s="1352">
        <v>20</v>
      </c>
      <c r="K69" s="1417"/>
      <c r="L69" s="1377">
        <f t="shared" si="19"/>
        <v>29</v>
      </c>
      <c r="M69" s="1175">
        <f t="shared" si="19"/>
        <v>0</v>
      </c>
    </row>
    <row r="70" spans="1:13" x14ac:dyDescent="0.2">
      <c r="A70" s="2395"/>
      <c r="B70" s="2354"/>
      <c r="C70" s="1458">
        <v>130</v>
      </c>
      <c r="D70" s="1410"/>
      <c r="E70" s="1410">
        <v>129.49</v>
      </c>
      <c r="F70" s="1410"/>
      <c r="G70" s="1459">
        <v>250</v>
      </c>
      <c r="H70" s="1410"/>
      <c r="I70" s="1459">
        <v>2363</v>
      </c>
      <c r="J70" s="1410">
        <v>250</v>
      </c>
      <c r="K70" s="1460"/>
      <c r="L70" s="1377">
        <f t="shared" si="19"/>
        <v>356</v>
      </c>
      <c r="M70" s="1175">
        <f t="shared" si="19"/>
        <v>0</v>
      </c>
    </row>
    <row r="71" spans="1:13" x14ac:dyDescent="0.2">
      <c r="A71" s="2393">
        <v>3.6</v>
      </c>
      <c r="B71" s="2358" t="s">
        <v>1565</v>
      </c>
      <c r="C71" s="1461">
        <f t="shared" ref="C71:K71" si="20">SUM(C72:C76)</f>
        <v>2650</v>
      </c>
      <c r="D71" s="1445">
        <f t="shared" si="20"/>
        <v>0</v>
      </c>
      <c r="E71" s="1445">
        <f t="shared" si="20"/>
        <v>2123.84</v>
      </c>
      <c r="F71" s="1445">
        <f t="shared" si="20"/>
        <v>0</v>
      </c>
      <c r="G71" s="1446">
        <f t="shared" si="20"/>
        <v>2330</v>
      </c>
      <c r="H71" s="1445">
        <f t="shared" si="20"/>
        <v>0</v>
      </c>
      <c r="I71" s="1446"/>
      <c r="J71" s="1445">
        <f>SUM(J72:J76)</f>
        <v>2330</v>
      </c>
      <c r="K71" s="1445">
        <f t="shared" si="20"/>
        <v>0</v>
      </c>
      <c r="L71" s="1445">
        <f>SUM(L72:L76)</f>
        <v>3317</v>
      </c>
      <c r="M71" s="1447">
        <f>SUM(M72:M76)</f>
        <v>0</v>
      </c>
    </row>
    <row r="72" spans="1:13" x14ac:dyDescent="0.2">
      <c r="A72" s="2394"/>
      <c r="B72" s="2353"/>
      <c r="C72" s="1462">
        <v>800</v>
      </c>
      <c r="D72" s="224"/>
      <c r="E72" s="224">
        <v>575.08000000000004</v>
      </c>
      <c r="F72" s="224"/>
      <c r="G72" s="411">
        <v>500</v>
      </c>
      <c r="H72" s="999"/>
      <c r="I72" s="411">
        <v>1150</v>
      </c>
      <c r="J72" s="224">
        <v>500</v>
      </c>
      <c r="K72" s="1463"/>
      <c r="L72" s="1377">
        <f t="shared" ref="L72:M76" si="21">ROUNDUP(J72/0.702804,0)</f>
        <v>712</v>
      </c>
      <c r="M72" s="1175">
        <f t="shared" si="21"/>
        <v>0</v>
      </c>
    </row>
    <row r="73" spans="1:13" x14ac:dyDescent="0.2">
      <c r="A73" s="2394"/>
      <c r="B73" s="2353"/>
      <c r="C73" s="1464">
        <v>70</v>
      </c>
      <c r="D73" s="455"/>
      <c r="E73" s="455">
        <v>69.87</v>
      </c>
      <c r="F73" s="455"/>
      <c r="G73" s="518">
        <v>30</v>
      </c>
      <c r="H73" s="1456"/>
      <c r="I73" s="518">
        <v>1210</v>
      </c>
      <c r="J73" s="455">
        <v>30</v>
      </c>
      <c r="K73" s="1465"/>
      <c r="L73" s="1377">
        <f t="shared" si="21"/>
        <v>43</v>
      </c>
      <c r="M73" s="1175">
        <f t="shared" si="21"/>
        <v>0</v>
      </c>
    </row>
    <row r="74" spans="1:13" x14ac:dyDescent="0.2">
      <c r="A74" s="2394"/>
      <c r="B74" s="2353"/>
      <c r="C74" s="1464">
        <v>0</v>
      </c>
      <c r="D74" s="455"/>
      <c r="E74" s="455"/>
      <c r="F74" s="455"/>
      <c r="G74" s="518"/>
      <c r="H74" s="1456"/>
      <c r="I74" s="518">
        <v>2279</v>
      </c>
      <c r="J74" s="455"/>
      <c r="K74" s="1465"/>
      <c r="L74" s="1377">
        <f t="shared" si="21"/>
        <v>0</v>
      </c>
      <c r="M74" s="1175">
        <f t="shared" si="21"/>
        <v>0</v>
      </c>
    </row>
    <row r="75" spans="1:13" x14ac:dyDescent="0.2">
      <c r="A75" s="2394"/>
      <c r="B75" s="2353"/>
      <c r="C75" s="1464">
        <v>200</v>
      </c>
      <c r="D75" s="455"/>
      <c r="E75" s="455">
        <v>200</v>
      </c>
      <c r="F75" s="455"/>
      <c r="G75" s="518">
        <v>200</v>
      </c>
      <c r="H75" s="1456"/>
      <c r="I75" s="518">
        <v>2363</v>
      </c>
      <c r="J75" s="455">
        <v>200</v>
      </c>
      <c r="K75" s="1465"/>
      <c r="L75" s="1377">
        <f t="shared" si="21"/>
        <v>285</v>
      </c>
      <c r="M75" s="1175">
        <f t="shared" si="21"/>
        <v>0</v>
      </c>
    </row>
    <row r="76" spans="1:13" x14ac:dyDescent="0.2">
      <c r="A76" s="2395"/>
      <c r="B76" s="2354"/>
      <c r="C76" s="1466">
        <v>1580</v>
      </c>
      <c r="D76" s="481"/>
      <c r="E76" s="481">
        <v>1278.8900000000001</v>
      </c>
      <c r="F76" s="481"/>
      <c r="G76" s="422">
        <v>1600</v>
      </c>
      <c r="H76" s="1410"/>
      <c r="I76" s="422">
        <v>2390</v>
      </c>
      <c r="J76" s="481">
        <v>1600</v>
      </c>
      <c r="K76" s="1460"/>
      <c r="L76" s="1410">
        <f t="shared" si="21"/>
        <v>2277</v>
      </c>
      <c r="M76" s="1175">
        <f t="shared" si="21"/>
        <v>0</v>
      </c>
    </row>
    <row r="77" spans="1:13" x14ac:dyDescent="0.2">
      <c r="A77" s="2393">
        <v>3.7</v>
      </c>
      <c r="B77" s="2411" t="s">
        <v>1566</v>
      </c>
      <c r="C77" s="1467">
        <f t="shared" ref="C77:H77" si="22">SUM(C78:C82)</f>
        <v>13311</v>
      </c>
      <c r="D77" s="1412">
        <f t="shared" si="22"/>
        <v>0</v>
      </c>
      <c r="E77" s="1412">
        <f t="shared" si="22"/>
        <v>8877.59</v>
      </c>
      <c r="F77" s="1412">
        <f t="shared" si="22"/>
        <v>0</v>
      </c>
      <c r="G77" s="1337">
        <f t="shared" si="22"/>
        <v>19100</v>
      </c>
      <c r="H77" s="1412">
        <f t="shared" si="22"/>
        <v>0</v>
      </c>
      <c r="I77" s="1337"/>
      <c r="J77" s="1412">
        <f>SUM(J78:J82)</f>
        <v>19100</v>
      </c>
      <c r="K77" s="1412">
        <f>SUM(K78:K82)</f>
        <v>0</v>
      </c>
      <c r="L77" s="1412">
        <f>SUM(L78:L82)</f>
        <v>27178</v>
      </c>
      <c r="M77" s="1413">
        <f>SUM(M78:M82)</f>
        <v>0</v>
      </c>
    </row>
    <row r="78" spans="1:13" x14ac:dyDescent="0.2">
      <c r="A78" s="2394"/>
      <c r="B78" s="2412"/>
      <c r="C78" s="1468">
        <v>756</v>
      </c>
      <c r="D78" s="1376"/>
      <c r="E78" s="1468">
        <v>756</v>
      </c>
      <c r="F78" s="1376"/>
      <c r="G78" s="1469"/>
      <c r="H78" s="1390"/>
      <c r="I78" s="1428">
        <v>2121</v>
      </c>
      <c r="J78" s="1376"/>
      <c r="K78" s="1429"/>
      <c r="L78" s="1377">
        <f t="shared" ref="L78:M98" si="23">ROUNDUP(J78/0.702804,0)</f>
        <v>0</v>
      </c>
      <c r="M78" s="1175">
        <f t="shared" si="23"/>
        <v>0</v>
      </c>
    </row>
    <row r="79" spans="1:13" x14ac:dyDescent="0.2">
      <c r="A79" s="2394"/>
      <c r="B79" s="2412"/>
      <c r="C79" s="1425">
        <v>310</v>
      </c>
      <c r="D79" s="1386"/>
      <c r="E79" s="1425">
        <v>309.24</v>
      </c>
      <c r="F79" s="1386"/>
      <c r="G79" s="466"/>
      <c r="H79" s="1470"/>
      <c r="I79" s="1521">
        <v>2122</v>
      </c>
      <c r="J79" s="1386"/>
      <c r="K79" s="1426"/>
      <c r="L79" s="1377">
        <f t="shared" si="23"/>
        <v>0</v>
      </c>
      <c r="M79" s="1175">
        <f t="shared" si="23"/>
        <v>0</v>
      </c>
    </row>
    <row r="80" spans="1:13" x14ac:dyDescent="0.2">
      <c r="A80" s="2394"/>
      <c r="B80" s="2412"/>
      <c r="C80" s="1421">
        <v>2090</v>
      </c>
      <c r="D80" s="1360"/>
      <c r="E80" s="1421"/>
      <c r="F80" s="1360"/>
      <c r="G80" s="1471"/>
      <c r="H80" s="999"/>
      <c r="I80" s="411">
        <v>2275</v>
      </c>
      <c r="J80" s="1360"/>
      <c r="K80" s="1423"/>
      <c r="L80" s="1377">
        <f t="shared" si="23"/>
        <v>0</v>
      </c>
      <c r="M80" s="1175">
        <f t="shared" si="23"/>
        <v>0</v>
      </c>
    </row>
    <row r="81" spans="1:13" x14ac:dyDescent="0.2">
      <c r="A81" s="2394"/>
      <c r="B81" s="2412"/>
      <c r="C81" s="1421">
        <v>9455</v>
      </c>
      <c r="D81" s="1360"/>
      <c r="E81" s="1421">
        <v>7112.35</v>
      </c>
      <c r="F81" s="1360"/>
      <c r="G81" s="1471">
        <v>2000</v>
      </c>
      <c r="H81" s="999"/>
      <c r="I81" s="411">
        <v>2279</v>
      </c>
      <c r="J81" s="1360">
        <v>2000</v>
      </c>
      <c r="K81" s="1423"/>
      <c r="L81" s="1377">
        <f t="shared" si="23"/>
        <v>2846</v>
      </c>
      <c r="M81" s="1175">
        <f t="shared" si="23"/>
        <v>0</v>
      </c>
    </row>
    <row r="82" spans="1:13" x14ac:dyDescent="0.2">
      <c r="A82" s="2395"/>
      <c r="B82" s="2413"/>
      <c r="C82" s="1425">
        <v>700</v>
      </c>
      <c r="D82" s="1386"/>
      <c r="E82" s="1425">
        <v>700</v>
      </c>
      <c r="F82" s="1386"/>
      <c r="G82" s="466">
        <v>17100</v>
      </c>
      <c r="H82" s="1470"/>
      <c r="I82" s="1521">
        <v>2262</v>
      </c>
      <c r="J82" s="1386">
        <v>17100</v>
      </c>
      <c r="K82" s="1426"/>
      <c r="L82" s="1377">
        <f t="shared" si="23"/>
        <v>24332</v>
      </c>
      <c r="M82" s="1385">
        <f t="shared" si="23"/>
        <v>0</v>
      </c>
    </row>
    <row r="83" spans="1:13" x14ac:dyDescent="0.2">
      <c r="A83" s="1280">
        <v>3.8</v>
      </c>
      <c r="B83" s="1312" t="s">
        <v>1896</v>
      </c>
      <c r="C83" s="1336">
        <f t="shared" ref="C83:H83" si="24">SUM(C84:C84)</f>
        <v>0</v>
      </c>
      <c r="D83" s="1337">
        <f t="shared" si="24"/>
        <v>0</v>
      </c>
      <c r="E83" s="1337">
        <f t="shared" si="24"/>
        <v>0</v>
      </c>
      <c r="F83" s="1337">
        <f t="shared" si="24"/>
        <v>0</v>
      </c>
      <c r="G83" s="1337">
        <f t="shared" si="24"/>
        <v>400</v>
      </c>
      <c r="H83" s="1337">
        <f t="shared" si="24"/>
        <v>0</v>
      </c>
      <c r="I83" s="1337"/>
      <c r="J83" s="1337">
        <f>SUM(J84:J84)</f>
        <v>400</v>
      </c>
      <c r="K83" s="1337">
        <f>SUM(K84:K84)</f>
        <v>0</v>
      </c>
      <c r="L83" s="1337">
        <f>SUM(L84:L84)</f>
        <v>570</v>
      </c>
      <c r="M83" s="1338">
        <f>SUM(M84:M84)</f>
        <v>0</v>
      </c>
    </row>
    <row r="84" spans="1:13" ht="36" x14ac:dyDescent="0.2">
      <c r="A84" s="1322"/>
      <c r="B84" s="1667" t="s">
        <v>1571</v>
      </c>
      <c r="C84" s="1476"/>
      <c r="D84" s="1477"/>
      <c r="E84" s="1477"/>
      <c r="F84" s="1477"/>
      <c r="G84" s="1478">
        <v>400</v>
      </c>
      <c r="H84" s="1477"/>
      <c r="I84" s="1478">
        <v>2390</v>
      </c>
      <c r="J84" s="1479">
        <v>400</v>
      </c>
      <c r="K84" s="1480"/>
      <c r="L84" s="1377">
        <f t="shared" si="23"/>
        <v>570</v>
      </c>
      <c r="M84" s="1481"/>
    </row>
    <row r="85" spans="1:13" ht="24" x14ac:dyDescent="0.2">
      <c r="A85" s="1303">
        <v>3.9</v>
      </c>
      <c r="B85" s="1313" t="s">
        <v>1612</v>
      </c>
      <c r="C85" s="1482">
        <v>1645</v>
      </c>
      <c r="D85" s="1483">
        <v>0</v>
      </c>
      <c r="E85" s="1484">
        <v>1645</v>
      </c>
      <c r="F85" s="1485">
        <v>0</v>
      </c>
      <c r="G85" s="1371">
        <v>0</v>
      </c>
      <c r="H85" s="1486">
        <v>0</v>
      </c>
      <c r="I85" s="1497">
        <v>6423</v>
      </c>
      <c r="J85" s="1487"/>
      <c r="K85" s="1488"/>
      <c r="L85" s="1390">
        <f t="shared" si="23"/>
        <v>0</v>
      </c>
      <c r="M85" s="1489"/>
    </row>
    <row r="86" spans="1:13" ht="48" x14ac:dyDescent="0.2">
      <c r="A86" s="1304">
        <v>3.1</v>
      </c>
      <c r="B86" s="1314" t="s">
        <v>1613</v>
      </c>
      <c r="C86" s="1490">
        <v>20000</v>
      </c>
      <c r="D86" s="1491"/>
      <c r="E86" s="1491">
        <v>0</v>
      </c>
      <c r="F86" s="1492"/>
      <c r="G86" s="1493">
        <v>0</v>
      </c>
      <c r="H86" s="1494"/>
      <c r="I86" s="1546">
        <v>2279</v>
      </c>
      <c r="J86" s="1386"/>
      <c r="K86" s="1495"/>
      <c r="L86" s="1390">
        <f t="shared" si="23"/>
        <v>0</v>
      </c>
      <c r="M86" s="1496"/>
    </row>
    <row r="87" spans="1:13" x14ac:dyDescent="0.2">
      <c r="A87" s="2355">
        <v>3.11</v>
      </c>
      <c r="B87" s="2375" t="s">
        <v>1897</v>
      </c>
      <c r="C87" s="1370">
        <f>SUM(C88)</f>
        <v>0</v>
      </c>
      <c r="D87" s="1371">
        <f>SUM(D88)</f>
        <v>0</v>
      </c>
      <c r="E87" s="1371">
        <f>SUM(E88)</f>
        <v>0</v>
      </c>
      <c r="F87" s="1371">
        <f>SUM(F88)</f>
        <v>0</v>
      </c>
      <c r="G87" s="1371">
        <f>SUM(G88)</f>
        <v>80</v>
      </c>
      <c r="H87" s="1371">
        <f t="shared" ref="H87:M87" si="25">SUM(H88)</f>
        <v>0</v>
      </c>
      <c r="I87" s="1371"/>
      <c r="J87" s="1371">
        <f>SUM(J88)</f>
        <v>80</v>
      </c>
      <c r="K87" s="1371">
        <f t="shared" si="25"/>
        <v>0</v>
      </c>
      <c r="L87" s="1371">
        <f>SUM(L88)</f>
        <v>114</v>
      </c>
      <c r="M87" s="1341">
        <f t="shared" si="25"/>
        <v>0</v>
      </c>
    </row>
    <row r="88" spans="1:13" x14ac:dyDescent="0.2">
      <c r="A88" s="2357"/>
      <c r="B88" s="2377"/>
      <c r="C88" s="1370"/>
      <c r="D88" s="1340"/>
      <c r="E88" s="1371"/>
      <c r="F88" s="1371"/>
      <c r="G88" s="1497">
        <v>80</v>
      </c>
      <c r="H88" s="1498"/>
      <c r="I88" s="1497">
        <v>2390</v>
      </c>
      <c r="J88" s="1499">
        <v>80</v>
      </c>
      <c r="K88" s="1500"/>
      <c r="L88" s="1501">
        <f t="shared" si="23"/>
        <v>114</v>
      </c>
      <c r="M88" s="1502"/>
    </row>
    <row r="89" spans="1:13" x14ac:dyDescent="0.2">
      <c r="A89" s="2355">
        <v>3.12</v>
      </c>
      <c r="B89" s="2375" t="s">
        <v>1898</v>
      </c>
      <c r="C89" s="1339">
        <f>SUM(C90:C92)</f>
        <v>0</v>
      </c>
      <c r="D89" s="1340">
        <f>SUM(D90:D92)</f>
        <v>0</v>
      </c>
      <c r="E89" s="1340">
        <f>SUM(E90:E92)</f>
        <v>0</v>
      </c>
      <c r="F89" s="1340">
        <f>SUM(F90:F92)</f>
        <v>0</v>
      </c>
      <c r="G89" s="1340">
        <f>SUM(G90:G92)</f>
        <v>2400</v>
      </c>
      <c r="H89" s="1340">
        <f t="shared" ref="H89:M89" si="26">SUM(H90:H92)</f>
        <v>0</v>
      </c>
      <c r="I89" s="1340"/>
      <c r="J89" s="1340">
        <f>SUM(J90:J92)</f>
        <v>2400</v>
      </c>
      <c r="K89" s="1340">
        <f t="shared" si="26"/>
        <v>0</v>
      </c>
      <c r="L89" s="1340">
        <f>SUM(L90:L92)</f>
        <v>3417</v>
      </c>
      <c r="M89" s="1503">
        <f t="shared" si="26"/>
        <v>0</v>
      </c>
    </row>
    <row r="90" spans="1:13" x14ac:dyDescent="0.2">
      <c r="A90" s="2356"/>
      <c r="B90" s="2376"/>
      <c r="C90" s="1504"/>
      <c r="D90" s="1374"/>
      <c r="E90" s="1374"/>
      <c r="F90" s="1374"/>
      <c r="G90" s="1345">
        <v>1100</v>
      </c>
      <c r="H90" s="1375"/>
      <c r="I90" s="1345">
        <v>1150</v>
      </c>
      <c r="J90" s="1376">
        <v>1100</v>
      </c>
      <c r="K90" s="1389"/>
      <c r="L90" s="1580">
        <f t="shared" si="23"/>
        <v>1566</v>
      </c>
      <c r="M90" s="1475"/>
    </row>
    <row r="91" spans="1:13" x14ac:dyDescent="0.2">
      <c r="A91" s="2356"/>
      <c r="B91" s="2376"/>
      <c r="C91" s="1505"/>
      <c r="D91" s="1357"/>
      <c r="E91" s="1357"/>
      <c r="F91" s="1357"/>
      <c r="G91" s="771">
        <v>700</v>
      </c>
      <c r="H91" s="1359"/>
      <c r="I91" s="771">
        <v>2264</v>
      </c>
      <c r="J91" s="1360">
        <v>700</v>
      </c>
      <c r="K91" s="1396"/>
      <c r="L91" s="999">
        <f t="shared" si="23"/>
        <v>997</v>
      </c>
      <c r="M91" s="1289"/>
    </row>
    <row r="92" spans="1:13" x14ac:dyDescent="0.2">
      <c r="A92" s="2357"/>
      <c r="B92" s="2377"/>
      <c r="C92" s="1506"/>
      <c r="D92" s="1507"/>
      <c r="E92" s="1507"/>
      <c r="F92" s="1507"/>
      <c r="G92" s="1365">
        <v>600</v>
      </c>
      <c r="H92" s="1486"/>
      <c r="I92" s="1365">
        <v>2390</v>
      </c>
      <c r="J92" s="1432">
        <v>600</v>
      </c>
      <c r="K92" s="1508"/>
      <c r="L92" s="1377">
        <f t="shared" si="23"/>
        <v>854</v>
      </c>
      <c r="M92" s="1481"/>
    </row>
    <row r="93" spans="1:13" x14ac:dyDescent="0.2">
      <c r="A93" s="2355">
        <v>3.13</v>
      </c>
      <c r="B93" s="2375" t="s">
        <v>1899</v>
      </c>
      <c r="C93" s="1411">
        <f t="shared" ref="C93:H93" si="27">SUM(C94:C95)</f>
        <v>0</v>
      </c>
      <c r="D93" s="1412">
        <f t="shared" si="27"/>
        <v>0</v>
      </c>
      <c r="E93" s="1412">
        <f t="shared" si="27"/>
        <v>0</v>
      </c>
      <c r="F93" s="1412">
        <f t="shared" si="27"/>
        <v>0</v>
      </c>
      <c r="G93" s="1337">
        <f t="shared" si="27"/>
        <v>200</v>
      </c>
      <c r="H93" s="1412">
        <f t="shared" si="27"/>
        <v>0</v>
      </c>
      <c r="I93" s="1337"/>
      <c r="J93" s="1412">
        <f>SUM(J94:J95)</f>
        <v>200</v>
      </c>
      <c r="K93" s="1412">
        <f>SUM(K94:K95)</f>
        <v>0</v>
      </c>
      <c r="L93" s="1412">
        <f>SUM(L94:L95)</f>
        <v>285</v>
      </c>
      <c r="M93" s="1413">
        <f>SUM(M94:M95)</f>
        <v>0</v>
      </c>
    </row>
    <row r="94" spans="1:13" x14ac:dyDescent="0.2">
      <c r="A94" s="2356"/>
      <c r="B94" s="2376"/>
      <c r="C94" s="1509"/>
      <c r="D94" s="1376"/>
      <c r="E94" s="1376"/>
      <c r="F94" s="1376"/>
      <c r="G94" s="1428">
        <v>80</v>
      </c>
      <c r="H94" s="1377"/>
      <c r="I94" s="1428">
        <v>1150</v>
      </c>
      <c r="J94" s="1376">
        <v>80</v>
      </c>
      <c r="K94" s="1389"/>
      <c r="L94" s="1377">
        <f t="shared" si="23"/>
        <v>114</v>
      </c>
      <c r="M94" s="1288"/>
    </row>
    <row r="95" spans="1:13" x14ac:dyDescent="0.2">
      <c r="A95" s="2357"/>
      <c r="B95" s="2377"/>
      <c r="C95" s="1510"/>
      <c r="D95" s="1432"/>
      <c r="E95" s="1432"/>
      <c r="F95" s="1432"/>
      <c r="G95" s="1433">
        <v>120</v>
      </c>
      <c r="H95" s="1410"/>
      <c r="I95" s="1433">
        <v>2390</v>
      </c>
      <c r="J95" s="1432">
        <v>120</v>
      </c>
      <c r="K95" s="1508"/>
      <c r="L95" s="1377">
        <f t="shared" si="23"/>
        <v>171</v>
      </c>
      <c r="M95" s="1287"/>
    </row>
    <row r="96" spans="1:13" x14ac:dyDescent="0.2">
      <c r="A96" s="2355">
        <v>3.14</v>
      </c>
      <c r="B96" s="2358" t="s">
        <v>1900</v>
      </c>
      <c r="C96" s="1511">
        <f>SUM(C97:C99)</f>
        <v>0</v>
      </c>
      <c r="D96" s="1337">
        <f>SUM(D97:D99)</f>
        <v>0</v>
      </c>
      <c r="E96" s="1337">
        <f>SUM(E97:E99)</f>
        <v>0</v>
      </c>
      <c r="F96" s="1337">
        <f>SUM(F97:F99)</f>
        <v>0</v>
      </c>
      <c r="G96" s="1337">
        <f>SUM(G97:G99)</f>
        <v>17100</v>
      </c>
      <c r="H96" s="1512">
        <f t="shared" ref="H96:M96" si="28">SUM(H97:H99)</f>
        <v>0</v>
      </c>
      <c r="I96" s="1337"/>
      <c r="J96" s="1512">
        <f>SUM(J97:J99)</f>
        <v>17100</v>
      </c>
      <c r="K96" s="1337">
        <f t="shared" si="28"/>
        <v>0</v>
      </c>
      <c r="L96" s="1337">
        <f>SUM(L97:L99)</f>
        <v>24332</v>
      </c>
      <c r="M96" s="1338">
        <f t="shared" si="28"/>
        <v>0</v>
      </c>
    </row>
    <row r="97" spans="1:13" x14ac:dyDescent="0.2">
      <c r="A97" s="2356"/>
      <c r="B97" s="2353"/>
      <c r="C97" s="1513"/>
      <c r="D97" s="1376"/>
      <c r="E97" s="1376"/>
      <c r="F97" s="1376"/>
      <c r="G97" s="1428">
        <v>9000</v>
      </c>
      <c r="H97" s="1390"/>
      <c r="I97" s="1428">
        <v>1150</v>
      </c>
      <c r="J97" s="1376">
        <v>9000</v>
      </c>
      <c r="K97" s="1389"/>
      <c r="L97" s="1580">
        <f t="shared" si="23"/>
        <v>12806</v>
      </c>
      <c r="M97" s="1475"/>
    </row>
    <row r="98" spans="1:13" x14ac:dyDescent="0.2">
      <c r="A98" s="2356"/>
      <c r="B98" s="2353"/>
      <c r="C98" s="1514"/>
      <c r="D98" s="1360"/>
      <c r="E98" s="1360"/>
      <c r="F98" s="1360"/>
      <c r="G98" s="411">
        <v>7500</v>
      </c>
      <c r="H98" s="999"/>
      <c r="I98" s="411">
        <v>2279</v>
      </c>
      <c r="J98" s="1360">
        <v>7500</v>
      </c>
      <c r="K98" s="1396"/>
      <c r="L98" s="999">
        <f t="shared" si="23"/>
        <v>10672</v>
      </c>
      <c r="M98" s="1289"/>
    </row>
    <row r="99" spans="1:13" x14ac:dyDescent="0.2">
      <c r="A99" s="2357"/>
      <c r="B99" s="2354"/>
      <c r="C99" s="1510"/>
      <c r="D99" s="1432"/>
      <c r="E99" s="1432"/>
      <c r="F99" s="1432"/>
      <c r="G99" s="1433">
        <v>600</v>
      </c>
      <c r="H99" s="1480"/>
      <c r="I99" s="1433">
        <v>2390</v>
      </c>
      <c r="J99" s="1432">
        <v>600</v>
      </c>
      <c r="K99" s="1508"/>
      <c r="L99" s="1377">
        <f t="shared" ref="L99" si="29">ROUNDUP(J99/0.702804,0)</f>
        <v>854</v>
      </c>
      <c r="M99" s="1481"/>
    </row>
    <row r="100" spans="1:13" x14ac:dyDescent="0.2">
      <c r="A100" s="1272">
        <v>4</v>
      </c>
      <c r="B100" s="1275" t="s">
        <v>1901</v>
      </c>
      <c r="C100" s="1336">
        <f>SUM(C101+C104+C108+C112+C117+C123+C130+C136+C141+C146+C151+C153+C160+C165+C171+C178+C183+C188+C191+C194+C201+C205+C211+C214+C218+C222+C230+C234+C240+C246+C252+C266+C270+C274+C278+C279+C285+C291+C295+C299+C302+C305+C308+C311+C314+C317+C322+C326+C330+C334)</f>
        <v>143431</v>
      </c>
      <c r="D100" s="1337">
        <f>SUM(D101+D104+D108+D112+D117+D123+D130+D136+D141+D146+D151+D153+D160+D165+D171+D178+D183+D188+D191+D194+D201+D205+D211+D214+D218+D222+D230+D234+D240+D246+D252+D266+D270+D274+D278+D279+D285+D291+D295+D299+D302+D305+D308+D311+D314+D317+D322+D326+D330+D334)</f>
        <v>2634</v>
      </c>
      <c r="E100" s="1337">
        <f>SUM(E101+E104+E108+E112+E117+E123+E130+E136+E141+E146+E151+E153+E160+E165+E171+E178+E183+E188+E191+E194+E201+E205+E211+E214+E218+E222+E230+E234+E240+E246+E252+E266+E270+E274+E278+E279+E285+E291+E295+E299+E302+E305+E308+E311+E314+E317+E322+E326+E330+E334)</f>
        <v>97304.56</v>
      </c>
      <c r="F100" s="1337">
        <f>SUM(F101+F104+F108+F112+F117+F123+F130+F136+F141+F146+F151+F153+F160+F165+F171+F178+F183+F188+F191+F194+F201+F205+F211+F214+F218+F222+F230+F234+F240+F246+F252+F266+F270+F274+F278+F279+F285+F291+F295+F299+F302+F305+F308+F311+F314+F317+F322+F326+F330+F334)</f>
        <v>0</v>
      </c>
      <c r="G100" s="1337">
        <f>SUM(G101+G104+G108+G112+G117+G123+G130+G136+G141+G146+G151+G153+G160+G165+G171+G178+G183+G188+G191+G194+G201+G205+G211+G214+G218+G222+G230+G234+G240+G246+G252+G266+G270+G274+G278+G279+G285+G291+G295+G299+G302+G305+G308+G311+G314+G317+G322+G326+G330+G334)</f>
        <v>197630</v>
      </c>
      <c r="H100" s="1337">
        <f t="shared" ref="H100:M100" si="30">SUM(H101+H104+H108+H112+H117+H123+H130+H136+H141+H146+H151+H153+H160+H165+H171+H178+H183+H188+H191+H194+H201+H205+H211+H214+H218+H222+H230+H234+H240+H246+H252+H266+H270+H274+H278+H279+H285+H291+H295+H299+H302+H305+H308+H311+H314+H317+H322+H326+H330+H334)</f>
        <v>2650</v>
      </c>
      <c r="I100" s="1337"/>
      <c r="J100" s="1337">
        <f>SUM(J101+J104+J108+J112+J117+J123+J130+J136+J141+J146+J151+J153+J160+J165+J171+J178+J183+J188+J191+J194+J201+J205+J211+J214+J218+J222+J230+J234+J240+J246+J252+J266+J270+J274+J278+J279+J285+J291+J295+J299+J302+J305+J308+J311+J314+J317+J322+J326+J330+J334)</f>
        <v>177555</v>
      </c>
      <c r="K100" s="1337">
        <f t="shared" si="30"/>
        <v>2650</v>
      </c>
      <c r="L100" s="1337">
        <f>SUM(L101+L104+L108+L112+L117+L123+L130+L136+L141+L146+L151+L153+L160+L165+L171+L178+L183+L188+L191+L194+L201+L205+L211+L214+L218+L222+L230+L234+L240+L246+L252+L266+L270+L274+L278+L279+L285+L291+L295+L299+L302+L305+L308+L311+L314+L317+L322+L326+L330+L334)</f>
        <v>252705</v>
      </c>
      <c r="M100" s="1338">
        <f t="shared" si="30"/>
        <v>3773</v>
      </c>
    </row>
    <row r="101" spans="1:13" s="1173" customFormat="1" ht="12" customHeight="1" x14ac:dyDescent="0.2">
      <c r="A101" s="2355">
        <v>4.0999999999999996</v>
      </c>
      <c r="B101" s="2396" t="s">
        <v>1533</v>
      </c>
      <c r="C101" s="1411">
        <f t="shared" ref="C101:K101" si="31">SUM(C102:C103)</f>
        <v>160</v>
      </c>
      <c r="D101" s="1412">
        <f t="shared" si="31"/>
        <v>0</v>
      </c>
      <c r="E101" s="1412">
        <f t="shared" si="31"/>
        <v>160</v>
      </c>
      <c r="F101" s="1412">
        <f t="shared" si="31"/>
        <v>0</v>
      </c>
      <c r="G101" s="1337">
        <f t="shared" si="31"/>
        <v>160</v>
      </c>
      <c r="H101" s="1412">
        <f t="shared" si="31"/>
        <v>0</v>
      </c>
      <c r="I101" s="1337"/>
      <c r="J101" s="1412">
        <f>SUM(J102:J103)</f>
        <v>160</v>
      </c>
      <c r="K101" s="1412">
        <f t="shared" si="31"/>
        <v>0</v>
      </c>
      <c r="L101" s="1412">
        <f>SUM(L102:L103)</f>
        <v>229</v>
      </c>
      <c r="M101" s="1413">
        <f>SUM(M102:M103)</f>
        <v>0</v>
      </c>
    </row>
    <row r="102" spans="1:13" x14ac:dyDescent="0.2">
      <c r="A102" s="2356"/>
      <c r="B102" s="2397"/>
      <c r="C102" s="1515">
        <v>100</v>
      </c>
      <c r="D102" s="1383"/>
      <c r="E102" s="1383">
        <v>100</v>
      </c>
      <c r="F102" s="1383"/>
      <c r="G102" s="1416">
        <v>100</v>
      </c>
      <c r="H102" s="1360"/>
      <c r="I102" s="518">
        <v>1150</v>
      </c>
      <c r="J102" s="1352">
        <v>100</v>
      </c>
      <c r="K102" s="1516"/>
      <c r="L102" s="1517">
        <f t="shared" ref="L102:L167" si="32">ROUNDUP(J102/0.702804,0)</f>
        <v>143</v>
      </c>
      <c r="M102" s="1475"/>
    </row>
    <row r="103" spans="1:13" x14ac:dyDescent="0.2">
      <c r="A103" s="2357"/>
      <c r="B103" s="2398"/>
      <c r="C103" s="1518">
        <v>60</v>
      </c>
      <c r="D103" s="1360"/>
      <c r="E103" s="1360">
        <v>60</v>
      </c>
      <c r="F103" s="1360"/>
      <c r="G103" s="1519">
        <v>60</v>
      </c>
      <c r="H103" s="1360"/>
      <c r="I103" s="411">
        <v>2390</v>
      </c>
      <c r="J103" s="1352">
        <v>60</v>
      </c>
      <c r="K103" s="1516"/>
      <c r="L103" s="1517">
        <f t="shared" si="32"/>
        <v>86</v>
      </c>
      <c r="M103" s="1287">
        <f>K103/0.702804</f>
        <v>0</v>
      </c>
    </row>
    <row r="104" spans="1:13" ht="12" customHeight="1" x14ac:dyDescent="0.2">
      <c r="A104" s="2355">
        <v>4.2</v>
      </c>
      <c r="B104" s="2396" t="s">
        <v>1534</v>
      </c>
      <c r="C104" s="1411">
        <f>SUM(C105:C107)</f>
        <v>330</v>
      </c>
      <c r="D104" s="1412">
        <f t="shared" ref="D104:K104" si="33">SUM(D105:D107)</f>
        <v>0</v>
      </c>
      <c r="E104" s="1412">
        <f t="shared" si="33"/>
        <v>326.89999999999998</v>
      </c>
      <c r="F104" s="1412">
        <f t="shared" si="33"/>
        <v>0</v>
      </c>
      <c r="G104" s="1337">
        <f t="shared" si="33"/>
        <v>580</v>
      </c>
      <c r="H104" s="1412">
        <f t="shared" si="33"/>
        <v>0</v>
      </c>
      <c r="I104" s="1337"/>
      <c r="J104" s="1412">
        <f>SUM(J105:J107)</f>
        <v>330</v>
      </c>
      <c r="K104" s="1412">
        <f t="shared" si="33"/>
        <v>0</v>
      </c>
      <c r="L104" s="1412">
        <f>SUM(L105:L107)</f>
        <v>470</v>
      </c>
      <c r="M104" s="1413">
        <f>SUM(M105:M107)</f>
        <v>0</v>
      </c>
    </row>
    <row r="105" spans="1:13" x14ac:dyDescent="0.2">
      <c r="A105" s="2356"/>
      <c r="B105" s="2397"/>
      <c r="C105" s="1520">
        <v>0</v>
      </c>
      <c r="D105" s="1386"/>
      <c r="E105" s="1386">
        <v>0</v>
      </c>
      <c r="F105" s="1435"/>
      <c r="G105" s="1521">
        <v>250</v>
      </c>
      <c r="H105" s="1435"/>
      <c r="I105" s="1521">
        <v>1150</v>
      </c>
      <c r="J105" s="1376"/>
      <c r="K105" s="1389"/>
      <c r="L105" s="1174">
        <f t="shared" si="32"/>
        <v>0</v>
      </c>
      <c r="M105" s="1288">
        <f t="shared" ref="M105:M107" si="34">K105/0.702804</f>
        <v>0</v>
      </c>
    </row>
    <row r="106" spans="1:13" x14ac:dyDescent="0.2">
      <c r="A106" s="2356"/>
      <c r="B106" s="2397"/>
      <c r="C106" s="1518">
        <v>70</v>
      </c>
      <c r="D106" s="1360"/>
      <c r="E106" s="1360">
        <v>66.900000000000006</v>
      </c>
      <c r="F106" s="1360"/>
      <c r="G106" s="1418">
        <v>70</v>
      </c>
      <c r="H106" s="1360"/>
      <c r="I106" s="411">
        <v>2262</v>
      </c>
      <c r="J106" s="1352">
        <v>70</v>
      </c>
      <c r="K106" s="1516"/>
      <c r="L106" s="1174">
        <f t="shared" si="32"/>
        <v>100</v>
      </c>
      <c r="M106" s="1289">
        <f t="shared" si="34"/>
        <v>0</v>
      </c>
    </row>
    <row r="107" spans="1:13" x14ac:dyDescent="0.2">
      <c r="A107" s="2357"/>
      <c r="B107" s="2398"/>
      <c r="C107" s="1515">
        <v>260</v>
      </c>
      <c r="D107" s="1383"/>
      <c r="E107" s="1383">
        <v>260</v>
      </c>
      <c r="F107" s="1383"/>
      <c r="G107" s="1522">
        <v>260</v>
      </c>
      <c r="H107" s="1383"/>
      <c r="I107" s="518">
        <v>2390</v>
      </c>
      <c r="J107" s="1352">
        <v>260</v>
      </c>
      <c r="K107" s="1516"/>
      <c r="L107" s="1174">
        <f t="shared" si="32"/>
        <v>370</v>
      </c>
      <c r="M107" s="1287">
        <f t="shared" si="34"/>
        <v>0</v>
      </c>
    </row>
    <row r="108" spans="1:13" x14ac:dyDescent="0.2">
      <c r="A108" s="2355">
        <v>4.3</v>
      </c>
      <c r="B108" s="2396" t="s">
        <v>1535</v>
      </c>
      <c r="C108" s="1411">
        <f t="shared" ref="C108:K108" si="35">SUM(C109:C111)</f>
        <v>255</v>
      </c>
      <c r="D108" s="1412">
        <f t="shared" si="35"/>
        <v>0</v>
      </c>
      <c r="E108" s="1412">
        <f t="shared" si="35"/>
        <v>254.88</v>
      </c>
      <c r="F108" s="1412">
        <f t="shared" si="35"/>
        <v>0</v>
      </c>
      <c r="G108" s="1337">
        <f t="shared" si="35"/>
        <v>460</v>
      </c>
      <c r="H108" s="1412">
        <f t="shared" si="35"/>
        <v>0</v>
      </c>
      <c r="I108" s="1337"/>
      <c r="J108" s="1412">
        <f>SUM(J109:J111)</f>
        <v>460</v>
      </c>
      <c r="K108" s="1412">
        <f t="shared" si="35"/>
        <v>0</v>
      </c>
      <c r="L108" s="1412">
        <f>SUM(L109:L111)</f>
        <v>656</v>
      </c>
      <c r="M108" s="1413">
        <f>SUM(M109:M111)</f>
        <v>0</v>
      </c>
    </row>
    <row r="109" spans="1:13" ht="12" customHeight="1" x14ac:dyDescent="0.2">
      <c r="A109" s="2356"/>
      <c r="B109" s="2397"/>
      <c r="C109" s="1520">
        <v>100</v>
      </c>
      <c r="D109" s="1386"/>
      <c r="E109" s="1386">
        <v>100</v>
      </c>
      <c r="F109" s="1386"/>
      <c r="G109" s="1257">
        <v>250</v>
      </c>
      <c r="H109" s="1352"/>
      <c r="I109" s="1257">
        <v>1150</v>
      </c>
      <c r="J109" s="1516">
        <v>250</v>
      </c>
      <c r="K109" s="1516"/>
      <c r="L109" s="1174">
        <f t="shared" si="32"/>
        <v>356</v>
      </c>
      <c r="M109" s="1288">
        <f t="shared" ref="M109:M111" si="36">K109/0.702804</f>
        <v>0</v>
      </c>
    </row>
    <row r="110" spans="1:13" x14ac:dyDescent="0.2">
      <c r="A110" s="2356"/>
      <c r="B110" s="2397"/>
      <c r="C110" s="1518">
        <v>15</v>
      </c>
      <c r="D110" s="1360"/>
      <c r="E110" s="1360">
        <v>14.88</v>
      </c>
      <c r="F110" s="1360"/>
      <c r="G110" s="1257">
        <v>30</v>
      </c>
      <c r="H110" s="1516"/>
      <c r="I110" s="411">
        <v>2269</v>
      </c>
      <c r="J110" s="1516">
        <v>30</v>
      </c>
      <c r="K110" s="1396"/>
      <c r="L110" s="1174">
        <f t="shared" si="32"/>
        <v>43</v>
      </c>
      <c r="M110" s="1289">
        <f t="shared" si="36"/>
        <v>0</v>
      </c>
    </row>
    <row r="111" spans="1:13" x14ac:dyDescent="0.2">
      <c r="A111" s="2357"/>
      <c r="B111" s="2398"/>
      <c r="C111" s="1523">
        <v>140</v>
      </c>
      <c r="D111" s="1432"/>
      <c r="E111" s="1432">
        <v>140</v>
      </c>
      <c r="F111" s="1432"/>
      <c r="G111" s="1522">
        <v>180</v>
      </c>
      <c r="H111" s="1432"/>
      <c r="I111" s="1433">
        <v>2390</v>
      </c>
      <c r="J111" s="1432">
        <v>180</v>
      </c>
      <c r="K111" s="1396"/>
      <c r="L111" s="1174">
        <f t="shared" si="32"/>
        <v>257</v>
      </c>
      <c r="M111" s="1287">
        <f t="shared" si="36"/>
        <v>0</v>
      </c>
    </row>
    <row r="112" spans="1:13" ht="12.75" customHeight="1" x14ac:dyDescent="0.2">
      <c r="A112" s="2393">
        <v>4.4000000000000004</v>
      </c>
      <c r="B112" s="2396" t="s">
        <v>1536</v>
      </c>
      <c r="C112" s="1411">
        <f>SUM(C113:C116)</f>
        <v>550</v>
      </c>
      <c r="D112" s="1412">
        <f t="shared" ref="D112:M112" si="37">SUM(D113:D116)</f>
        <v>0</v>
      </c>
      <c r="E112" s="1412">
        <f t="shared" si="37"/>
        <v>0</v>
      </c>
      <c r="F112" s="1412">
        <f t="shared" si="37"/>
        <v>0</v>
      </c>
      <c r="G112" s="1337">
        <f t="shared" si="37"/>
        <v>4000</v>
      </c>
      <c r="H112" s="1412">
        <f t="shared" si="37"/>
        <v>0</v>
      </c>
      <c r="I112" s="1337"/>
      <c r="J112" s="1412">
        <f>SUM(J113:J116)</f>
        <v>4000</v>
      </c>
      <c r="K112" s="1412">
        <f t="shared" si="37"/>
        <v>0</v>
      </c>
      <c r="L112" s="1412">
        <f>SUM(L113:L116)</f>
        <v>5693</v>
      </c>
      <c r="M112" s="1413">
        <f t="shared" si="37"/>
        <v>0</v>
      </c>
    </row>
    <row r="113" spans="1:13" x14ac:dyDescent="0.2">
      <c r="A113" s="2394"/>
      <c r="B113" s="2397"/>
      <c r="C113" s="1509">
        <v>300</v>
      </c>
      <c r="D113" s="1524"/>
      <c r="E113" s="1524"/>
      <c r="F113" s="1524"/>
      <c r="G113" s="1428">
        <v>1000</v>
      </c>
      <c r="H113" s="1524"/>
      <c r="I113" s="1428">
        <v>1150</v>
      </c>
      <c r="J113" s="1376">
        <v>1000</v>
      </c>
      <c r="K113" s="1524"/>
      <c r="L113" s="1611">
        <f t="shared" si="32"/>
        <v>1423</v>
      </c>
      <c r="M113" s="1525"/>
    </row>
    <row r="114" spans="1:13" x14ac:dyDescent="0.2">
      <c r="A114" s="2394"/>
      <c r="B114" s="2397"/>
      <c r="C114" s="1526"/>
      <c r="D114" s="1527"/>
      <c r="E114" s="1527"/>
      <c r="F114" s="1527"/>
      <c r="G114" s="411">
        <v>2000</v>
      </c>
      <c r="H114" s="1527"/>
      <c r="I114" s="411">
        <v>2264</v>
      </c>
      <c r="J114" s="1360">
        <v>2000</v>
      </c>
      <c r="K114" s="1527"/>
      <c r="L114" s="1360">
        <f t="shared" si="32"/>
        <v>2846</v>
      </c>
      <c r="M114" s="1528"/>
    </row>
    <row r="115" spans="1:13" x14ac:dyDescent="0.2">
      <c r="A115" s="2394"/>
      <c r="B115" s="2397"/>
      <c r="C115" s="1529"/>
      <c r="D115" s="1352"/>
      <c r="E115" s="1352"/>
      <c r="F115" s="1352"/>
      <c r="G115" s="1440">
        <v>500</v>
      </c>
      <c r="H115" s="1352"/>
      <c r="I115" s="1257">
        <v>2279</v>
      </c>
      <c r="J115" s="1352">
        <v>500</v>
      </c>
      <c r="K115" s="1516"/>
      <c r="L115" s="1360">
        <f t="shared" si="32"/>
        <v>712</v>
      </c>
      <c r="M115" s="1288">
        <f>K115/0.702804</f>
        <v>0</v>
      </c>
    </row>
    <row r="116" spans="1:13" x14ac:dyDescent="0.2">
      <c r="A116" s="2395"/>
      <c r="B116" s="2398"/>
      <c r="C116" s="1523">
        <v>250</v>
      </c>
      <c r="D116" s="1432"/>
      <c r="E116" s="1432"/>
      <c r="F116" s="1432"/>
      <c r="G116" s="1530">
        <v>500</v>
      </c>
      <c r="H116" s="1432"/>
      <c r="I116" s="1433">
        <v>2390</v>
      </c>
      <c r="J116" s="1432">
        <v>500</v>
      </c>
      <c r="K116" s="1508"/>
      <c r="L116" s="1352">
        <f t="shared" si="32"/>
        <v>712</v>
      </c>
      <c r="M116" s="1287">
        <f>K116/0.702804</f>
        <v>0</v>
      </c>
    </row>
    <row r="117" spans="1:13" x14ac:dyDescent="0.2">
      <c r="A117" s="2393">
        <v>4.5</v>
      </c>
      <c r="B117" s="2358" t="s">
        <v>1537</v>
      </c>
      <c r="C117" s="1531">
        <f t="shared" ref="C117:K117" si="38">SUM(C118:C122)</f>
        <v>12900</v>
      </c>
      <c r="D117" s="1412">
        <f t="shared" si="38"/>
        <v>0</v>
      </c>
      <c r="E117" s="1412">
        <f t="shared" si="38"/>
        <v>0</v>
      </c>
      <c r="F117" s="1412">
        <f t="shared" si="38"/>
        <v>0</v>
      </c>
      <c r="G117" s="1337">
        <f t="shared" si="38"/>
        <v>13960</v>
      </c>
      <c r="H117" s="1412">
        <f t="shared" si="38"/>
        <v>0</v>
      </c>
      <c r="I117" s="1337"/>
      <c r="J117" s="1412">
        <f>SUM(J118:J122)</f>
        <v>13960</v>
      </c>
      <c r="K117" s="1412">
        <f t="shared" si="38"/>
        <v>0</v>
      </c>
      <c r="L117" s="1412">
        <f>SUM(L118:L122)</f>
        <v>19865</v>
      </c>
      <c r="M117" s="1413">
        <f>SUM(M118:M122)</f>
        <v>0</v>
      </c>
    </row>
    <row r="118" spans="1:13" x14ac:dyDescent="0.2">
      <c r="A118" s="2394"/>
      <c r="B118" s="2353"/>
      <c r="C118" s="1419">
        <v>3000</v>
      </c>
      <c r="D118" s="1352"/>
      <c r="E118" s="1352"/>
      <c r="F118" s="1352"/>
      <c r="G118" s="1519">
        <v>3000</v>
      </c>
      <c r="H118" s="1352"/>
      <c r="I118" s="1257">
        <v>1150</v>
      </c>
      <c r="J118" s="1352">
        <v>3000</v>
      </c>
      <c r="K118" s="1516"/>
      <c r="L118" s="1174">
        <f t="shared" si="32"/>
        <v>4269</v>
      </c>
      <c r="M118" s="1288">
        <f t="shared" ref="M118:M122" si="39">K118/0.702804</f>
        <v>0</v>
      </c>
    </row>
    <row r="119" spans="1:13" x14ac:dyDescent="0.2">
      <c r="A119" s="2394"/>
      <c r="B119" s="2353"/>
      <c r="C119" s="1422">
        <v>100</v>
      </c>
      <c r="D119" s="1352"/>
      <c r="E119" s="1360"/>
      <c r="F119" s="1352"/>
      <c r="G119" s="1418">
        <v>0</v>
      </c>
      <c r="H119" s="1352"/>
      <c r="I119" s="1257">
        <v>2262</v>
      </c>
      <c r="J119" s="1352"/>
      <c r="K119" s="1516"/>
      <c r="L119" s="1174">
        <f t="shared" si="32"/>
        <v>0</v>
      </c>
      <c r="M119" s="1289">
        <f t="shared" si="39"/>
        <v>0</v>
      </c>
    </row>
    <row r="120" spans="1:13" x14ac:dyDescent="0.2">
      <c r="A120" s="2394"/>
      <c r="B120" s="2353"/>
      <c r="C120" s="1422">
        <v>3400</v>
      </c>
      <c r="D120" s="1360"/>
      <c r="E120" s="1360"/>
      <c r="F120" s="1360"/>
      <c r="G120" s="1418">
        <v>5600</v>
      </c>
      <c r="H120" s="1360"/>
      <c r="I120" s="411">
        <v>2264</v>
      </c>
      <c r="J120" s="1360">
        <v>5600</v>
      </c>
      <c r="K120" s="1396"/>
      <c r="L120" s="1174">
        <f t="shared" si="32"/>
        <v>7969</v>
      </c>
      <c r="M120" s="1289">
        <f t="shared" si="39"/>
        <v>0</v>
      </c>
    </row>
    <row r="121" spans="1:13" x14ac:dyDescent="0.2">
      <c r="A121" s="2394"/>
      <c r="B121" s="2353"/>
      <c r="C121" s="1422">
        <v>1000</v>
      </c>
      <c r="D121" s="1360"/>
      <c r="E121" s="1360"/>
      <c r="F121" s="1360"/>
      <c r="G121" s="1418">
        <v>1210</v>
      </c>
      <c r="H121" s="1360"/>
      <c r="I121" s="411">
        <v>2279</v>
      </c>
      <c r="J121" s="1360">
        <v>1210</v>
      </c>
      <c r="K121" s="1396"/>
      <c r="L121" s="1174">
        <f t="shared" si="32"/>
        <v>1722</v>
      </c>
      <c r="M121" s="1289">
        <f t="shared" si="39"/>
        <v>0</v>
      </c>
    </row>
    <row r="122" spans="1:13" x14ac:dyDescent="0.2">
      <c r="A122" s="2395"/>
      <c r="B122" s="2354"/>
      <c r="C122" s="1532">
        <v>5400</v>
      </c>
      <c r="D122" s="1367"/>
      <c r="E122" s="1367"/>
      <c r="F122" s="1367"/>
      <c r="G122" s="1522">
        <v>4150</v>
      </c>
      <c r="H122" s="1367"/>
      <c r="I122" s="422">
        <v>2390</v>
      </c>
      <c r="J122" s="1367">
        <v>4150</v>
      </c>
      <c r="K122" s="1409"/>
      <c r="L122" s="1174">
        <f t="shared" si="32"/>
        <v>5905</v>
      </c>
      <c r="M122" s="1287">
        <f t="shared" si="39"/>
        <v>0</v>
      </c>
    </row>
    <row r="123" spans="1:13" ht="12.75" customHeight="1" x14ac:dyDescent="0.2">
      <c r="A123" s="2355">
        <v>4.5999999999999996</v>
      </c>
      <c r="B123" s="2375" t="s">
        <v>1538</v>
      </c>
      <c r="C123" s="1411">
        <f t="shared" ref="C123:K123" si="40">SUM(C124:C129)</f>
        <v>2170</v>
      </c>
      <c r="D123" s="1412">
        <f t="shared" si="40"/>
        <v>0</v>
      </c>
      <c r="E123" s="1412">
        <f t="shared" si="40"/>
        <v>2169.8000000000002</v>
      </c>
      <c r="F123" s="1412">
        <f t="shared" si="40"/>
        <v>0</v>
      </c>
      <c r="G123" s="1337">
        <f t="shared" si="40"/>
        <v>2370</v>
      </c>
      <c r="H123" s="1412">
        <f t="shared" si="40"/>
        <v>0</v>
      </c>
      <c r="I123" s="1337"/>
      <c r="J123" s="1412">
        <f>SUM(J124:J129)</f>
        <v>2370</v>
      </c>
      <c r="K123" s="1412">
        <f t="shared" si="40"/>
        <v>0</v>
      </c>
      <c r="L123" s="1412">
        <f>SUM(L124:L129)</f>
        <v>3374</v>
      </c>
      <c r="M123" s="1413">
        <f>SUM(M124:M129)</f>
        <v>0</v>
      </c>
    </row>
    <row r="124" spans="1:13" x14ac:dyDescent="0.2">
      <c r="A124" s="2356"/>
      <c r="B124" s="2376"/>
      <c r="C124" s="1529">
        <v>0</v>
      </c>
      <c r="D124" s="1352"/>
      <c r="E124" s="1352">
        <v>0</v>
      </c>
      <c r="F124" s="1352"/>
      <c r="G124" s="1519">
        <v>370</v>
      </c>
      <c r="H124" s="1352"/>
      <c r="I124" s="1257">
        <v>1150</v>
      </c>
      <c r="J124" s="1352">
        <v>370</v>
      </c>
      <c r="K124" s="1516"/>
      <c r="L124" s="1377">
        <f t="shared" si="32"/>
        <v>527</v>
      </c>
      <c r="M124" s="1288"/>
    </row>
    <row r="125" spans="1:13" x14ac:dyDescent="0.2">
      <c r="A125" s="2356"/>
      <c r="B125" s="2376"/>
      <c r="C125" s="1518">
        <v>0</v>
      </c>
      <c r="D125" s="1360"/>
      <c r="E125" s="1360">
        <v>0</v>
      </c>
      <c r="F125" s="1360"/>
      <c r="G125" s="1533">
        <v>0</v>
      </c>
      <c r="H125" s="1360"/>
      <c r="I125" s="411">
        <v>2262</v>
      </c>
      <c r="J125" s="1360"/>
      <c r="K125" s="1396"/>
      <c r="L125" s="1377">
        <f t="shared" si="32"/>
        <v>0</v>
      </c>
      <c r="M125" s="1289"/>
    </row>
    <row r="126" spans="1:13" x14ac:dyDescent="0.2">
      <c r="A126" s="2356"/>
      <c r="B126" s="2376"/>
      <c r="C126" s="1518">
        <v>823</v>
      </c>
      <c r="D126" s="1360"/>
      <c r="E126" s="1360">
        <v>822.8</v>
      </c>
      <c r="F126" s="1360"/>
      <c r="G126" s="1533">
        <v>1000</v>
      </c>
      <c r="H126" s="1360"/>
      <c r="I126" s="411">
        <v>2264</v>
      </c>
      <c r="J126" s="1360">
        <v>1000</v>
      </c>
      <c r="K126" s="1396"/>
      <c r="L126" s="1377">
        <f t="shared" si="32"/>
        <v>1423</v>
      </c>
      <c r="M126" s="1289"/>
    </row>
    <row r="127" spans="1:13" x14ac:dyDescent="0.2">
      <c r="A127" s="2356"/>
      <c r="B127" s="2376"/>
      <c r="C127" s="1518">
        <v>0</v>
      </c>
      <c r="D127" s="1360"/>
      <c r="E127" s="1360">
        <v>0</v>
      </c>
      <c r="F127" s="1360"/>
      <c r="G127" s="1533">
        <v>0</v>
      </c>
      <c r="H127" s="1360"/>
      <c r="I127" s="411">
        <v>2269</v>
      </c>
      <c r="J127" s="1360"/>
      <c r="K127" s="1396"/>
      <c r="L127" s="1377">
        <f t="shared" si="32"/>
        <v>0</v>
      </c>
      <c r="M127" s="1289"/>
    </row>
    <row r="128" spans="1:13" x14ac:dyDescent="0.2">
      <c r="A128" s="2356"/>
      <c r="B128" s="2376"/>
      <c r="C128" s="1518">
        <v>1158</v>
      </c>
      <c r="D128" s="1360"/>
      <c r="E128" s="1360">
        <v>1158</v>
      </c>
      <c r="F128" s="1360"/>
      <c r="G128" s="1418">
        <v>800</v>
      </c>
      <c r="H128" s="1360"/>
      <c r="I128" s="411">
        <v>2279</v>
      </c>
      <c r="J128" s="1360">
        <v>800</v>
      </c>
      <c r="K128" s="1396"/>
      <c r="L128" s="1377">
        <f t="shared" si="32"/>
        <v>1139</v>
      </c>
      <c r="M128" s="1289"/>
    </row>
    <row r="129" spans="1:13" x14ac:dyDescent="0.2">
      <c r="A129" s="2357"/>
      <c r="B129" s="2377"/>
      <c r="C129" s="1534">
        <v>189</v>
      </c>
      <c r="D129" s="1367"/>
      <c r="E129" s="1367">
        <v>189</v>
      </c>
      <c r="F129" s="1367"/>
      <c r="G129" s="1530">
        <v>200</v>
      </c>
      <c r="H129" s="1367"/>
      <c r="I129" s="422">
        <v>2390</v>
      </c>
      <c r="J129" s="1367">
        <v>200</v>
      </c>
      <c r="K129" s="1409"/>
      <c r="L129" s="1377">
        <f t="shared" si="32"/>
        <v>285</v>
      </c>
      <c r="M129" s="1287"/>
    </row>
    <row r="130" spans="1:13" x14ac:dyDescent="0.2">
      <c r="A130" s="2355">
        <v>4.7</v>
      </c>
      <c r="B130" s="2375" t="s">
        <v>1539</v>
      </c>
      <c r="C130" s="1411">
        <f>SUM(C131:C135)</f>
        <v>1010</v>
      </c>
      <c r="D130" s="1412">
        <f t="shared" ref="D130:K130" si="41">SUM(D131:D135)</f>
        <v>0</v>
      </c>
      <c r="E130" s="1412">
        <f t="shared" si="41"/>
        <v>951.93</v>
      </c>
      <c r="F130" s="1412">
        <f t="shared" si="41"/>
        <v>0</v>
      </c>
      <c r="G130" s="1337">
        <f t="shared" si="41"/>
        <v>1160</v>
      </c>
      <c r="H130" s="1412">
        <f t="shared" si="41"/>
        <v>0</v>
      </c>
      <c r="I130" s="1337"/>
      <c r="J130" s="1412">
        <f>SUM(J131:J135)</f>
        <v>1160</v>
      </c>
      <c r="K130" s="1412">
        <f t="shared" si="41"/>
        <v>0</v>
      </c>
      <c r="L130" s="1412">
        <f>SUM(L131:L135)</f>
        <v>1653</v>
      </c>
      <c r="M130" s="1413">
        <f>SUM(M131:M135)</f>
        <v>0</v>
      </c>
    </row>
    <row r="131" spans="1:13" ht="12" customHeight="1" x14ac:dyDescent="0.2">
      <c r="A131" s="2356"/>
      <c r="B131" s="2376"/>
      <c r="C131" s="1529">
        <v>0</v>
      </c>
      <c r="D131" s="1352"/>
      <c r="E131" s="1352">
        <v>0</v>
      </c>
      <c r="F131" s="1352"/>
      <c r="G131" s="1257">
        <v>700</v>
      </c>
      <c r="H131" s="1390"/>
      <c r="I131" s="1257">
        <v>1150</v>
      </c>
      <c r="J131" s="1352">
        <v>700</v>
      </c>
      <c r="K131" s="1516"/>
      <c r="L131" s="1377">
        <f t="shared" si="32"/>
        <v>997</v>
      </c>
      <c r="M131" s="1288"/>
    </row>
    <row r="132" spans="1:13" ht="12" customHeight="1" x14ac:dyDescent="0.2">
      <c r="A132" s="2356"/>
      <c r="B132" s="2376"/>
      <c r="C132" s="1518">
        <v>0</v>
      </c>
      <c r="D132" s="1360"/>
      <c r="E132" s="1360">
        <v>0</v>
      </c>
      <c r="F132" s="1360"/>
      <c r="G132" s="411">
        <v>60</v>
      </c>
      <c r="H132" s="1470"/>
      <c r="I132" s="411">
        <v>2262</v>
      </c>
      <c r="J132" s="1360">
        <v>60</v>
      </c>
      <c r="K132" s="1396"/>
      <c r="L132" s="1377">
        <f t="shared" si="32"/>
        <v>86</v>
      </c>
      <c r="M132" s="1289"/>
    </row>
    <row r="133" spans="1:13" ht="12" customHeight="1" x14ac:dyDescent="0.2">
      <c r="A133" s="2356"/>
      <c r="B133" s="2376"/>
      <c r="C133" s="1518">
        <v>0</v>
      </c>
      <c r="D133" s="1360"/>
      <c r="E133" s="1360">
        <v>0</v>
      </c>
      <c r="F133" s="1360"/>
      <c r="G133" s="411">
        <v>300</v>
      </c>
      <c r="H133" s="999"/>
      <c r="I133" s="411">
        <v>2264</v>
      </c>
      <c r="J133" s="1360">
        <v>300</v>
      </c>
      <c r="K133" s="1396"/>
      <c r="L133" s="1377">
        <f t="shared" si="32"/>
        <v>427</v>
      </c>
      <c r="M133" s="1289"/>
    </row>
    <row r="134" spans="1:13" ht="12" customHeight="1" x14ac:dyDescent="0.2">
      <c r="A134" s="2356"/>
      <c r="B134" s="2376"/>
      <c r="C134" s="1520">
        <v>1010</v>
      </c>
      <c r="D134" s="1386"/>
      <c r="E134" s="1386">
        <v>951.93</v>
      </c>
      <c r="F134" s="1386"/>
      <c r="G134" s="1521"/>
      <c r="H134" s="1470"/>
      <c r="I134" s="1521">
        <v>2279</v>
      </c>
      <c r="J134" s="1386"/>
      <c r="K134" s="1393"/>
      <c r="L134" s="1377">
        <f t="shared" si="32"/>
        <v>0</v>
      </c>
      <c r="M134" s="1289"/>
    </row>
    <row r="135" spans="1:13" ht="12" customHeight="1" x14ac:dyDescent="0.2">
      <c r="A135" s="2357"/>
      <c r="B135" s="2377"/>
      <c r="C135" s="1534">
        <v>0</v>
      </c>
      <c r="D135" s="1367"/>
      <c r="E135" s="1367">
        <v>0</v>
      </c>
      <c r="F135" s="1367"/>
      <c r="G135" s="422">
        <v>100</v>
      </c>
      <c r="H135" s="1410"/>
      <c r="I135" s="422">
        <v>2390</v>
      </c>
      <c r="J135" s="1367">
        <v>100</v>
      </c>
      <c r="K135" s="1409"/>
      <c r="L135" s="1377">
        <f t="shared" si="32"/>
        <v>143</v>
      </c>
      <c r="M135" s="1287"/>
    </row>
    <row r="136" spans="1:13" ht="12" customHeight="1" x14ac:dyDescent="0.2">
      <c r="A136" s="2355">
        <v>4.8</v>
      </c>
      <c r="B136" s="2396" t="s">
        <v>1540</v>
      </c>
      <c r="C136" s="1411">
        <f>SUM(C137:C140)</f>
        <v>5380</v>
      </c>
      <c r="D136" s="1412">
        <f t="shared" ref="D136:K136" si="42">SUM(D137:D140)</f>
        <v>0</v>
      </c>
      <c r="E136" s="1412">
        <f t="shared" si="42"/>
        <v>5380</v>
      </c>
      <c r="F136" s="1412">
        <f t="shared" si="42"/>
        <v>0</v>
      </c>
      <c r="G136" s="1337">
        <f t="shared" si="42"/>
        <v>8300</v>
      </c>
      <c r="H136" s="1412">
        <f t="shared" si="42"/>
        <v>0</v>
      </c>
      <c r="I136" s="1337"/>
      <c r="J136" s="1412">
        <f>SUM(J137:J140)</f>
        <v>8300</v>
      </c>
      <c r="K136" s="1412">
        <f t="shared" si="42"/>
        <v>0</v>
      </c>
      <c r="L136" s="1412">
        <f>SUM(L137:L140)</f>
        <v>11812</v>
      </c>
      <c r="M136" s="1413">
        <f>SUM(M137:M140)</f>
        <v>0</v>
      </c>
    </row>
    <row r="137" spans="1:13" x14ac:dyDescent="0.2">
      <c r="A137" s="2356"/>
      <c r="B137" s="2397"/>
      <c r="C137" s="1529">
        <v>2596</v>
      </c>
      <c r="D137" s="1352"/>
      <c r="E137" s="1352">
        <v>2596</v>
      </c>
      <c r="F137" s="1352"/>
      <c r="G137" s="1519">
        <v>3000</v>
      </c>
      <c r="H137" s="1360"/>
      <c r="I137" s="1257">
        <v>1150</v>
      </c>
      <c r="J137" s="1352">
        <v>3000</v>
      </c>
      <c r="K137" s="1516"/>
      <c r="L137" s="1377">
        <f t="shared" si="32"/>
        <v>4269</v>
      </c>
      <c r="M137" s="1288"/>
    </row>
    <row r="138" spans="1:13" x14ac:dyDescent="0.2">
      <c r="A138" s="2356"/>
      <c r="B138" s="2397"/>
      <c r="C138" s="1518">
        <v>1086</v>
      </c>
      <c r="D138" s="1360"/>
      <c r="E138" s="1360">
        <v>1086</v>
      </c>
      <c r="F138" s="1360"/>
      <c r="G138" s="1418">
        <v>2900</v>
      </c>
      <c r="H138" s="1360"/>
      <c r="I138" s="411">
        <v>2264</v>
      </c>
      <c r="J138" s="1360">
        <v>2900</v>
      </c>
      <c r="K138" s="1396"/>
      <c r="L138" s="1377">
        <f t="shared" si="32"/>
        <v>4127</v>
      </c>
      <c r="M138" s="1289"/>
    </row>
    <row r="139" spans="1:13" x14ac:dyDescent="0.2">
      <c r="A139" s="2356"/>
      <c r="B139" s="2397"/>
      <c r="C139" s="1518">
        <v>981</v>
      </c>
      <c r="D139" s="1360"/>
      <c r="E139" s="1360">
        <v>981</v>
      </c>
      <c r="F139" s="1360"/>
      <c r="G139" s="1418">
        <v>1500</v>
      </c>
      <c r="H139" s="1360"/>
      <c r="I139" s="411">
        <v>2279</v>
      </c>
      <c r="J139" s="1360">
        <v>1500</v>
      </c>
      <c r="K139" s="1396"/>
      <c r="L139" s="1377">
        <f t="shared" si="32"/>
        <v>2135</v>
      </c>
      <c r="M139" s="1289"/>
    </row>
    <row r="140" spans="1:13" x14ac:dyDescent="0.2">
      <c r="A140" s="2357"/>
      <c r="B140" s="2398"/>
      <c r="C140" s="1515">
        <v>717</v>
      </c>
      <c r="D140" s="1383"/>
      <c r="E140" s="1383">
        <v>717</v>
      </c>
      <c r="F140" s="1383"/>
      <c r="G140" s="1519">
        <v>900</v>
      </c>
      <c r="H140" s="1360"/>
      <c r="I140" s="518">
        <v>2390</v>
      </c>
      <c r="J140" s="1383">
        <v>900</v>
      </c>
      <c r="K140" s="1535"/>
      <c r="L140" s="1377">
        <f t="shared" si="32"/>
        <v>1281</v>
      </c>
      <c r="M140" s="1287"/>
    </row>
    <row r="141" spans="1:13" ht="12" customHeight="1" x14ac:dyDescent="0.2">
      <c r="A141" s="2355">
        <v>4.9000000000000004</v>
      </c>
      <c r="B141" s="2396" t="s">
        <v>1541</v>
      </c>
      <c r="C141" s="1411">
        <f>SUM(C142:C145)</f>
        <v>2200</v>
      </c>
      <c r="D141" s="1412">
        <f t="shared" ref="D141:K141" si="43">SUM(D142:D145)</f>
        <v>0</v>
      </c>
      <c r="E141" s="1412">
        <f t="shared" si="43"/>
        <v>2200</v>
      </c>
      <c r="F141" s="1412">
        <f t="shared" si="43"/>
        <v>0</v>
      </c>
      <c r="G141" s="1337">
        <f t="shared" si="43"/>
        <v>2650</v>
      </c>
      <c r="H141" s="1412">
        <f t="shared" si="43"/>
        <v>0</v>
      </c>
      <c r="I141" s="1337"/>
      <c r="J141" s="1412">
        <f>SUM(J142:J145)</f>
        <v>2650</v>
      </c>
      <c r="K141" s="1412">
        <f t="shared" si="43"/>
        <v>0</v>
      </c>
      <c r="L141" s="1412">
        <f>SUM(L142:L145)</f>
        <v>3773</v>
      </c>
      <c r="M141" s="1413">
        <f>SUM(M142:M145)</f>
        <v>0</v>
      </c>
    </row>
    <row r="142" spans="1:13" ht="12" customHeight="1" x14ac:dyDescent="0.2">
      <c r="A142" s="2356"/>
      <c r="B142" s="2397"/>
      <c r="C142" s="1529">
        <v>915</v>
      </c>
      <c r="D142" s="1352"/>
      <c r="E142" s="1352">
        <v>915</v>
      </c>
      <c r="F142" s="1352"/>
      <c r="G142" s="1257">
        <v>1000</v>
      </c>
      <c r="H142" s="1390"/>
      <c r="I142" s="1257">
        <v>1150</v>
      </c>
      <c r="J142" s="1352">
        <v>1000</v>
      </c>
      <c r="K142" s="1516"/>
      <c r="L142" s="1377">
        <f t="shared" si="32"/>
        <v>1423</v>
      </c>
      <c r="M142" s="1288"/>
    </row>
    <row r="143" spans="1:13" ht="12" customHeight="1" x14ac:dyDescent="0.2">
      <c r="A143" s="2356"/>
      <c r="B143" s="2397"/>
      <c r="C143" s="1518">
        <v>352</v>
      </c>
      <c r="D143" s="1360"/>
      <c r="E143" s="1360">
        <v>352</v>
      </c>
      <c r="F143" s="1360"/>
      <c r="G143" s="411">
        <v>700</v>
      </c>
      <c r="H143" s="999"/>
      <c r="I143" s="411">
        <v>2264</v>
      </c>
      <c r="J143" s="1360">
        <v>700</v>
      </c>
      <c r="K143" s="1396"/>
      <c r="L143" s="1377">
        <f t="shared" si="32"/>
        <v>997</v>
      </c>
      <c r="M143" s="1289"/>
    </row>
    <row r="144" spans="1:13" ht="12" customHeight="1" x14ac:dyDescent="0.2">
      <c r="A144" s="2356"/>
      <c r="B144" s="2397"/>
      <c r="C144" s="1518">
        <v>896</v>
      </c>
      <c r="D144" s="1360"/>
      <c r="E144" s="1360">
        <v>896</v>
      </c>
      <c r="F144" s="1360"/>
      <c r="G144" s="411">
        <v>900</v>
      </c>
      <c r="H144" s="999"/>
      <c r="I144" s="411">
        <v>2279</v>
      </c>
      <c r="J144" s="1360">
        <v>900</v>
      </c>
      <c r="K144" s="1396"/>
      <c r="L144" s="1377">
        <f t="shared" si="32"/>
        <v>1281</v>
      </c>
      <c r="M144" s="1289"/>
    </row>
    <row r="145" spans="1:13" ht="12" customHeight="1" x14ac:dyDescent="0.2">
      <c r="A145" s="2357"/>
      <c r="B145" s="2397"/>
      <c r="C145" s="1518">
        <v>37</v>
      </c>
      <c r="D145" s="1360"/>
      <c r="E145" s="1360">
        <v>37</v>
      </c>
      <c r="F145" s="1360"/>
      <c r="G145" s="411">
        <v>50</v>
      </c>
      <c r="H145" s="1470"/>
      <c r="I145" s="411">
        <v>2390</v>
      </c>
      <c r="J145" s="1360">
        <v>50</v>
      </c>
      <c r="K145" s="1396"/>
      <c r="L145" s="1377">
        <f t="shared" si="32"/>
        <v>72</v>
      </c>
      <c r="M145" s="1287"/>
    </row>
    <row r="146" spans="1:13" ht="12" customHeight="1" x14ac:dyDescent="0.2">
      <c r="A146" s="2405">
        <v>4.0999999999999996</v>
      </c>
      <c r="B146" s="2408" t="s">
        <v>1542</v>
      </c>
      <c r="C146" s="1411">
        <f t="shared" ref="C146:K146" si="44">SUM(C147:C150)</f>
        <v>3300</v>
      </c>
      <c r="D146" s="1412">
        <f t="shared" si="44"/>
        <v>0</v>
      </c>
      <c r="E146" s="1412">
        <f t="shared" si="44"/>
        <v>0</v>
      </c>
      <c r="F146" s="1412">
        <f t="shared" si="44"/>
        <v>0</v>
      </c>
      <c r="G146" s="1337">
        <f t="shared" si="44"/>
        <v>0</v>
      </c>
      <c r="H146" s="1412">
        <f t="shared" si="44"/>
        <v>0</v>
      </c>
      <c r="I146" s="1337"/>
      <c r="J146" s="1412">
        <f t="shared" si="44"/>
        <v>0</v>
      </c>
      <c r="K146" s="1412">
        <f t="shared" si="44"/>
        <v>0</v>
      </c>
      <c r="L146" s="1412">
        <f>SUM(L147:L150)</f>
        <v>0</v>
      </c>
      <c r="M146" s="1413">
        <f>SUM(M147:M150)</f>
        <v>0</v>
      </c>
    </row>
    <row r="147" spans="1:13" ht="12.75" customHeight="1" x14ac:dyDescent="0.2">
      <c r="A147" s="2406"/>
      <c r="B147" s="2409"/>
      <c r="C147" s="1536">
        <v>1300</v>
      </c>
      <c r="D147" s="1389"/>
      <c r="E147" s="1389"/>
      <c r="F147" s="1389"/>
      <c r="G147" s="1473">
        <v>0</v>
      </c>
      <c r="H147" s="1360"/>
      <c r="I147" s="1473">
        <v>1150</v>
      </c>
      <c r="J147" s="1352"/>
      <c r="K147" s="1516"/>
      <c r="L147" s="1377">
        <f t="shared" si="32"/>
        <v>0</v>
      </c>
      <c r="M147" s="1288"/>
    </row>
    <row r="148" spans="1:13" x14ac:dyDescent="0.2">
      <c r="A148" s="2406"/>
      <c r="B148" s="2409"/>
      <c r="C148" s="1518">
        <v>1400</v>
      </c>
      <c r="D148" s="1352"/>
      <c r="E148" s="1352"/>
      <c r="F148" s="1352"/>
      <c r="G148" s="1418">
        <v>0</v>
      </c>
      <c r="H148" s="1360"/>
      <c r="I148" s="1257">
        <v>2264</v>
      </c>
      <c r="J148" s="1352"/>
      <c r="K148" s="1516"/>
      <c r="L148" s="1377">
        <f t="shared" si="32"/>
        <v>0</v>
      </c>
      <c r="M148" s="1289"/>
    </row>
    <row r="149" spans="1:13" x14ac:dyDescent="0.2">
      <c r="A149" s="2406"/>
      <c r="B149" s="2409"/>
      <c r="C149" s="1518">
        <v>500</v>
      </c>
      <c r="D149" s="1360"/>
      <c r="E149" s="1360"/>
      <c r="F149" s="1360"/>
      <c r="G149" s="1519">
        <v>0</v>
      </c>
      <c r="H149" s="1360"/>
      <c r="I149" s="411">
        <v>2279</v>
      </c>
      <c r="J149" s="1360"/>
      <c r="K149" s="1396"/>
      <c r="L149" s="1377">
        <f t="shared" si="32"/>
        <v>0</v>
      </c>
      <c r="M149" s="1289"/>
    </row>
    <row r="150" spans="1:13" x14ac:dyDescent="0.2">
      <c r="A150" s="2407"/>
      <c r="B150" s="2410"/>
      <c r="C150" s="1534">
        <v>100</v>
      </c>
      <c r="D150" s="1367"/>
      <c r="E150" s="1367"/>
      <c r="F150" s="1367"/>
      <c r="G150" s="1522">
        <v>0</v>
      </c>
      <c r="H150" s="1367"/>
      <c r="I150" s="422">
        <v>2390</v>
      </c>
      <c r="J150" s="1367"/>
      <c r="K150" s="1409"/>
      <c r="L150" s="1377">
        <f t="shared" si="32"/>
        <v>0</v>
      </c>
      <c r="M150" s="1287"/>
    </row>
    <row r="151" spans="1:13" ht="12.75" customHeight="1" x14ac:dyDescent="0.2">
      <c r="A151" s="2355">
        <v>4.1100000000000003</v>
      </c>
      <c r="B151" s="2375" t="s">
        <v>1543</v>
      </c>
      <c r="C151" s="1411">
        <f t="shared" ref="C151:K151" si="45">SUM(C152:C152)</f>
        <v>740</v>
      </c>
      <c r="D151" s="1412">
        <f t="shared" si="45"/>
        <v>0</v>
      </c>
      <c r="E151" s="1412">
        <f t="shared" si="45"/>
        <v>740</v>
      </c>
      <c r="F151" s="1412">
        <f t="shared" si="45"/>
        <v>0</v>
      </c>
      <c r="G151" s="1337">
        <f t="shared" si="45"/>
        <v>740</v>
      </c>
      <c r="H151" s="1412">
        <f t="shared" si="45"/>
        <v>0</v>
      </c>
      <c r="I151" s="1337"/>
      <c r="J151" s="1412">
        <f>SUM(J152:J152)</f>
        <v>740</v>
      </c>
      <c r="K151" s="1412">
        <f t="shared" si="45"/>
        <v>0</v>
      </c>
      <c r="L151" s="1412">
        <f>SUM(L152:L152)</f>
        <v>1053</v>
      </c>
      <c r="M151" s="1413">
        <f>SUM(M152:M152)</f>
        <v>0</v>
      </c>
    </row>
    <row r="152" spans="1:13" ht="12.75" customHeight="1" x14ac:dyDescent="0.2">
      <c r="A152" s="2357"/>
      <c r="B152" s="2376"/>
      <c r="C152" s="1537">
        <v>740</v>
      </c>
      <c r="D152" s="1352"/>
      <c r="E152" s="1352">
        <v>740</v>
      </c>
      <c r="F152" s="1352"/>
      <c r="G152" s="1440">
        <v>740</v>
      </c>
      <c r="H152" s="1352"/>
      <c r="I152" s="1257">
        <v>1150</v>
      </c>
      <c r="J152" s="1352">
        <v>740</v>
      </c>
      <c r="K152" s="1516"/>
      <c r="L152" s="1538">
        <f t="shared" si="32"/>
        <v>1053</v>
      </c>
      <c r="M152" s="1489"/>
    </row>
    <row r="153" spans="1:13" ht="12" customHeight="1" x14ac:dyDescent="0.2">
      <c r="A153" s="2393">
        <v>4.12</v>
      </c>
      <c r="B153" s="2358" t="s">
        <v>1544</v>
      </c>
      <c r="C153" s="1411">
        <f t="shared" ref="C153:H153" si="46">SUM(C154:C159)</f>
        <v>9937</v>
      </c>
      <c r="D153" s="1412">
        <f t="shared" si="46"/>
        <v>0</v>
      </c>
      <c r="E153" s="1412">
        <f t="shared" si="46"/>
        <v>1851.99</v>
      </c>
      <c r="F153" s="1412">
        <f t="shared" si="46"/>
        <v>0</v>
      </c>
      <c r="G153" s="1337">
        <f t="shared" si="46"/>
        <v>9950</v>
      </c>
      <c r="H153" s="1412">
        <f t="shared" si="46"/>
        <v>0</v>
      </c>
      <c r="I153" s="1499"/>
      <c r="J153" s="1412">
        <f>SUM(J154:J159)</f>
        <v>9950</v>
      </c>
      <c r="K153" s="1412">
        <f t="shared" ref="K153:M153" si="47">SUM(K154:K159)</f>
        <v>0</v>
      </c>
      <c r="L153" s="1412">
        <f>SUM(L154:L159)</f>
        <v>14160</v>
      </c>
      <c r="M153" s="1539">
        <f t="shared" si="47"/>
        <v>0</v>
      </c>
    </row>
    <row r="154" spans="1:13" ht="12" customHeight="1" x14ac:dyDescent="0.2">
      <c r="A154" s="2394"/>
      <c r="B154" s="2353"/>
      <c r="C154" s="1529">
        <v>1855</v>
      </c>
      <c r="D154" s="1352"/>
      <c r="E154" s="1352"/>
      <c r="F154" s="1352"/>
      <c r="G154" s="1416">
        <v>2500</v>
      </c>
      <c r="H154" s="1352"/>
      <c r="I154" s="1257">
        <v>1150</v>
      </c>
      <c r="J154" s="1352">
        <v>2500</v>
      </c>
      <c r="K154" s="1516"/>
      <c r="L154" s="1377">
        <f t="shared" si="32"/>
        <v>3558</v>
      </c>
      <c r="M154" s="1288"/>
    </row>
    <row r="155" spans="1:13" ht="12" customHeight="1" x14ac:dyDescent="0.2">
      <c r="A155" s="2394"/>
      <c r="B155" s="2353"/>
      <c r="C155" s="1529">
        <v>145</v>
      </c>
      <c r="D155" s="1352"/>
      <c r="E155" s="1352"/>
      <c r="F155" s="1352"/>
      <c r="G155" s="1440">
        <v>0</v>
      </c>
      <c r="H155" s="1352"/>
      <c r="I155" s="1257">
        <v>1210</v>
      </c>
      <c r="J155" s="1352"/>
      <c r="K155" s="1516"/>
      <c r="L155" s="1377">
        <f t="shared" si="32"/>
        <v>0</v>
      </c>
      <c r="M155" s="1289"/>
    </row>
    <row r="156" spans="1:13" ht="12" customHeight="1" x14ac:dyDescent="0.2">
      <c r="A156" s="2394"/>
      <c r="B156" s="2353"/>
      <c r="C156" s="1518">
        <v>4127</v>
      </c>
      <c r="D156" s="1360"/>
      <c r="E156" s="1360">
        <v>852</v>
      </c>
      <c r="F156" s="1360"/>
      <c r="G156" s="1418">
        <v>4200</v>
      </c>
      <c r="H156" s="1360"/>
      <c r="I156" s="411">
        <v>2264</v>
      </c>
      <c r="J156" s="1360">
        <v>4200</v>
      </c>
      <c r="K156" s="1396"/>
      <c r="L156" s="1377">
        <f t="shared" si="32"/>
        <v>5977</v>
      </c>
      <c r="M156" s="1289"/>
    </row>
    <row r="157" spans="1:13" ht="12" customHeight="1" x14ac:dyDescent="0.2">
      <c r="A157" s="2394"/>
      <c r="B157" s="2353"/>
      <c r="C157" s="1518">
        <v>2126</v>
      </c>
      <c r="D157" s="1360"/>
      <c r="E157" s="1360">
        <v>999.99</v>
      </c>
      <c r="F157" s="1360"/>
      <c r="G157" s="1533">
        <v>1700</v>
      </c>
      <c r="H157" s="1360"/>
      <c r="I157" s="411">
        <v>2279</v>
      </c>
      <c r="J157" s="1360">
        <v>1700</v>
      </c>
      <c r="K157" s="1396"/>
      <c r="L157" s="1377">
        <f t="shared" si="32"/>
        <v>2419</v>
      </c>
      <c r="M157" s="1289"/>
    </row>
    <row r="158" spans="1:13" ht="12" customHeight="1" x14ac:dyDescent="0.2">
      <c r="A158" s="2394"/>
      <c r="B158" s="2353"/>
      <c r="C158" s="1515">
        <v>182</v>
      </c>
      <c r="D158" s="1383"/>
      <c r="E158" s="1383"/>
      <c r="F158" s="1383"/>
      <c r="G158" s="1533">
        <v>0</v>
      </c>
      <c r="H158" s="1383"/>
      <c r="I158" s="1517">
        <v>2361</v>
      </c>
      <c r="J158" s="518"/>
      <c r="K158" s="1457"/>
      <c r="L158" s="1540">
        <f t="shared" si="32"/>
        <v>0</v>
      </c>
      <c r="M158" s="1541"/>
    </row>
    <row r="159" spans="1:13" ht="12" customHeight="1" x14ac:dyDescent="0.2">
      <c r="A159" s="2395"/>
      <c r="B159" s="1315"/>
      <c r="C159" s="1534">
        <v>1502</v>
      </c>
      <c r="D159" s="1367"/>
      <c r="E159" s="1367"/>
      <c r="F159" s="1367"/>
      <c r="G159" s="1522">
        <v>1550</v>
      </c>
      <c r="H159" s="1367"/>
      <c r="I159" s="422">
        <v>2390</v>
      </c>
      <c r="J159" s="1367">
        <v>1550</v>
      </c>
      <c r="K159" s="1409"/>
      <c r="L159" s="1410">
        <f t="shared" si="32"/>
        <v>2206</v>
      </c>
      <c r="M159" s="1287"/>
    </row>
    <row r="160" spans="1:13" ht="12" customHeight="1" x14ac:dyDescent="0.2">
      <c r="A160" s="2393">
        <v>4.13</v>
      </c>
      <c r="B160" s="2375" t="s">
        <v>1545</v>
      </c>
      <c r="C160" s="1542">
        <f t="shared" ref="C160:H160" si="48">SUM(C161:C164)</f>
        <v>4619</v>
      </c>
      <c r="D160" s="1485">
        <f t="shared" si="48"/>
        <v>0</v>
      </c>
      <c r="E160" s="1507">
        <f t="shared" si="48"/>
        <v>4619</v>
      </c>
      <c r="F160" s="1485">
        <f t="shared" si="48"/>
        <v>0</v>
      </c>
      <c r="G160" s="1371">
        <f t="shared" si="48"/>
        <v>4650</v>
      </c>
      <c r="H160" s="1507">
        <f t="shared" si="48"/>
        <v>0</v>
      </c>
      <c r="I160" s="1371"/>
      <c r="J160" s="1485">
        <f>SUM(J161:J164)</f>
        <v>4650</v>
      </c>
      <c r="K160" s="1485">
        <f>SUM(K161:K164)</f>
        <v>0</v>
      </c>
      <c r="L160" s="1507">
        <f>SUM(L161:L164)</f>
        <v>6618</v>
      </c>
      <c r="M160" s="1543">
        <f>SUM(M161:M164)</f>
        <v>0</v>
      </c>
    </row>
    <row r="161" spans="1:13" ht="12" customHeight="1" x14ac:dyDescent="0.2">
      <c r="A161" s="2394"/>
      <c r="B161" s="2376"/>
      <c r="C161" s="1536">
        <v>989</v>
      </c>
      <c r="D161" s="1491"/>
      <c r="E161" s="1389">
        <v>989</v>
      </c>
      <c r="F161" s="1544"/>
      <c r="G161" s="1345">
        <v>1000</v>
      </c>
      <c r="H161" s="1375"/>
      <c r="I161" s="1345">
        <v>1150</v>
      </c>
      <c r="J161" s="1376">
        <v>1000</v>
      </c>
      <c r="K161" s="1389"/>
      <c r="L161" s="1377">
        <f t="shared" si="32"/>
        <v>1423</v>
      </c>
      <c r="M161" s="1288"/>
    </row>
    <row r="162" spans="1:13" ht="12" customHeight="1" x14ac:dyDescent="0.2">
      <c r="A162" s="2394"/>
      <c r="B162" s="2376"/>
      <c r="C162" s="1518">
        <v>1452</v>
      </c>
      <c r="D162" s="1545"/>
      <c r="E162" s="1352">
        <v>1452</v>
      </c>
      <c r="F162" s="1491"/>
      <c r="G162" s="1546">
        <v>1500</v>
      </c>
      <c r="H162" s="1494"/>
      <c r="I162" s="1546">
        <v>2264</v>
      </c>
      <c r="J162" s="1386">
        <v>1500</v>
      </c>
      <c r="K162" s="1393"/>
      <c r="L162" s="1377">
        <f t="shared" si="32"/>
        <v>2135</v>
      </c>
      <c r="M162" s="1289"/>
    </row>
    <row r="163" spans="1:13" ht="12" customHeight="1" x14ac:dyDescent="0.2">
      <c r="A163" s="2394"/>
      <c r="B163" s="2376"/>
      <c r="C163" s="1518">
        <v>2178</v>
      </c>
      <c r="D163" s="1545"/>
      <c r="E163" s="1360">
        <v>2178</v>
      </c>
      <c r="F163" s="1545"/>
      <c r="G163" s="771">
        <v>2000</v>
      </c>
      <c r="H163" s="1359"/>
      <c r="I163" s="771">
        <v>2279</v>
      </c>
      <c r="J163" s="1360">
        <v>2000</v>
      </c>
      <c r="K163" s="1396"/>
      <c r="L163" s="1377">
        <f t="shared" si="32"/>
        <v>2846</v>
      </c>
      <c r="M163" s="1289"/>
    </row>
    <row r="164" spans="1:13" ht="12" customHeight="1" x14ac:dyDescent="0.2">
      <c r="A164" s="2395"/>
      <c r="B164" s="2377"/>
      <c r="C164" s="1534">
        <v>0</v>
      </c>
      <c r="D164" s="1483"/>
      <c r="E164" s="1483"/>
      <c r="F164" s="1507"/>
      <c r="G164" s="1365">
        <v>150</v>
      </c>
      <c r="H164" s="1486"/>
      <c r="I164" s="1365">
        <v>2390</v>
      </c>
      <c r="J164" s="1432">
        <v>150</v>
      </c>
      <c r="K164" s="1508"/>
      <c r="L164" s="1377">
        <f t="shared" si="32"/>
        <v>214</v>
      </c>
      <c r="M164" s="1287"/>
    </row>
    <row r="165" spans="1:13" ht="12" customHeight="1" x14ac:dyDescent="0.2">
      <c r="A165" s="2355">
        <v>4.1399999999999997</v>
      </c>
      <c r="B165" s="2375" t="s">
        <v>1902</v>
      </c>
      <c r="C165" s="1411">
        <f t="shared" ref="C165:K165" si="49">SUM(C166:C170)</f>
        <v>13340</v>
      </c>
      <c r="D165" s="1412">
        <f t="shared" si="49"/>
        <v>0</v>
      </c>
      <c r="E165" s="1412">
        <f t="shared" si="49"/>
        <v>13339.6</v>
      </c>
      <c r="F165" s="1412">
        <f t="shared" si="49"/>
        <v>0</v>
      </c>
      <c r="G165" s="1337">
        <f t="shared" si="49"/>
        <v>15985</v>
      </c>
      <c r="H165" s="1412">
        <f t="shared" si="49"/>
        <v>0</v>
      </c>
      <c r="I165" s="1337"/>
      <c r="J165" s="1412">
        <f>SUM(J166:J170)</f>
        <v>15985</v>
      </c>
      <c r="K165" s="1412">
        <f t="shared" si="49"/>
        <v>0</v>
      </c>
      <c r="L165" s="1412">
        <f>SUM(L166:L170)</f>
        <v>22748</v>
      </c>
      <c r="M165" s="1413">
        <f>SUM(M166:M170)</f>
        <v>0</v>
      </c>
    </row>
    <row r="166" spans="1:13" x14ac:dyDescent="0.2">
      <c r="A166" s="2356"/>
      <c r="B166" s="2376"/>
      <c r="C166" s="1529">
        <v>5242</v>
      </c>
      <c r="D166" s="1352"/>
      <c r="E166" s="1352">
        <v>5242</v>
      </c>
      <c r="F166" s="1376"/>
      <c r="G166" s="1547">
        <v>5250</v>
      </c>
      <c r="H166" s="1376"/>
      <c r="I166" s="1257">
        <v>1150</v>
      </c>
      <c r="J166" s="1352">
        <v>5250</v>
      </c>
      <c r="K166" s="1516"/>
      <c r="L166" s="1377">
        <f t="shared" si="32"/>
        <v>7471</v>
      </c>
      <c r="M166" s="1288"/>
    </row>
    <row r="167" spans="1:13" ht="12" customHeight="1" x14ac:dyDescent="0.2">
      <c r="A167" s="2356"/>
      <c r="B167" s="2376"/>
      <c r="C167" s="1518">
        <v>4897</v>
      </c>
      <c r="D167" s="1360"/>
      <c r="E167" s="1360">
        <v>4897</v>
      </c>
      <c r="F167" s="1360"/>
      <c r="G167" s="1454">
        <v>6100</v>
      </c>
      <c r="H167" s="1360"/>
      <c r="I167" s="411">
        <v>2264</v>
      </c>
      <c r="J167" s="1360">
        <v>6100</v>
      </c>
      <c r="K167" s="1396"/>
      <c r="L167" s="1377">
        <f t="shared" si="32"/>
        <v>8680</v>
      </c>
      <c r="M167" s="1289"/>
    </row>
    <row r="168" spans="1:13" x14ac:dyDescent="0.2">
      <c r="A168" s="2356"/>
      <c r="B168" s="2376"/>
      <c r="C168" s="1518">
        <v>0</v>
      </c>
      <c r="D168" s="1360"/>
      <c r="E168" s="1360"/>
      <c r="F168" s="1360"/>
      <c r="G168" s="1418">
        <v>60</v>
      </c>
      <c r="H168" s="1360"/>
      <c r="I168" s="411">
        <v>2269</v>
      </c>
      <c r="J168" s="1360">
        <v>60</v>
      </c>
      <c r="K168" s="1396"/>
      <c r="L168" s="1377">
        <f t="shared" ref="L168:L232" si="50">ROUNDUP(J168/0.702804,0)</f>
        <v>86</v>
      </c>
      <c r="M168" s="1289"/>
    </row>
    <row r="169" spans="1:13" x14ac:dyDescent="0.2">
      <c r="A169" s="2356"/>
      <c r="B169" s="2376"/>
      <c r="C169" s="1518">
        <v>2767</v>
      </c>
      <c r="D169" s="1360"/>
      <c r="E169" s="1360">
        <v>2766.6</v>
      </c>
      <c r="F169" s="1360"/>
      <c r="G169" s="1519">
        <v>4250</v>
      </c>
      <c r="H169" s="1360"/>
      <c r="I169" s="411">
        <v>2279</v>
      </c>
      <c r="J169" s="1360">
        <v>4250</v>
      </c>
      <c r="K169" s="1396"/>
      <c r="L169" s="1377">
        <f t="shared" si="50"/>
        <v>6048</v>
      </c>
      <c r="M169" s="1289"/>
    </row>
    <row r="170" spans="1:13" x14ac:dyDescent="0.2">
      <c r="A170" s="2357"/>
      <c r="B170" s="2377"/>
      <c r="C170" s="1534">
        <v>434</v>
      </c>
      <c r="D170" s="1367"/>
      <c r="E170" s="1367">
        <v>434</v>
      </c>
      <c r="F170" s="1367"/>
      <c r="G170" s="1522">
        <v>325</v>
      </c>
      <c r="H170" s="1367"/>
      <c r="I170" s="422">
        <v>2390</v>
      </c>
      <c r="J170" s="1367">
        <v>325</v>
      </c>
      <c r="K170" s="1409"/>
      <c r="L170" s="1377">
        <f t="shared" si="50"/>
        <v>463</v>
      </c>
      <c r="M170" s="1287"/>
    </row>
    <row r="171" spans="1:13" ht="12.75" customHeight="1" x14ac:dyDescent="0.2">
      <c r="A171" s="2355">
        <v>4.1500000000000004</v>
      </c>
      <c r="B171" s="2375" t="s">
        <v>1546</v>
      </c>
      <c r="C171" s="1411">
        <f t="shared" ref="C171:K171" si="51">SUM(C172:C177)</f>
        <v>34943</v>
      </c>
      <c r="D171" s="1412">
        <f t="shared" si="51"/>
        <v>0</v>
      </c>
      <c r="E171" s="1412">
        <f t="shared" si="51"/>
        <v>34942.83</v>
      </c>
      <c r="F171" s="1412">
        <f t="shared" si="51"/>
        <v>0</v>
      </c>
      <c r="G171" s="1337">
        <f t="shared" si="51"/>
        <v>34100</v>
      </c>
      <c r="H171" s="1412">
        <f t="shared" si="51"/>
        <v>0</v>
      </c>
      <c r="I171" s="1337"/>
      <c r="J171" s="1412">
        <f>SUM(J172:J177)</f>
        <v>33700</v>
      </c>
      <c r="K171" s="1412">
        <f t="shared" si="51"/>
        <v>0</v>
      </c>
      <c r="L171" s="1412">
        <f>SUM(L172:L177)</f>
        <v>47954</v>
      </c>
      <c r="M171" s="1413">
        <f>SUM(M172:M177)</f>
        <v>0</v>
      </c>
    </row>
    <row r="172" spans="1:13" x14ac:dyDescent="0.2">
      <c r="A172" s="2356"/>
      <c r="B172" s="2376"/>
      <c r="C172" s="1529">
        <v>8755</v>
      </c>
      <c r="D172" s="1352"/>
      <c r="E172" s="1352">
        <v>8755</v>
      </c>
      <c r="F172" s="1352"/>
      <c r="G172" s="1519">
        <v>9200</v>
      </c>
      <c r="H172" s="1352"/>
      <c r="I172" s="1257">
        <v>1150</v>
      </c>
      <c r="J172" s="1352">
        <v>8800</v>
      </c>
      <c r="K172" s="1516"/>
      <c r="L172" s="1377">
        <f t="shared" si="50"/>
        <v>12522</v>
      </c>
      <c r="M172" s="1288"/>
    </row>
    <row r="173" spans="1:13" x14ac:dyDescent="0.2">
      <c r="A173" s="2356"/>
      <c r="B173" s="2376"/>
      <c r="C173" s="1529">
        <v>0</v>
      </c>
      <c r="D173" s="1352"/>
      <c r="E173" s="1352"/>
      <c r="F173" s="1352"/>
      <c r="G173" s="1418">
        <v>0</v>
      </c>
      <c r="H173" s="1352"/>
      <c r="I173" s="1257">
        <v>2232</v>
      </c>
      <c r="J173" s="1352"/>
      <c r="K173" s="1516"/>
      <c r="L173" s="1377">
        <f t="shared" si="50"/>
        <v>0</v>
      </c>
      <c r="M173" s="1289"/>
    </row>
    <row r="174" spans="1:13" x14ac:dyDescent="0.2">
      <c r="A174" s="2356"/>
      <c r="B174" s="2376"/>
      <c r="C174" s="1518">
        <v>12554</v>
      </c>
      <c r="D174" s="1360"/>
      <c r="E174" s="1360">
        <v>12554</v>
      </c>
      <c r="F174" s="1360"/>
      <c r="G174" s="1519">
        <v>11600</v>
      </c>
      <c r="H174" s="1360"/>
      <c r="I174" s="411">
        <v>2264</v>
      </c>
      <c r="J174" s="1360">
        <v>11600</v>
      </c>
      <c r="K174" s="1396"/>
      <c r="L174" s="1377">
        <f t="shared" si="50"/>
        <v>16506</v>
      </c>
      <c r="M174" s="1289"/>
    </row>
    <row r="175" spans="1:13" x14ac:dyDescent="0.2">
      <c r="A175" s="2356"/>
      <c r="B175" s="2376"/>
      <c r="C175" s="1518">
        <v>149</v>
      </c>
      <c r="D175" s="1360"/>
      <c r="E175" s="1360">
        <v>148.83000000000001</v>
      </c>
      <c r="F175" s="1360"/>
      <c r="G175" s="1418">
        <v>150</v>
      </c>
      <c r="H175" s="1360"/>
      <c r="I175" s="411">
        <v>2269</v>
      </c>
      <c r="J175" s="1360">
        <v>150</v>
      </c>
      <c r="K175" s="1396"/>
      <c r="L175" s="1377">
        <f t="shared" si="50"/>
        <v>214</v>
      </c>
      <c r="M175" s="1289"/>
    </row>
    <row r="176" spans="1:13" x14ac:dyDescent="0.2">
      <c r="A176" s="2356"/>
      <c r="B176" s="2376"/>
      <c r="C176" s="1518">
        <v>12535</v>
      </c>
      <c r="D176" s="1360"/>
      <c r="E176" s="1360">
        <v>12535</v>
      </c>
      <c r="F176" s="1360"/>
      <c r="G176" s="1418">
        <v>13000</v>
      </c>
      <c r="H176" s="1360"/>
      <c r="I176" s="411">
        <v>2279</v>
      </c>
      <c r="J176" s="1360">
        <v>13000</v>
      </c>
      <c r="K176" s="1396"/>
      <c r="L176" s="1377">
        <f t="shared" si="50"/>
        <v>18498</v>
      </c>
      <c r="M176" s="1289"/>
    </row>
    <row r="177" spans="1:14" x14ac:dyDescent="0.2">
      <c r="A177" s="2357"/>
      <c r="B177" s="2377"/>
      <c r="C177" s="1534">
        <v>950</v>
      </c>
      <c r="D177" s="1367"/>
      <c r="E177" s="1367">
        <v>950</v>
      </c>
      <c r="F177" s="1367"/>
      <c r="G177" s="1530">
        <v>150</v>
      </c>
      <c r="H177" s="1367"/>
      <c r="I177" s="422">
        <v>2390</v>
      </c>
      <c r="J177" s="1367">
        <v>150</v>
      </c>
      <c r="K177" s="1409"/>
      <c r="L177" s="1377">
        <f t="shared" si="50"/>
        <v>214</v>
      </c>
      <c r="M177" s="1287"/>
    </row>
    <row r="178" spans="1:14" ht="12" customHeight="1" x14ac:dyDescent="0.2">
      <c r="A178" s="2355">
        <v>4.16</v>
      </c>
      <c r="B178" s="2396" t="s">
        <v>1547</v>
      </c>
      <c r="C178" s="1411">
        <f t="shared" ref="C178:K178" si="52">SUM(C179:C182)</f>
        <v>11970</v>
      </c>
      <c r="D178" s="1412">
        <f t="shared" si="52"/>
        <v>0</v>
      </c>
      <c r="E178" s="1412">
        <f t="shared" si="52"/>
        <v>11854.64</v>
      </c>
      <c r="F178" s="1412">
        <f t="shared" si="52"/>
        <v>0</v>
      </c>
      <c r="G178" s="1337">
        <f t="shared" si="52"/>
        <v>11970</v>
      </c>
      <c r="H178" s="1412">
        <f t="shared" si="52"/>
        <v>0</v>
      </c>
      <c r="I178" s="1337"/>
      <c r="J178" s="1412">
        <f>SUM(J179:J182)</f>
        <v>11970</v>
      </c>
      <c r="K178" s="1412">
        <f t="shared" si="52"/>
        <v>0</v>
      </c>
      <c r="L178" s="1412">
        <f>SUM(L179:L182)</f>
        <v>17034</v>
      </c>
      <c r="M178" s="1413">
        <f>SUM(M179:M182)</f>
        <v>0</v>
      </c>
    </row>
    <row r="179" spans="1:14" x14ac:dyDescent="0.2">
      <c r="A179" s="2356"/>
      <c r="B179" s="2397"/>
      <c r="C179" s="1529">
        <v>3317</v>
      </c>
      <c r="D179" s="1352"/>
      <c r="E179" s="1352">
        <v>3317</v>
      </c>
      <c r="F179" s="1352"/>
      <c r="G179" s="1519">
        <v>3320</v>
      </c>
      <c r="H179" s="1352"/>
      <c r="I179" s="1257">
        <v>1150</v>
      </c>
      <c r="J179" s="1352">
        <v>3320</v>
      </c>
      <c r="K179" s="1516"/>
      <c r="L179" s="1377">
        <f t="shared" si="50"/>
        <v>4724</v>
      </c>
      <c r="M179" s="1288"/>
    </row>
    <row r="180" spans="1:14" x14ac:dyDescent="0.2">
      <c r="A180" s="2356"/>
      <c r="B180" s="2397"/>
      <c r="C180" s="1518">
        <v>4641</v>
      </c>
      <c r="D180" s="1360"/>
      <c r="E180" s="1360">
        <v>4640.1099999999997</v>
      </c>
      <c r="F180" s="1360"/>
      <c r="G180" s="1418">
        <v>4300</v>
      </c>
      <c r="H180" s="1360"/>
      <c r="I180" s="411">
        <v>2264</v>
      </c>
      <c r="J180" s="1360">
        <v>4300</v>
      </c>
      <c r="K180" s="1396"/>
      <c r="L180" s="1377">
        <f t="shared" si="50"/>
        <v>6119</v>
      </c>
      <c r="M180" s="1289"/>
    </row>
    <row r="181" spans="1:14" x14ac:dyDescent="0.2">
      <c r="A181" s="2356"/>
      <c r="B181" s="2397"/>
      <c r="C181" s="1518">
        <v>3870</v>
      </c>
      <c r="D181" s="1360"/>
      <c r="E181" s="1360">
        <v>3755.53</v>
      </c>
      <c r="F181" s="1360"/>
      <c r="G181" s="1519">
        <v>4200</v>
      </c>
      <c r="H181" s="1360"/>
      <c r="I181" s="411">
        <v>2279</v>
      </c>
      <c r="J181" s="1360">
        <v>4200</v>
      </c>
      <c r="K181" s="1396"/>
      <c r="L181" s="1377">
        <f t="shared" si="50"/>
        <v>5977</v>
      </c>
      <c r="M181" s="1289"/>
    </row>
    <row r="182" spans="1:14" x14ac:dyDescent="0.2">
      <c r="A182" s="2357"/>
      <c r="B182" s="2398"/>
      <c r="C182" s="1515">
        <v>142</v>
      </c>
      <c r="D182" s="1383"/>
      <c r="E182" s="1383">
        <v>142</v>
      </c>
      <c r="F182" s="1383"/>
      <c r="G182" s="1522">
        <v>150</v>
      </c>
      <c r="H182" s="1383"/>
      <c r="I182" s="518">
        <v>2390</v>
      </c>
      <c r="J182" s="1383">
        <v>150</v>
      </c>
      <c r="K182" s="1535"/>
      <c r="L182" s="1377">
        <f t="shared" si="50"/>
        <v>214</v>
      </c>
      <c r="M182" s="1287"/>
    </row>
    <row r="183" spans="1:14" x14ac:dyDescent="0.2">
      <c r="A183" s="2355">
        <v>4.17</v>
      </c>
      <c r="B183" s="2375" t="s">
        <v>1548</v>
      </c>
      <c r="C183" s="1411">
        <f t="shared" ref="C183:K183" si="53">SUM(C184:C187)</f>
        <v>2830</v>
      </c>
      <c r="D183" s="1412">
        <f t="shared" si="53"/>
        <v>0</v>
      </c>
      <c r="E183" s="1412">
        <f t="shared" si="53"/>
        <v>2830</v>
      </c>
      <c r="F183" s="1412">
        <f t="shared" si="53"/>
        <v>0</v>
      </c>
      <c r="G183" s="1337">
        <f t="shared" si="53"/>
        <v>2691</v>
      </c>
      <c r="H183" s="1412">
        <f t="shared" si="53"/>
        <v>0</v>
      </c>
      <c r="I183" s="1337"/>
      <c r="J183" s="1412">
        <f>SUM(J184:J187)</f>
        <v>2691</v>
      </c>
      <c r="K183" s="1412">
        <f t="shared" si="53"/>
        <v>0</v>
      </c>
      <c r="L183" s="1412">
        <f>SUM(L184:L187)</f>
        <v>3831</v>
      </c>
      <c r="M183" s="1413">
        <f>SUM(M184:M187)</f>
        <v>0</v>
      </c>
    </row>
    <row r="184" spans="1:14" x14ac:dyDescent="0.2">
      <c r="A184" s="2356"/>
      <c r="B184" s="2376"/>
      <c r="C184" s="1537">
        <v>1260</v>
      </c>
      <c r="D184" s="1352"/>
      <c r="E184" s="1352">
        <v>1260</v>
      </c>
      <c r="F184" s="1352"/>
      <c r="G184" s="1548">
        <v>1336</v>
      </c>
      <c r="H184" s="1352"/>
      <c r="I184" s="1257">
        <v>1150</v>
      </c>
      <c r="J184" s="1352">
        <v>1336</v>
      </c>
      <c r="K184" s="1516"/>
      <c r="L184" s="1377">
        <f t="shared" si="50"/>
        <v>1901</v>
      </c>
      <c r="M184" s="1288"/>
    </row>
    <row r="185" spans="1:14" x14ac:dyDescent="0.2">
      <c r="A185" s="2356"/>
      <c r="B185" s="2376"/>
      <c r="C185" s="1537">
        <v>700</v>
      </c>
      <c r="D185" s="1352"/>
      <c r="E185" s="1352">
        <v>700</v>
      </c>
      <c r="F185" s="1352"/>
      <c r="G185" s="1454">
        <v>700</v>
      </c>
      <c r="H185" s="1352"/>
      <c r="I185" s="1257">
        <v>2231</v>
      </c>
      <c r="J185" s="1352">
        <v>700</v>
      </c>
      <c r="K185" s="1516"/>
      <c r="L185" s="1377">
        <f t="shared" si="50"/>
        <v>997</v>
      </c>
      <c r="M185" s="1289"/>
    </row>
    <row r="186" spans="1:14" x14ac:dyDescent="0.2">
      <c r="A186" s="2356"/>
      <c r="B186" s="2376"/>
      <c r="C186" s="1549">
        <v>470</v>
      </c>
      <c r="D186" s="1386"/>
      <c r="E186" s="1386">
        <v>470</v>
      </c>
      <c r="F186" s="1386"/>
      <c r="G186" s="1550">
        <v>255</v>
      </c>
      <c r="H186" s="1386"/>
      <c r="I186" s="411">
        <v>2390</v>
      </c>
      <c r="J186" s="1360">
        <v>255</v>
      </c>
      <c r="K186" s="1396"/>
      <c r="L186" s="1377">
        <f t="shared" si="50"/>
        <v>363</v>
      </c>
      <c r="M186" s="1289"/>
    </row>
    <row r="187" spans="1:14" x14ac:dyDescent="0.2">
      <c r="A187" s="2357"/>
      <c r="B187" s="2377"/>
      <c r="C187" s="1551">
        <v>400</v>
      </c>
      <c r="D187" s="1367"/>
      <c r="E187" s="1367">
        <v>400</v>
      </c>
      <c r="F187" s="1367"/>
      <c r="G187" s="1552">
        <v>400</v>
      </c>
      <c r="H187" s="1367"/>
      <c r="I187" s="422">
        <v>6422</v>
      </c>
      <c r="J187" s="1367">
        <v>400</v>
      </c>
      <c r="K187" s="1409"/>
      <c r="L187" s="1377">
        <f t="shared" si="50"/>
        <v>570</v>
      </c>
      <c r="M187" s="1287"/>
    </row>
    <row r="188" spans="1:14" ht="12.75" customHeight="1" x14ac:dyDescent="0.2">
      <c r="A188" s="2355">
        <v>4.18</v>
      </c>
      <c r="B188" s="2375" t="s">
        <v>1549</v>
      </c>
      <c r="C188" s="1531">
        <f>SUM(C189:C190)</f>
        <v>280</v>
      </c>
      <c r="D188" s="1412">
        <f t="shared" ref="D188:K188" si="54">SUM(D189:D190)</f>
        <v>0</v>
      </c>
      <c r="E188" s="1412">
        <f t="shared" si="54"/>
        <v>280</v>
      </c>
      <c r="F188" s="1412">
        <f t="shared" si="54"/>
        <v>0</v>
      </c>
      <c r="G188" s="1337">
        <f t="shared" si="54"/>
        <v>460</v>
      </c>
      <c r="H188" s="1412">
        <f t="shared" si="54"/>
        <v>0</v>
      </c>
      <c r="I188" s="1337"/>
      <c r="J188" s="1412">
        <f>SUM(J189:J190)</f>
        <v>460</v>
      </c>
      <c r="K188" s="1412">
        <f t="shared" si="54"/>
        <v>0</v>
      </c>
      <c r="L188" s="1412">
        <f>SUM(L189:L190)</f>
        <v>656</v>
      </c>
      <c r="M188" s="1413">
        <f>SUM(M189:M190)</f>
        <v>0</v>
      </c>
      <c r="N188" s="225"/>
    </row>
    <row r="189" spans="1:14" ht="12.75" customHeight="1" x14ac:dyDescent="0.2">
      <c r="A189" s="2356"/>
      <c r="B189" s="2376"/>
      <c r="C189" s="1463">
        <v>155</v>
      </c>
      <c r="D189" s="999"/>
      <c r="E189" s="999">
        <v>155</v>
      </c>
      <c r="F189" s="999"/>
      <c r="G189" s="1428">
        <v>360</v>
      </c>
      <c r="H189" s="999"/>
      <c r="I189" s="1454">
        <v>1150</v>
      </c>
      <c r="J189" s="999">
        <v>360</v>
      </c>
      <c r="K189" s="999"/>
      <c r="L189" s="1377">
        <f t="shared" si="50"/>
        <v>513</v>
      </c>
      <c r="M189" s="1288"/>
      <c r="N189" s="225"/>
    </row>
    <row r="190" spans="1:14" x14ac:dyDescent="0.2">
      <c r="A190" s="2356"/>
      <c r="B190" s="2376"/>
      <c r="C190" s="1534">
        <v>125</v>
      </c>
      <c r="D190" s="1367"/>
      <c r="E190" s="1367">
        <v>125</v>
      </c>
      <c r="F190" s="1367"/>
      <c r="G190" s="1522">
        <v>100</v>
      </c>
      <c r="H190" s="1410"/>
      <c r="I190" s="422">
        <v>2390</v>
      </c>
      <c r="J190" s="1410">
        <v>100</v>
      </c>
      <c r="K190" s="1410"/>
      <c r="L190" s="1377">
        <f t="shared" si="50"/>
        <v>143</v>
      </c>
      <c r="M190" s="1287"/>
      <c r="N190" s="225"/>
    </row>
    <row r="191" spans="1:14" ht="12.75" customHeight="1" x14ac:dyDescent="0.2">
      <c r="A191" s="2355">
        <v>4.1900000000000004</v>
      </c>
      <c r="B191" s="2375" t="s">
        <v>1550</v>
      </c>
      <c r="C191" s="1553">
        <f t="shared" ref="C191:K191" si="55">SUM(C192:C193)</f>
        <v>300</v>
      </c>
      <c r="D191" s="1412">
        <f t="shared" si="55"/>
        <v>0</v>
      </c>
      <c r="E191" s="1412">
        <f t="shared" si="55"/>
        <v>300</v>
      </c>
      <c r="F191" s="1412">
        <f t="shared" si="55"/>
        <v>0</v>
      </c>
      <c r="G191" s="1337">
        <f t="shared" si="55"/>
        <v>400</v>
      </c>
      <c r="H191" s="1412">
        <f t="shared" si="55"/>
        <v>0</v>
      </c>
      <c r="I191" s="1337"/>
      <c r="J191" s="1412">
        <f>SUM(J192:J193)</f>
        <v>400</v>
      </c>
      <c r="K191" s="1412">
        <f t="shared" si="55"/>
        <v>0</v>
      </c>
      <c r="L191" s="1412">
        <f>SUM(L192:L193)</f>
        <v>570</v>
      </c>
      <c r="M191" s="1413">
        <f>SUM(M192:M193)</f>
        <v>0</v>
      </c>
    </row>
    <row r="192" spans="1:14" x14ac:dyDescent="0.2">
      <c r="A192" s="2356"/>
      <c r="B192" s="2376"/>
      <c r="C192" s="1509">
        <v>200</v>
      </c>
      <c r="D192" s="1376"/>
      <c r="E192" s="1376">
        <v>200</v>
      </c>
      <c r="F192" s="1376"/>
      <c r="G192" s="1428">
        <v>300</v>
      </c>
      <c r="H192" s="1390"/>
      <c r="I192" s="1428">
        <v>1150</v>
      </c>
      <c r="J192" s="1376">
        <v>300</v>
      </c>
      <c r="K192" s="1389"/>
      <c r="L192" s="1377">
        <f t="shared" si="50"/>
        <v>427</v>
      </c>
      <c r="M192" s="1288"/>
    </row>
    <row r="193" spans="1:13" x14ac:dyDescent="0.2">
      <c r="A193" s="2357"/>
      <c r="B193" s="2377"/>
      <c r="C193" s="1523">
        <v>100</v>
      </c>
      <c r="D193" s="1432"/>
      <c r="E193" s="1432">
        <v>100</v>
      </c>
      <c r="F193" s="1432"/>
      <c r="G193" s="1433">
        <v>100</v>
      </c>
      <c r="H193" s="1410"/>
      <c r="I193" s="1433">
        <v>2390</v>
      </c>
      <c r="J193" s="1432">
        <v>100</v>
      </c>
      <c r="K193" s="1409"/>
      <c r="L193" s="1377">
        <f t="shared" si="50"/>
        <v>143</v>
      </c>
      <c r="M193" s="1287"/>
    </row>
    <row r="194" spans="1:13" ht="12.75" customHeight="1" x14ac:dyDescent="0.2">
      <c r="A194" s="2402">
        <v>4.2</v>
      </c>
      <c r="B194" s="2396" t="s">
        <v>1551</v>
      </c>
      <c r="C194" s="1554">
        <f t="shared" ref="C194:L194" si="56">SUM(C195:C200)</f>
        <v>1280</v>
      </c>
      <c r="D194" s="1555">
        <f t="shared" si="56"/>
        <v>0</v>
      </c>
      <c r="E194" s="1555">
        <f t="shared" si="56"/>
        <v>1277.06</v>
      </c>
      <c r="F194" s="1555">
        <f t="shared" si="56"/>
        <v>0</v>
      </c>
      <c r="G194" s="1512">
        <f t="shared" si="56"/>
        <v>1765</v>
      </c>
      <c r="H194" s="1555">
        <f t="shared" si="56"/>
        <v>0</v>
      </c>
      <c r="I194" s="1512"/>
      <c r="J194" s="1555">
        <f t="shared" si="56"/>
        <v>1765</v>
      </c>
      <c r="K194" s="1555">
        <f t="shared" si="56"/>
        <v>0</v>
      </c>
      <c r="L194" s="1555">
        <f t="shared" si="56"/>
        <v>2516</v>
      </c>
      <c r="M194" s="1556">
        <f>SUM(M195:M200)</f>
        <v>0</v>
      </c>
    </row>
    <row r="195" spans="1:13" ht="12.75" customHeight="1" x14ac:dyDescent="0.2">
      <c r="A195" s="2403"/>
      <c r="B195" s="2397"/>
      <c r="C195" s="1509">
        <v>800</v>
      </c>
      <c r="D195" s="1376"/>
      <c r="E195" s="1376">
        <v>800</v>
      </c>
      <c r="F195" s="1376"/>
      <c r="G195" s="1428">
        <v>800</v>
      </c>
      <c r="H195" s="1390"/>
      <c r="I195" s="1428">
        <v>1150</v>
      </c>
      <c r="J195" s="1376">
        <v>800</v>
      </c>
      <c r="K195" s="1389"/>
      <c r="L195" s="1377">
        <f t="shared" si="50"/>
        <v>1139</v>
      </c>
      <c r="M195" s="1288"/>
    </row>
    <row r="196" spans="1:13" ht="12" customHeight="1" x14ac:dyDescent="0.2">
      <c r="A196" s="2403"/>
      <c r="B196" s="2397"/>
      <c r="C196" s="1518">
        <v>0</v>
      </c>
      <c r="D196" s="1360"/>
      <c r="E196" s="1360">
        <v>0</v>
      </c>
      <c r="F196" s="1360"/>
      <c r="G196" s="411">
        <v>60</v>
      </c>
      <c r="H196" s="999"/>
      <c r="I196" s="411">
        <v>2262</v>
      </c>
      <c r="J196" s="1360">
        <v>60</v>
      </c>
      <c r="K196" s="1396"/>
      <c r="L196" s="1377">
        <f t="shared" si="50"/>
        <v>86</v>
      </c>
      <c r="M196" s="1289"/>
    </row>
    <row r="197" spans="1:13" ht="12" customHeight="1" x14ac:dyDescent="0.2">
      <c r="A197" s="2403"/>
      <c r="B197" s="2397"/>
      <c r="C197" s="1518">
        <v>52</v>
      </c>
      <c r="D197" s="1360"/>
      <c r="E197" s="1360">
        <v>51.03</v>
      </c>
      <c r="F197" s="1360"/>
      <c r="G197" s="411">
        <v>55</v>
      </c>
      <c r="H197" s="1396"/>
      <c r="I197" s="411">
        <v>2269</v>
      </c>
      <c r="J197" s="1360">
        <v>55</v>
      </c>
      <c r="K197" s="1396"/>
      <c r="L197" s="1377">
        <f t="shared" si="50"/>
        <v>79</v>
      </c>
      <c r="M197" s="1289"/>
    </row>
    <row r="198" spans="1:13" ht="12" customHeight="1" x14ac:dyDescent="0.2">
      <c r="A198" s="2403"/>
      <c r="B198" s="2397"/>
      <c r="C198" s="1518">
        <v>287</v>
      </c>
      <c r="D198" s="1360"/>
      <c r="E198" s="1360">
        <v>285.02999999999997</v>
      </c>
      <c r="F198" s="1360"/>
      <c r="G198" s="411">
        <v>700</v>
      </c>
      <c r="H198" s="1470"/>
      <c r="I198" s="411">
        <v>2264</v>
      </c>
      <c r="J198" s="1360">
        <v>700</v>
      </c>
      <c r="K198" s="1396"/>
      <c r="L198" s="1377">
        <f t="shared" si="50"/>
        <v>997</v>
      </c>
      <c r="M198" s="1289"/>
    </row>
    <row r="199" spans="1:13" ht="12" customHeight="1" x14ac:dyDescent="0.2">
      <c r="A199" s="2403"/>
      <c r="B199" s="2397"/>
      <c r="C199" s="1518">
        <v>91</v>
      </c>
      <c r="D199" s="1360"/>
      <c r="E199" s="1360">
        <v>91</v>
      </c>
      <c r="F199" s="1360"/>
      <c r="G199" s="411">
        <v>100</v>
      </c>
      <c r="H199" s="999"/>
      <c r="I199" s="411">
        <v>2279</v>
      </c>
      <c r="J199" s="1360">
        <v>100</v>
      </c>
      <c r="K199" s="1396"/>
      <c r="L199" s="1377">
        <f t="shared" si="50"/>
        <v>143</v>
      </c>
      <c r="M199" s="1289"/>
    </row>
    <row r="200" spans="1:13" ht="12.75" customHeight="1" x14ac:dyDescent="0.2">
      <c r="A200" s="2404"/>
      <c r="B200" s="2398"/>
      <c r="C200" s="1523">
        <v>50</v>
      </c>
      <c r="D200" s="1432"/>
      <c r="E200" s="1432">
        <v>50</v>
      </c>
      <c r="F200" s="1432"/>
      <c r="G200" s="1433">
        <v>50</v>
      </c>
      <c r="H200" s="1410"/>
      <c r="I200" s="1433">
        <v>2390</v>
      </c>
      <c r="J200" s="1432">
        <v>50</v>
      </c>
      <c r="K200" s="1508"/>
      <c r="L200" s="1377">
        <f t="shared" si="50"/>
        <v>72</v>
      </c>
      <c r="M200" s="1287"/>
    </row>
    <row r="201" spans="1:13" ht="12.75" customHeight="1" x14ac:dyDescent="0.2">
      <c r="A201" s="2355">
        <v>4.21</v>
      </c>
      <c r="B201" s="2396" t="s">
        <v>1552</v>
      </c>
      <c r="C201" s="1557">
        <f>SUM(C202:C204)</f>
        <v>5565</v>
      </c>
      <c r="D201" s="1558">
        <f t="shared" ref="D201:K201" si="57">SUM(D202:D204)</f>
        <v>0</v>
      </c>
      <c r="E201" s="1558">
        <f t="shared" si="57"/>
        <v>4012.3599999999997</v>
      </c>
      <c r="F201" s="1558">
        <f t="shared" si="57"/>
        <v>0</v>
      </c>
      <c r="G201" s="1337">
        <f t="shared" si="57"/>
        <v>5565</v>
      </c>
      <c r="H201" s="1558">
        <f t="shared" si="57"/>
        <v>0</v>
      </c>
      <c r="I201" s="1337"/>
      <c r="J201" s="1558">
        <f>SUM(J202:J204)</f>
        <v>5565</v>
      </c>
      <c r="K201" s="1558">
        <f t="shared" si="57"/>
        <v>0</v>
      </c>
      <c r="L201" s="1558">
        <f>SUM(L202:L204)</f>
        <v>7920</v>
      </c>
      <c r="M201" s="1559">
        <f>SUM(M202:M204)</f>
        <v>0</v>
      </c>
    </row>
    <row r="202" spans="1:13" x14ac:dyDescent="0.2">
      <c r="A202" s="2356"/>
      <c r="B202" s="2397"/>
      <c r="C202" s="1560">
        <v>3475</v>
      </c>
      <c r="D202" s="1561"/>
      <c r="E202" s="1474">
        <v>2013.6</v>
      </c>
      <c r="F202" s="1561"/>
      <c r="G202" s="1428">
        <v>4000</v>
      </c>
      <c r="H202" s="1474"/>
      <c r="I202" s="1428">
        <v>1150</v>
      </c>
      <c r="J202" s="1474">
        <v>4000</v>
      </c>
      <c r="K202" s="1390"/>
      <c r="L202" s="1377">
        <f t="shared" si="50"/>
        <v>5692</v>
      </c>
      <c r="M202" s="1288"/>
    </row>
    <row r="203" spans="1:13" ht="12.75" customHeight="1" x14ac:dyDescent="0.2">
      <c r="A203" s="2356"/>
      <c r="B203" s="2397"/>
      <c r="C203" s="1562">
        <v>1670</v>
      </c>
      <c r="D203" s="1335"/>
      <c r="E203" s="1563">
        <v>1670</v>
      </c>
      <c r="F203" s="1335"/>
      <c r="G203" s="1521">
        <v>1065</v>
      </c>
      <c r="H203" s="1335"/>
      <c r="I203" s="1521">
        <v>2264</v>
      </c>
      <c r="J203" s="1563">
        <v>1065</v>
      </c>
      <c r="K203" s="1470"/>
      <c r="L203" s="1377">
        <f t="shared" si="50"/>
        <v>1516</v>
      </c>
      <c r="M203" s="1289"/>
    </row>
    <row r="204" spans="1:13" ht="12.75" customHeight="1" x14ac:dyDescent="0.2">
      <c r="A204" s="2357"/>
      <c r="B204" s="2397"/>
      <c r="C204" s="1564">
        <v>420</v>
      </c>
      <c r="D204" s="224"/>
      <c r="E204" s="224">
        <v>328.76</v>
      </c>
      <c r="F204" s="224"/>
      <c r="G204" s="411">
        <v>500</v>
      </c>
      <c r="H204" s="999"/>
      <c r="I204" s="411">
        <v>2390</v>
      </c>
      <c r="J204" s="224">
        <v>500</v>
      </c>
      <c r="K204" s="999"/>
      <c r="L204" s="1377">
        <f t="shared" si="50"/>
        <v>712</v>
      </c>
      <c r="M204" s="1287"/>
    </row>
    <row r="205" spans="1:13" ht="12.75" customHeight="1" x14ac:dyDescent="0.2">
      <c r="A205" s="2399">
        <v>4.22</v>
      </c>
      <c r="B205" s="2375" t="s">
        <v>1553</v>
      </c>
      <c r="C205" s="1411">
        <f t="shared" ref="C205:K205" si="58">SUM(C206:C210)</f>
        <v>1438</v>
      </c>
      <c r="D205" s="1412">
        <f t="shared" si="58"/>
        <v>0</v>
      </c>
      <c r="E205" s="1412">
        <f t="shared" si="58"/>
        <v>1379.77</v>
      </c>
      <c r="F205" s="1412">
        <f t="shared" si="58"/>
        <v>0</v>
      </c>
      <c r="G205" s="1337">
        <f t="shared" si="58"/>
        <v>2385</v>
      </c>
      <c r="H205" s="1412">
        <f t="shared" si="58"/>
        <v>0</v>
      </c>
      <c r="I205" s="1337"/>
      <c r="J205" s="1412">
        <f>SUM(J206:J210)</f>
        <v>2385</v>
      </c>
      <c r="K205" s="1412">
        <f t="shared" si="58"/>
        <v>0</v>
      </c>
      <c r="L205" s="1412">
        <f>SUM(L206:L210)</f>
        <v>3395</v>
      </c>
      <c r="M205" s="1413">
        <f>SUM(M206:M210)</f>
        <v>0</v>
      </c>
    </row>
    <row r="206" spans="1:13" ht="12.75" customHeight="1" x14ac:dyDescent="0.2">
      <c r="A206" s="2400"/>
      <c r="B206" s="2376"/>
      <c r="C206" s="1509">
        <v>0</v>
      </c>
      <c r="D206" s="1352"/>
      <c r="E206" s="1376"/>
      <c r="F206" s="1352"/>
      <c r="G206" s="1257">
        <v>1000</v>
      </c>
      <c r="H206" s="1352"/>
      <c r="I206" s="1257">
        <v>1150</v>
      </c>
      <c r="J206" s="1352">
        <v>1000</v>
      </c>
      <c r="K206" s="1516"/>
      <c r="L206" s="1377">
        <f t="shared" si="50"/>
        <v>1423</v>
      </c>
      <c r="M206" s="1288"/>
    </row>
    <row r="207" spans="1:13" x14ac:dyDescent="0.2">
      <c r="A207" s="2400"/>
      <c r="B207" s="2376"/>
      <c r="C207" s="1518">
        <v>83</v>
      </c>
      <c r="D207" s="1360"/>
      <c r="E207" s="1360">
        <v>83</v>
      </c>
      <c r="F207" s="1360"/>
      <c r="G207" s="411">
        <v>85</v>
      </c>
      <c r="H207" s="1360"/>
      <c r="I207" s="411">
        <v>2262</v>
      </c>
      <c r="J207" s="1360">
        <v>85</v>
      </c>
      <c r="K207" s="1396"/>
      <c r="L207" s="1377">
        <f t="shared" si="50"/>
        <v>121</v>
      </c>
      <c r="M207" s="1289"/>
    </row>
    <row r="208" spans="1:13" x14ac:dyDescent="0.2">
      <c r="A208" s="2400"/>
      <c r="B208" s="2376"/>
      <c r="C208" s="1518">
        <v>206</v>
      </c>
      <c r="D208" s="1360"/>
      <c r="E208" s="1360">
        <v>205.52</v>
      </c>
      <c r="F208" s="1360"/>
      <c r="G208" s="411">
        <v>950</v>
      </c>
      <c r="H208" s="1360"/>
      <c r="I208" s="411">
        <v>2264</v>
      </c>
      <c r="J208" s="1360">
        <v>950</v>
      </c>
      <c r="K208" s="1396"/>
      <c r="L208" s="1377">
        <f t="shared" si="50"/>
        <v>1352</v>
      </c>
      <c r="M208" s="1289"/>
    </row>
    <row r="209" spans="1:13" ht="12.75" customHeight="1" x14ac:dyDescent="0.2">
      <c r="A209" s="2400"/>
      <c r="B209" s="2376"/>
      <c r="C209" s="1518">
        <v>863</v>
      </c>
      <c r="D209" s="1360"/>
      <c r="E209" s="1360">
        <v>805.25</v>
      </c>
      <c r="F209" s="1360"/>
      <c r="G209" s="411">
        <v>150</v>
      </c>
      <c r="H209" s="1360"/>
      <c r="I209" s="411">
        <v>2279</v>
      </c>
      <c r="J209" s="1360">
        <v>150</v>
      </c>
      <c r="K209" s="1396"/>
      <c r="L209" s="1377">
        <f t="shared" si="50"/>
        <v>214</v>
      </c>
      <c r="M209" s="1289"/>
    </row>
    <row r="210" spans="1:13" ht="12.75" customHeight="1" x14ac:dyDescent="0.2">
      <c r="A210" s="2401"/>
      <c r="B210" s="2377"/>
      <c r="C210" s="1523">
        <v>286</v>
      </c>
      <c r="D210" s="1432"/>
      <c r="E210" s="1432">
        <v>286</v>
      </c>
      <c r="F210" s="1432"/>
      <c r="G210" s="1433">
        <v>200</v>
      </c>
      <c r="H210" s="1432"/>
      <c r="I210" s="1433">
        <v>2390</v>
      </c>
      <c r="J210" s="1432">
        <v>200</v>
      </c>
      <c r="K210" s="1508"/>
      <c r="L210" s="1377">
        <f t="shared" si="50"/>
        <v>285</v>
      </c>
      <c r="M210" s="1287"/>
    </row>
    <row r="211" spans="1:13" x14ac:dyDescent="0.2">
      <c r="A211" s="2355">
        <v>4.2300000000000004</v>
      </c>
      <c r="B211" s="2375" t="s">
        <v>1554</v>
      </c>
      <c r="C211" s="1411">
        <f t="shared" ref="C211:H211" si="59">SUM(C212:C213)</f>
        <v>180</v>
      </c>
      <c r="D211" s="1412">
        <f t="shared" si="59"/>
        <v>0</v>
      </c>
      <c r="E211" s="1412">
        <f t="shared" si="59"/>
        <v>180</v>
      </c>
      <c r="F211" s="1412">
        <f t="shared" si="59"/>
        <v>0</v>
      </c>
      <c r="G211" s="1337">
        <f t="shared" si="59"/>
        <v>530</v>
      </c>
      <c r="H211" s="1412">
        <f t="shared" si="59"/>
        <v>0</v>
      </c>
      <c r="I211" s="1337"/>
      <c r="J211" s="1412">
        <f>SUM(J212:J213)</f>
        <v>530</v>
      </c>
      <c r="K211" s="1412">
        <f>SUM(K212:K213)</f>
        <v>0</v>
      </c>
      <c r="L211" s="1412">
        <f>SUM(L212:L213)</f>
        <v>755</v>
      </c>
      <c r="M211" s="1413">
        <f>SUM(M212:M213)</f>
        <v>0</v>
      </c>
    </row>
    <row r="212" spans="1:13" x14ac:dyDescent="0.2">
      <c r="A212" s="2356"/>
      <c r="B212" s="2376"/>
      <c r="C212" s="1509">
        <v>80</v>
      </c>
      <c r="D212" s="1376"/>
      <c r="E212" s="1376">
        <v>80</v>
      </c>
      <c r="F212" s="1376"/>
      <c r="G212" s="1451">
        <v>240</v>
      </c>
      <c r="H212" s="1376"/>
      <c r="I212" s="1428">
        <v>1150</v>
      </c>
      <c r="J212" s="1376">
        <v>240</v>
      </c>
      <c r="K212" s="1516"/>
      <c r="L212" s="1377">
        <f t="shared" si="50"/>
        <v>342</v>
      </c>
      <c r="M212" s="1288"/>
    </row>
    <row r="213" spans="1:13" x14ac:dyDescent="0.2">
      <c r="A213" s="2357"/>
      <c r="B213" s="2377"/>
      <c r="C213" s="1523">
        <v>100</v>
      </c>
      <c r="D213" s="1432"/>
      <c r="E213" s="1432">
        <v>100</v>
      </c>
      <c r="F213" s="1432"/>
      <c r="G213" s="1552">
        <v>290</v>
      </c>
      <c r="H213" s="1432"/>
      <c r="I213" s="1433">
        <v>2390</v>
      </c>
      <c r="J213" s="1432">
        <v>290</v>
      </c>
      <c r="K213" s="1508"/>
      <c r="L213" s="1377">
        <f t="shared" si="50"/>
        <v>413</v>
      </c>
      <c r="M213" s="1287"/>
    </row>
    <row r="214" spans="1:13" ht="12.75" customHeight="1" x14ac:dyDescent="0.2">
      <c r="A214" s="2393">
        <v>4.24</v>
      </c>
      <c r="B214" s="2375" t="s">
        <v>1556</v>
      </c>
      <c r="C214" s="1411">
        <f t="shared" ref="C214:H214" si="60">SUM(C215:C217)</f>
        <v>440</v>
      </c>
      <c r="D214" s="1412">
        <f t="shared" si="60"/>
        <v>0</v>
      </c>
      <c r="E214" s="1412">
        <f t="shared" si="60"/>
        <v>440</v>
      </c>
      <c r="F214" s="1412">
        <f t="shared" si="60"/>
        <v>0</v>
      </c>
      <c r="G214" s="1337">
        <f t="shared" si="60"/>
        <v>440</v>
      </c>
      <c r="H214" s="1412">
        <f t="shared" si="60"/>
        <v>0</v>
      </c>
      <c r="I214" s="1337"/>
      <c r="J214" s="1412">
        <f>SUM(J215:J217)</f>
        <v>440</v>
      </c>
      <c r="K214" s="1412">
        <f>SUM(K215:K217)</f>
        <v>0</v>
      </c>
      <c r="L214" s="1412">
        <f>SUM(L215:L217)</f>
        <v>627</v>
      </c>
      <c r="M214" s="1413">
        <f>SUM(M215:M217)</f>
        <v>0</v>
      </c>
    </row>
    <row r="215" spans="1:13" ht="12.75" customHeight="1" x14ac:dyDescent="0.2">
      <c r="A215" s="2394"/>
      <c r="B215" s="2376"/>
      <c r="C215" s="1472">
        <v>300</v>
      </c>
      <c r="D215" s="1389"/>
      <c r="E215" s="1470">
        <v>300</v>
      </c>
      <c r="F215" s="1389"/>
      <c r="G215" s="1473">
        <v>300</v>
      </c>
      <c r="H215" s="1360"/>
      <c r="I215" s="1473">
        <v>1150</v>
      </c>
      <c r="J215" s="1352">
        <v>300</v>
      </c>
      <c r="K215" s="1516"/>
      <c r="L215" s="1377">
        <f t="shared" si="50"/>
        <v>427</v>
      </c>
      <c r="M215" s="1288"/>
    </row>
    <row r="216" spans="1:13" ht="12.75" customHeight="1" x14ac:dyDescent="0.2">
      <c r="A216" s="2394"/>
      <c r="B216" s="2376"/>
      <c r="C216" s="938">
        <v>100</v>
      </c>
      <c r="D216" s="1352"/>
      <c r="E216" s="999">
        <v>100</v>
      </c>
      <c r="F216" s="1352"/>
      <c r="G216" s="1418">
        <v>100</v>
      </c>
      <c r="H216" s="1360"/>
      <c r="I216" s="1257">
        <v>2231</v>
      </c>
      <c r="J216" s="1352">
        <v>100</v>
      </c>
      <c r="K216" s="1516"/>
      <c r="L216" s="1377">
        <f t="shared" si="50"/>
        <v>143</v>
      </c>
      <c r="M216" s="1289"/>
    </row>
    <row r="217" spans="1:13" ht="12.75" customHeight="1" x14ac:dyDescent="0.2">
      <c r="A217" s="2395"/>
      <c r="B217" s="2377"/>
      <c r="C217" s="1565">
        <v>40</v>
      </c>
      <c r="D217" s="1367"/>
      <c r="E217" s="1367">
        <v>40</v>
      </c>
      <c r="F217" s="1367"/>
      <c r="G217" s="1522">
        <v>40</v>
      </c>
      <c r="H217" s="1367"/>
      <c r="I217" s="422">
        <v>2390</v>
      </c>
      <c r="J217" s="1367">
        <v>40</v>
      </c>
      <c r="K217" s="1409"/>
      <c r="L217" s="1377">
        <f t="shared" si="50"/>
        <v>57</v>
      </c>
      <c r="M217" s="1287"/>
    </row>
    <row r="218" spans="1:13" x14ac:dyDescent="0.2">
      <c r="A218" s="2393">
        <v>4.25</v>
      </c>
      <c r="B218" s="2396" t="s">
        <v>1557</v>
      </c>
      <c r="C218" s="1411">
        <f t="shared" ref="C218:H218" si="61">SUM(C219:C221)</f>
        <v>860</v>
      </c>
      <c r="D218" s="1412">
        <f t="shared" si="61"/>
        <v>0</v>
      </c>
      <c r="E218" s="1412">
        <f t="shared" si="61"/>
        <v>576.78</v>
      </c>
      <c r="F218" s="1412">
        <f t="shared" si="61"/>
        <v>0</v>
      </c>
      <c r="G218" s="1337">
        <f t="shared" si="61"/>
        <v>4160</v>
      </c>
      <c r="H218" s="1412">
        <f t="shared" si="61"/>
        <v>0</v>
      </c>
      <c r="I218" s="1337"/>
      <c r="J218" s="1412">
        <f>SUM(J219:J221)</f>
        <v>4160</v>
      </c>
      <c r="K218" s="1412">
        <f>SUM(K219:K221)</f>
        <v>0</v>
      </c>
      <c r="L218" s="1412">
        <f>SUM(L219:L221)</f>
        <v>5921</v>
      </c>
      <c r="M218" s="1413">
        <f>SUM(M219:M221)</f>
        <v>0</v>
      </c>
    </row>
    <row r="219" spans="1:13" x14ac:dyDescent="0.2">
      <c r="A219" s="2394"/>
      <c r="B219" s="2397"/>
      <c r="C219" s="1518">
        <v>250</v>
      </c>
      <c r="D219" s="1360"/>
      <c r="E219" s="1360"/>
      <c r="F219" s="1360"/>
      <c r="G219" s="1418">
        <v>1300</v>
      </c>
      <c r="H219" s="1360"/>
      <c r="I219" s="411">
        <v>1150</v>
      </c>
      <c r="J219" s="1360">
        <v>1300</v>
      </c>
      <c r="K219" s="1396"/>
      <c r="L219" s="1377">
        <f t="shared" si="50"/>
        <v>1850</v>
      </c>
      <c r="M219" s="1288"/>
    </row>
    <row r="220" spans="1:13" x14ac:dyDescent="0.2">
      <c r="A220" s="2394"/>
      <c r="B220" s="2397"/>
      <c r="C220" s="1518">
        <v>360</v>
      </c>
      <c r="D220" s="1383"/>
      <c r="E220" s="1360">
        <v>348.6</v>
      </c>
      <c r="F220" s="1383"/>
      <c r="G220" s="1519">
        <v>360</v>
      </c>
      <c r="H220" s="1360"/>
      <c r="I220" s="518">
        <v>2262</v>
      </c>
      <c r="J220" s="1383">
        <v>360</v>
      </c>
      <c r="K220" s="1535"/>
      <c r="L220" s="1377">
        <f t="shared" si="50"/>
        <v>513</v>
      </c>
      <c r="M220" s="1289"/>
    </row>
    <row r="221" spans="1:13" x14ac:dyDescent="0.2">
      <c r="A221" s="2395"/>
      <c r="B221" s="2398"/>
      <c r="C221" s="1515">
        <v>250</v>
      </c>
      <c r="D221" s="1383"/>
      <c r="E221" s="1383">
        <v>228.18</v>
      </c>
      <c r="F221" s="1383"/>
      <c r="G221" s="1522">
        <v>2500</v>
      </c>
      <c r="H221" s="1360"/>
      <c r="I221" s="518">
        <v>2390</v>
      </c>
      <c r="J221" s="1383">
        <v>2500</v>
      </c>
      <c r="K221" s="1535"/>
      <c r="L221" s="1377">
        <f t="shared" si="50"/>
        <v>3558</v>
      </c>
      <c r="M221" s="1287"/>
    </row>
    <row r="222" spans="1:13" ht="12.75" customHeight="1" x14ac:dyDescent="0.2">
      <c r="A222" s="2393">
        <v>4.26</v>
      </c>
      <c r="B222" s="2396" t="s">
        <v>1981</v>
      </c>
      <c r="C222" s="1411">
        <f t="shared" ref="C222:K222" si="62">SUM(C223:C229)</f>
        <v>3054</v>
      </c>
      <c r="D222" s="1412">
        <f t="shared" si="62"/>
        <v>950</v>
      </c>
      <c r="E222" s="1412">
        <f t="shared" si="62"/>
        <v>1174.72</v>
      </c>
      <c r="F222" s="1412">
        <f t="shared" si="62"/>
        <v>0</v>
      </c>
      <c r="G222" s="1337">
        <f t="shared" si="62"/>
        <v>6084</v>
      </c>
      <c r="H222" s="1412">
        <f t="shared" si="62"/>
        <v>950</v>
      </c>
      <c r="I222" s="1337"/>
      <c r="J222" s="1412">
        <f>SUM(J223:J229)</f>
        <v>6084</v>
      </c>
      <c r="K222" s="1412">
        <f t="shared" si="62"/>
        <v>950</v>
      </c>
      <c r="L222" s="1412">
        <f>SUM(L223:L229)</f>
        <v>8661</v>
      </c>
      <c r="M222" s="1413">
        <f>SUM(M223:M229)</f>
        <v>1353</v>
      </c>
    </row>
    <row r="223" spans="1:13" x14ac:dyDescent="0.2">
      <c r="A223" s="2394"/>
      <c r="B223" s="2397"/>
      <c r="C223" s="1529">
        <v>650</v>
      </c>
      <c r="D223" s="1376"/>
      <c r="E223" s="1352">
        <v>374</v>
      </c>
      <c r="F223" s="1352"/>
      <c r="G223" s="411">
        <v>650</v>
      </c>
      <c r="H223" s="1396"/>
      <c r="I223" s="1257">
        <v>1150</v>
      </c>
      <c r="J223" s="1352">
        <v>650</v>
      </c>
      <c r="K223" s="1516"/>
      <c r="L223" s="1377">
        <f t="shared" si="50"/>
        <v>925</v>
      </c>
      <c r="M223" s="1288">
        <f>ROUNDUP(K223/0.702804,0)</f>
        <v>0</v>
      </c>
    </row>
    <row r="224" spans="1:13" x14ac:dyDescent="0.2">
      <c r="A224" s="2394"/>
      <c r="B224" s="2397"/>
      <c r="C224" s="1529">
        <v>0</v>
      </c>
      <c r="D224" s="1352">
        <v>200</v>
      </c>
      <c r="E224" s="1352"/>
      <c r="F224" s="1352"/>
      <c r="G224" s="411">
        <v>500</v>
      </c>
      <c r="H224" s="1454">
        <v>200</v>
      </c>
      <c r="I224" s="1257">
        <v>2262</v>
      </c>
      <c r="J224" s="1352">
        <v>500</v>
      </c>
      <c r="K224" s="1516">
        <v>200</v>
      </c>
      <c r="L224" s="1377">
        <f t="shared" si="50"/>
        <v>712</v>
      </c>
      <c r="M224" s="1288">
        <f t="shared" ref="M224:M229" si="63">ROUNDUP(K224/0.702804,0)</f>
        <v>285</v>
      </c>
    </row>
    <row r="225" spans="1:14" x14ac:dyDescent="0.2">
      <c r="A225" s="2394"/>
      <c r="B225" s="2397"/>
      <c r="C225" s="1518">
        <v>750</v>
      </c>
      <c r="D225" s="1360"/>
      <c r="E225" s="1360">
        <v>22.52</v>
      </c>
      <c r="F225" s="1360"/>
      <c r="G225" s="411">
        <v>750</v>
      </c>
      <c r="H225" s="1454"/>
      <c r="I225" s="411">
        <v>2264</v>
      </c>
      <c r="J225" s="1360">
        <v>750</v>
      </c>
      <c r="K225" s="1396"/>
      <c r="L225" s="1377">
        <f t="shared" si="50"/>
        <v>1068</v>
      </c>
      <c r="M225" s="1288">
        <f t="shared" si="63"/>
        <v>0</v>
      </c>
    </row>
    <row r="226" spans="1:14" ht="12.75" x14ac:dyDescent="0.2">
      <c r="A226" s="2394"/>
      <c r="B226" s="2397"/>
      <c r="C226" s="1518">
        <v>54</v>
      </c>
      <c r="D226" s="1360"/>
      <c r="E226" s="1360"/>
      <c r="F226" s="1360"/>
      <c r="G226" s="411">
        <v>0</v>
      </c>
      <c r="H226" s="1566"/>
      <c r="I226" s="411">
        <v>2322</v>
      </c>
      <c r="J226" s="1360"/>
      <c r="K226" s="1396"/>
      <c r="L226" s="1377">
        <f t="shared" si="50"/>
        <v>0</v>
      </c>
      <c r="M226" s="1288">
        <f t="shared" si="63"/>
        <v>0</v>
      </c>
    </row>
    <row r="227" spans="1:14" ht="12.75" x14ac:dyDescent="0.2">
      <c r="A227" s="2394"/>
      <c r="B227" s="2397"/>
      <c r="C227" s="1518">
        <v>100</v>
      </c>
      <c r="D227" s="1360"/>
      <c r="E227" s="1360"/>
      <c r="F227" s="1360"/>
      <c r="G227" s="411">
        <v>2500</v>
      </c>
      <c r="H227" s="1567"/>
      <c r="I227" s="411">
        <v>2269</v>
      </c>
      <c r="J227" s="1360">
        <v>2500</v>
      </c>
      <c r="K227" s="1396"/>
      <c r="L227" s="1377">
        <f t="shared" si="50"/>
        <v>3558</v>
      </c>
      <c r="M227" s="1288">
        <f t="shared" si="63"/>
        <v>0</v>
      </c>
    </row>
    <row r="228" spans="1:14" x14ac:dyDescent="0.2">
      <c r="A228" s="2394"/>
      <c r="B228" s="2397"/>
      <c r="C228" s="1518">
        <v>700</v>
      </c>
      <c r="D228" s="1360">
        <v>750</v>
      </c>
      <c r="E228" s="1360">
        <v>51.47</v>
      </c>
      <c r="F228" s="1360"/>
      <c r="G228" s="411">
        <v>700</v>
      </c>
      <c r="H228" s="1418">
        <v>750</v>
      </c>
      <c r="I228" s="411">
        <v>2279</v>
      </c>
      <c r="J228" s="1360">
        <v>700</v>
      </c>
      <c r="K228" s="1396">
        <v>750</v>
      </c>
      <c r="L228" s="1377">
        <f t="shared" si="50"/>
        <v>997</v>
      </c>
      <c r="M228" s="1288">
        <f t="shared" si="63"/>
        <v>1068</v>
      </c>
    </row>
    <row r="229" spans="1:14" ht="12.75" x14ac:dyDescent="0.2">
      <c r="A229" s="2395"/>
      <c r="B229" s="2398"/>
      <c r="C229" s="1515">
        <v>800</v>
      </c>
      <c r="D229" s="1383"/>
      <c r="E229" s="1383">
        <v>726.73</v>
      </c>
      <c r="F229" s="1383"/>
      <c r="G229" s="1517">
        <v>984</v>
      </c>
      <c r="H229" s="1566"/>
      <c r="I229" s="518">
        <v>2390</v>
      </c>
      <c r="J229" s="1383">
        <v>984</v>
      </c>
      <c r="K229" s="1535"/>
      <c r="L229" s="1377">
        <f t="shared" si="50"/>
        <v>1401</v>
      </c>
      <c r="M229" s="1288">
        <f t="shared" si="63"/>
        <v>0</v>
      </c>
    </row>
    <row r="230" spans="1:14" ht="12" customHeight="1" x14ac:dyDescent="0.2">
      <c r="A230" s="2355">
        <v>4.2699999999999996</v>
      </c>
      <c r="B230" s="2375" t="s">
        <v>1560</v>
      </c>
      <c r="C230" s="1411">
        <f>SUM(C231:C233)</f>
        <v>950</v>
      </c>
      <c r="D230" s="1412">
        <f t="shared" ref="D230:K230" si="64">SUM(D231:D233)</f>
        <v>0</v>
      </c>
      <c r="E230" s="1412">
        <f t="shared" si="64"/>
        <v>599</v>
      </c>
      <c r="F230" s="1412">
        <f t="shared" si="64"/>
        <v>0</v>
      </c>
      <c r="G230" s="1337">
        <f t="shared" si="64"/>
        <v>800</v>
      </c>
      <c r="H230" s="1412">
        <f t="shared" si="64"/>
        <v>0</v>
      </c>
      <c r="I230" s="1337"/>
      <c r="J230" s="1412">
        <f>SUM(J231:J233)</f>
        <v>800</v>
      </c>
      <c r="K230" s="1412">
        <f t="shared" si="64"/>
        <v>0</v>
      </c>
      <c r="L230" s="1412">
        <f>SUM(L231:L233)</f>
        <v>1140</v>
      </c>
      <c r="M230" s="1413">
        <f>SUM(M231:M233)</f>
        <v>0</v>
      </c>
      <c r="N230" s="225"/>
    </row>
    <row r="231" spans="1:14" x14ac:dyDescent="0.2">
      <c r="A231" s="2356"/>
      <c r="B231" s="2376"/>
      <c r="C231" s="1520">
        <v>500</v>
      </c>
      <c r="D231" s="1396"/>
      <c r="E231" s="1386">
        <v>349</v>
      </c>
      <c r="F231" s="1396"/>
      <c r="G231" s="1416">
        <v>350</v>
      </c>
      <c r="H231" s="1386"/>
      <c r="I231" s="1521">
        <v>1150</v>
      </c>
      <c r="J231" s="1396">
        <v>350</v>
      </c>
      <c r="K231" s="1396"/>
      <c r="L231" s="1377">
        <f t="shared" si="50"/>
        <v>499</v>
      </c>
      <c r="M231" s="1288"/>
      <c r="N231" s="225"/>
    </row>
    <row r="232" spans="1:14" x14ac:dyDescent="0.2">
      <c r="A232" s="2356"/>
      <c r="B232" s="2376"/>
      <c r="C232" s="1568">
        <v>200</v>
      </c>
      <c r="D232" s="1360"/>
      <c r="E232" s="1535"/>
      <c r="F232" s="1360"/>
      <c r="G232" s="1454">
        <v>200</v>
      </c>
      <c r="H232" s="1535"/>
      <c r="I232" s="1457">
        <v>2264</v>
      </c>
      <c r="J232" s="1386">
        <v>200</v>
      </c>
      <c r="K232" s="1393"/>
      <c r="L232" s="1377">
        <f t="shared" si="50"/>
        <v>285</v>
      </c>
      <c r="M232" s="1289"/>
      <c r="N232" s="225"/>
    </row>
    <row r="233" spans="1:14" ht="12.75" customHeight="1" x14ac:dyDescent="0.2">
      <c r="A233" s="2357"/>
      <c r="B233" s="2377"/>
      <c r="C233" s="1534">
        <v>250</v>
      </c>
      <c r="D233" s="1367"/>
      <c r="E233" s="1367">
        <v>250</v>
      </c>
      <c r="F233" s="1367"/>
      <c r="G233" s="1501">
        <v>250</v>
      </c>
      <c r="H233" s="1367"/>
      <c r="I233" s="422">
        <v>2390</v>
      </c>
      <c r="J233" s="1367">
        <v>250</v>
      </c>
      <c r="K233" s="1409"/>
      <c r="L233" s="1377">
        <f t="shared" ref="L233:M297" si="65">ROUNDUP(J233/0.702804,0)</f>
        <v>356</v>
      </c>
      <c r="M233" s="1287"/>
      <c r="N233" s="225"/>
    </row>
    <row r="234" spans="1:14" ht="12.75" customHeight="1" x14ac:dyDescent="0.2">
      <c r="A234" s="2355">
        <v>4.28</v>
      </c>
      <c r="B234" s="2375" t="s">
        <v>1561</v>
      </c>
      <c r="C234" s="1411">
        <f t="shared" ref="C234:H234" si="66">SUM(C235:C239)</f>
        <v>950</v>
      </c>
      <c r="D234" s="1412">
        <f t="shared" si="66"/>
        <v>0</v>
      </c>
      <c r="E234" s="1412">
        <f t="shared" si="66"/>
        <v>901</v>
      </c>
      <c r="F234" s="1412">
        <f t="shared" si="66"/>
        <v>0</v>
      </c>
      <c r="G234" s="1337">
        <f t="shared" si="66"/>
        <v>950</v>
      </c>
      <c r="H234" s="1412">
        <f t="shared" si="66"/>
        <v>0</v>
      </c>
      <c r="I234" s="1337"/>
      <c r="J234" s="1412">
        <f>SUM(J235:J239)</f>
        <v>950</v>
      </c>
      <c r="K234" s="1412">
        <f>SUM(K235:K239)</f>
        <v>0</v>
      </c>
      <c r="L234" s="1412">
        <f>SUM(L235:L239)</f>
        <v>1353</v>
      </c>
      <c r="M234" s="1413">
        <f>SUM(M235:M239)</f>
        <v>0</v>
      </c>
      <c r="N234" s="225"/>
    </row>
    <row r="235" spans="1:14" x14ac:dyDescent="0.2">
      <c r="A235" s="2356"/>
      <c r="B235" s="2376"/>
      <c r="C235" s="1520">
        <v>378</v>
      </c>
      <c r="D235" s="1396"/>
      <c r="E235" s="1386">
        <v>378</v>
      </c>
      <c r="F235" s="1396"/>
      <c r="G235" s="1416">
        <v>500</v>
      </c>
      <c r="H235" s="1435"/>
      <c r="I235" s="1521">
        <v>1150</v>
      </c>
      <c r="J235" s="1396">
        <v>500</v>
      </c>
      <c r="K235" s="1396"/>
      <c r="L235" s="1377">
        <f t="shared" si="65"/>
        <v>712</v>
      </c>
      <c r="M235" s="1288"/>
      <c r="N235" s="225"/>
    </row>
    <row r="236" spans="1:14" x14ac:dyDescent="0.2">
      <c r="A236" s="2356"/>
      <c r="B236" s="2376"/>
      <c r="C236" s="1569">
        <v>273</v>
      </c>
      <c r="D236" s="1386"/>
      <c r="E236" s="1396">
        <v>273</v>
      </c>
      <c r="F236" s="1386"/>
      <c r="G236" s="1454">
        <v>0</v>
      </c>
      <c r="H236" s="1396"/>
      <c r="I236" s="1454">
        <v>2239</v>
      </c>
      <c r="J236" s="1360"/>
      <c r="K236" s="1396"/>
      <c r="L236" s="1377">
        <f t="shared" si="65"/>
        <v>0</v>
      </c>
      <c r="M236" s="1289"/>
      <c r="N236" s="225"/>
    </row>
    <row r="237" spans="1:14" x14ac:dyDescent="0.2">
      <c r="A237" s="2356"/>
      <c r="B237" s="2376"/>
      <c r="C237" s="1568">
        <v>49</v>
      </c>
      <c r="D237" s="1360"/>
      <c r="E237" s="1535"/>
      <c r="F237" s="1360"/>
      <c r="G237" s="1454">
        <v>0</v>
      </c>
      <c r="H237" s="1535"/>
      <c r="I237" s="1457">
        <v>2264</v>
      </c>
      <c r="J237" s="1360"/>
      <c r="K237" s="1396"/>
      <c r="L237" s="1377">
        <f t="shared" si="65"/>
        <v>0</v>
      </c>
      <c r="M237" s="1289"/>
      <c r="N237" s="225"/>
    </row>
    <row r="238" spans="1:14" ht="11.25" customHeight="1" x14ac:dyDescent="0.2">
      <c r="A238" s="2356"/>
      <c r="B238" s="2376"/>
      <c r="C238" s="1568">
        <v>0</v>
      </c>
      <c r="D238" s="1383"/>
      <c r="E238" s="1535"/>
      <c r="F238" s="1383"/>
      <c r="G238" s="1457">
        <v>200</v>
      </c>
      <c r="H238" s="1535"/>
      <c r="I238" s="1457">
        <v>2279</v>
      </c>
      <c r="J238" s="1386">
        <v>200</v>
      </c>
      <c r="K238" s="1393"/>
      <c r="L238" s="1377">
        <f t="shared" si="65"/>
        <v>285</v>
      </c>
      <c r="M238" s="1570"/>
      <c r="N238" s="225"/>
    </row>
    <row r="239" spans="1:14" ht="12.75" customHeight="1" x14ac:dyDescent="0.2">
      <c r="A239" s="2357"/>
      <c r="B239" s="2377"/>
      <c r="C239" s="1534">
        <v>250</v>
      </c>
      <c r="D239" s="1367"/>
      <c r="E239" s="1367">
        <v>250</v>
      </c>
      <c r="F239" s="1367"/>
      <c r="G239" s="1459">
        <v>250</v>
      </c>
      <c r="H239" s="1367"/>
      <c r="I239" s="422">
        <v>2390</v>
      </c>
      <c r="J239" s="1367">
        <v>250</v>
      </c>
      <c r="K239" s="1409"/>
      <c r="L239" s="1377">
        <f t="shared" si="65"/>
        <v>356</v>
      </c>
      <c r="M239" s="1287"/>
      <c r="N239" s="225"/>
    </row>
    <row r="240" spans="1:14" ht="12.75" customHeight="1" x14ac:dyDescent="0.2">
      <c r="A240" s="2393">
        <v>4.29</v>
      </c>
      <c r="B240" s="2375" t="s">
        <v>1562</v>
      </c>
      <c r="C240" s="1571">
        <f t="shared" ref="C240:H240" si="67">SUM(C241:C245)</f>
        <v>4400</v>
      </c>
      <c r="D240" s="1572">
        <f t="shared" si="67"/>
        <v>0</v>
      </c>
      <c r="E240" s="1572">
        <f t="shared" si="67"/>
        <v>0</v>
      </c>
      <c r="F240" s="1572">
        <f t="shared" si="67"/>
        <v>0</v>
      </c>
      <c r="G240" s="1573">
        <f t="shared" si="67"/>
        <v>3000</v>
      </c>
      <c r="H240" s="1572">
        <f t="shared" si="67"/>
        <v>0</v>
      </c>
      <c r="I240" s="1573"/>
      <c r="J240" s="1572">
        <f>SUM(J241:J245)</f>
        <v>3000</v>
      </c>
      <c r="K240" s="1572">
        <f>SUM(K241:K245)</f>
        <v>0</v>
      </c>
      <c r="L240" s="1572">
        <f>SUM(L241:L245)</f>
        <v>4271</v>
      </c>
      <c r="M240" s="1574">
        <f>SUM(M241:M245)</f>
        <v>0</v>
      </c>
      <c r="N240" s="225"/>
    </row>
    <row r="241" spans="1:14" ht="12.75" customHeight="1" x14ac:dyDescent="0.2">
      <c r="A241" s="2394"/>
      <c r="B241" s="2376"/>
      <c r="C241" s="1509">
        <v>800</v>
      </c>
      <c r="D241" s="1376"/>
      <c r="E241" s="1376"/>
      <c r="F241" s="1376"/>
      <c r="G241" s="1428">
        <v>850</v>
      </c>
      <c r="H241" s="1390"/>
      <c r="I241" s="1428">
        <v>1150</v>
      </c>
      <c r="J241" s="1376">
        <v>850</v>
      </c>
      <c r="K241" s="1389"/>
      <c r="L241" s="1377">
        <f t="shared" si="65"/>
        <v>1210</v>
      </c>
      <c r="M241" s="1288"/>
      <c r="N241" s="225"/>
    </row>
    <row r="242" spans="1:14" ht="12.75" customHeight="1" x14ac:dyDescent="0.2">
      <c r="A242" s="2394"/>
      <c r="B242" s="2376"/>
      <c r="C242" s="1518">
        <v>800</v>
      </c>
      <c r="D242" s="1360"/>
      <c r="E242" s="1360"/>
      <c r="F242" s="1360"/>
      <c r="G242" s="411"/>
      <c r="H242" s="999"/>
      <c r="I242" s="411">
        <v>2262</v>
      </c>
      <c r="J242" s="1360"/>
      <c r="K242" s="1396"/>
      <c r="L242" s="1377">
        <f t="shared" si="65"/>
        <v>0</v>
      </c>
      <c r="M242" s="1289"/>
      <c r="N242" s="225"/>
    </row>
    <row r="243" spans="1:14" ht="12.75" customHeight="1" x14ac:dyDescent="0.2">
      <c r="A243" s="2394"/>
      <c r="B243" s="2376"/>
      <c r="C243" s="1518">
        <v>400</v>
      </c>
      <c r="D243" s="1360"/>
      <c r="E243" s="1360"/>
      <c r="F243" s="1360"/>
      <c r="G243" s="411"/>
      <c r="H243" s="999"/>
      <c r="I243" s="411">
        <v>2279</v>
      </c>
      <c r="J243" s="1360"/>
      <c r="K243" s="1396"/>
      <c r="L243" s="1377">
        <f t="shared" si="65"/>
        <v>0</v>
      </c>
      <c r="M243" s="1289"/>
      <c r="N243" s="225"/>
    </row>
    <row r="244" spans="1:14" ht="12.75" customHeight="1" x14ac:dyDescent="0.2">
      <c r="A244" s="2394"/>
      <c r="B244" s="2376"/>
      <c r="C244" s="1515">
        <v>1000</v>
      </c>
      <c r="D244" s="1383"/>
      <c r="E244" s="1383"/>
      <c r="F244" s="1383"/>
      <c r="G244" s="518">
        <v>750</v>
      </c>
      <c r="H244" s="1456"/>
      <c r="I244" s="518">
        <v>2390</v>
      </c>
      <c r="J244" s="1383">
        <v>750</v>
      </c>
      <c r="K244" s="1535"/>
      <c r="L244" s="1377">
        <f t="shared" si="65"/>
        <v>1068</v>
      </c>
      <c r="M244" s="1289"/>
      <c r="N244" s="225"/>
    </row>
    <row r="245" spans="1:14" ht="12.75" customHeight="1" x14ac:dyDescent="0.2">
      <c r="A245" s="2395"/>
      <c r="B245" s="2377"/>
      <c r="C245" s="1534">
        <v>1400</v>
      </c>
      <c r="D245" s="1367"/>
      <c r="E245" s="1367"/>
      <c r="F245" s="1367"/>
      <c r="G245" s="422">
        <v>1400</v>
      </c>
      <c r="H245" s="1410"/>
      <c r="I245" s="422">
        <v>6422</v>
      </c>
      <c r="J245" s="1367">
        <v>1400</v>
      </c>
      <c r="K245" s="1409"/>
      <c r="L245" s="1377">
        <f t="shared" si="65"/>
        <v>1993</v>
      </c>
      <c r="M245" s="1287"/>
      <c r="N245" s="225"/>
    </row>
    <row r="246" spans="1:14" ht="12" customHeight="1" x14ac:dyDescent="0.2">
      <c r="A246" s="2362">
        <v>4.3</v>
      </c>
      <c r="B246" s="2375" t="s">
        <v>1563</v>
      </c>
      <c r="C246" s="1531">
        <f>SUM(C247:C251)</f>
        <v>7500</v>
      </c>
      <c r="D246" s="1412">
        <f t="shared" ref="D246:K246" si="68">SUM(D247:D251)</f>
        <v>0</v>
      </c>
      <c r="E246" s="1412">
        <f t="shared" si="68"/>
        <v>595.47</v>
      </c>
      <c r="F246" s="1412">
        <f t="shared" si="68"/>
        <v>0</v>
      </c>
      <c r="G246" s="1337">
        <f t="shared" si="68"/>
        <v>8540</v>
      </c>
      <c r="H246" s="1412">
        <f t="shared" si="68"/>
        <v>0</v>
      </c>
      <c r="I246" s="1337"/>
      <c r="J246" s="1412">
        <f>SUM(J247:J251)</f>
        <v>8540</v>
      </c>
      <c r="K246" s="1412">
        <f t="shared" si="68"/>
        <v>0</v>
      </c>
      <c r="L246" s="1412">
        <f>SUM(L247:L251)</f>
        <v>12154</v>
      </c>
      <c r="M246" s="1413">
        <f>SUM(M247:M251)</f>
        <v>0</v>
      </c>
      <c r="N246" s="225"/>
    </row>
    <row r="247" spans="1:14" x14ac:dyDescent="0.2">
      <c r="A247" s="2363"/>
      <c r="B247" s="2376"/>
      <c r="C247" s="1575">
        <v>2500</v>
      </c>
      <c r="D247" s="1576"/>
      <c r="E247" s="1576"/>
      <c r="F247" s="1474"/>
      <c r="G247" s="1547">
        <v>1500</v>
      </c>
      <c r="H247" s="1174"/>
      <c r="I247" s="1257">
        <v>1150</v>
      </c>
      <c r="J247" s="1174">
        <v>1500</v>
      </c>
      <c r="K247" s="1377"/>
      <c r="L247" s="1377">
        <f t="shared" si="65"/>
        <v>2135</v>
      </c>
      <c r="M247" s="1288"/>
      <c r="N247" s="225"/>
    </row>
    <row r="248" spans="1:14" x14ac:dyDescent="0.2">
      <c r="A248" s="2363"/>
      <c r="B248" s="2376"/>
      <c r="C248" s="1577">
        <v>2600</v>
      </c>
      <c r="D248" s="224"/>
      <c r="E248" s="224"/>
      <c r="F248" s="1174"/>
      <c r="G248" s="1418">
        <v>3500</v>
      </c>
      <c r="H248" s="224"/>
      <c r="I248" s="411">
        <v>2231</v>
      </c>
      <c r="J248" s="224">
        <v>3500</v>
      </c>
      <c r="K248" s="999"/>
      <c r="L248" s="1377">
        <f t="shared" si="65"/>
        <v>4981</v>
      </c>
      <c r="M248" s="1289"/>
      <c r="N248" s="225"/>
    </row>
    <row r="249" spans="1:14" x14ac:dyDescent="0.2">
      <c r="A249" s="2363"/>
      <c r="B249" s="2376"/>
      <c r="C249" s="1577">
        <v>800</v>
      </c>
      <c r="D249" s="224"/>
      <c r="E249" s="224">
        <v>595.47</v>
      </c>
      <c r="F249" s="1563"/>
      <c r="G249" s="1418">
        <v>1800</v>
      </c>
      <c r="H249" s="224"/>
      <c r="I249" s="411">
        <v>2264</v>
      </c>
      <c r="J249" s="224">
        <v>1800</v>
      </c>
      <c r="K249" s="999"/>
      <c r="L249" s="1377">
        <f t="shared" si="65"/>
        <v>2562</v>
      </c>
      <c r="M249" s="1289"/>
      <c r="N249" s="225"/>
    </row>
    <row r="250" spans="1:14" x14ac:dyDescent="0.2">
      <c r="A250" s="2363"/>
      <c r="B250" s="2376"/>
      <c r="C250" s="467">
        <v>600</v>
      </c>
      <c r="D250" s="224"/>
      <c r="E250" s="1563"/>
      <c r="F250" s="224"/>
      <c r="G250" s="1440">
        <v>1000</v>
      </c>
      <c r="H250" s="224"/>
      <c r="I250" s="411">
        <v>2279</v>
      </c>
      <c r="J250" s="224">
        <v>1000</v>
      </c>
      <c r="K250" s="999"/>
      <c r="L250" s="1377">
        <f t="shared" si="65"/>
        <v>1423</v>
      </c>
      <c r="M250" s="1289"/>
      <c r="N250" s="225"/>
    </row>
    <row r="251" spans="1:14" ht="12.75" customHeight="1" x14ac:dyDescent="0.2">
      <c r="A251" s="2364"/>
      <c r="B251" s="2377"/>
      <c r="C251" s="1565">
        <v>1000</v>
      </c>
      <c r="D251" s="1480"/>
      <c r="E251" s="1410"/>
      <c r="F251" s="1480"/>
      <c r="G251" s="1501">
        <v>740</v>
      </c>
      <c r="H251" s="481"/>
      <c r="I251" s="422">
        <v>2390</v>
      </c>
      <c r="J251" s="481">
        <v>740</v>
      </c>
      <c r="K251" s="1410"/>
      <c r="L251" s="1377">
        <f t="shared" si="65"/>
        <v>1053</v>
      </c>
      <c r="M251" s="1287"/>
      <c r="N251" s="225"/>
    </row>
    <row r="252" spans="1:14" ht="12.75" customHeight="1" x14ac:dyDescent="0.2">
      <c r="A252" s="1324">
        <v>4.3099999999999996</v>
      </c>
      <c r="B252" s="1325" t="s">
        <v>1903</v>
      </c>
      <c r="C252" s="1578">
        <f>SUM(C253:C265)</f>
        <v>2800</v>
      </c>
      <c r="D252" s="1573">
        <f t="shared" ref="D252:H252" si="69">SUM(D253:D265)</f>
        <v>1684</v>
      </c>
      <c r="E252" s="1573">
        <f t="shared" si="69"/>
        <v>516.82999999999993</v>
      </c>
      <c r="F252" s="1573">
        <f t="shared" si="69"/>
        <v>0</v>
      </c>
      <c r="G252" s="1573">
        <f>SUM(G253:G265)</f>
        <v>2550</v>
      </c>
      <c r="H252" s="1573">
        <f t="shared" si="69"/>
        <v>1700</v>
      </c>
      <c r="I252" s="1573"/>
      <c r="J252" s="1573">
        <f>SUM(J253:J265)</f>
        <v>2550</v>
      </c>
      <c r="K252" s="1573">
        <f>SUM(K253:K265)</f>
        <v>1700</v>
      </c>
      <c r="L252" s="1573">
        <f>SUM(L253:L265)</f>
        <v>3631</v>
      </c>
      <c r="M252" s="1579">
        <f>SUM(M253:M265)</f>
        <v>2420</v>
      </c>
      <c r="N252" s="225"/>
    </row>
    <row r="253" spans="1:14" x14ac:dyDescent="0.2">
      <c r="A253" s="2387" t="s">
        <v>1975</v>
      </c>
      <c r="B253" s="2381" t="s">
        <v>1569</v>
      </c>
      <c r="C253" s="1472">
        <v>400</v>
      </c>
      <c r="D253" s="1390"/>
      <c r="E253" s="1390">
        <v>127</v>
      </c>
      <c r="F253" s="1390"/>
      <c r="G253" s="1473"/>
      <c r="H253" s="1390"/>
      <c r="I253" s="1473">
        <v>1150</v>
      </c>
      <c r="J253" s="1474"/>
      <c r="K253" s="1390"/>
      <c r="L253" s="1580">
        <f t="shared" si="65"/>
        <v>0</v>
      </c>
      <c r="M253" s="1496">
        <f t="shared" si="65"/>
        <v>0</v>
      </c>
    </row>
    <row r="254" spans="1:14" x14ac:dyDescent="0.2">
      <c r="A254" s="2388"/>
      <c r="B254" s="2382"/>
      <c r="C254" s="1581">
        <v>140</v>
      </c>
      <c r="D254" s="1377"/>
      <c r="E254" s="1377">
        <v>140</v>
      </c>
      <c r="F254" s="1377"/>
      <c r="G254" s="1540"/>
      <c r="H254" s="1377"/>
      <c r="I254" s="1540">
        <v>2312</v>
      </c>
      <c r="J254" s="1174"/>
      <c r="K254" s="1377"/>
      <c r="L254" s="999">
        <f t="shared" si="65"/>
        <v>0</v>
      </c>
      <c r="M254" s="1289">
        <f t="shared" si="65"/>
        <v>0</v>
      </c>
    </row>
    <row r="255" spans="1:14" x14ac:dyDescent="0.2">
      <c r="A255" s="2388"/>
      <c r="B255" s="2382"/>
      <c r="C255" s="1581">
        <v>24</v>
      </c>
      <c r="D255" s="1377"/>
      <c r="E255" s="1377">
        <v>23.9</v>
      </c>
      <c r="F255" s="1377"/>
      <c r="G255" s="1540"/>
      <c r="H255" s="1377"/>
      <c r="I255" s="1540">
        <v>2361</v>
      </c>
      <c r="J255" s="1174"/>
      <c r="K255" s="1377"/>
      <c r="L255" s="999">
        <f t="shared" si="65"/>
        <v>0</v>
      </c>
      <c r="M255" s="1289">
        <f t="shared" si="65"/>
        <v>0</v>
      </c>
    </row>
    <row r="256" spans="1:14" x14ac:dyDescent="0.2">
      <c r="A256" s="2388"/>
      <c r="B256" s="2382"/>
      <c r="C256" s="1582">
        <v>536</v>
      </c>
      <c r="D256" s="1456"/>
      <c r="E256" s="1456">
        <v>38.58</v>
      </c>
      <c r="F256" s="1456"/>
      <c r="G256" s="1457"/>
      <c r="H256" s="1456"/>
      <c r="I256" s="1457">
        <v>2390</v>
      </c>
      <c r="J256" s="455"/>
      <c r="K256" s="1535"/>
      <c r="L256" s="999">
        <f t="shared" si="65"/>
        <v>0</v>
      </c>
      <c r="M256" s="1289">
        <f t="shared" si="65"/>
        <v>0</v>
      </c>
    </row>
    <row r="257" spans="1:13" ht="15" customHeight="1" x14ac:dyDescent="0.2">
      <c r="A257" s="2389" t="s">
        <v>1976</v>
      </c>
      <c r="B257" s="2044" t="s">
        <v>1570</v>
      </c>
      <c r="C257" s="1583"/>
      <c r="D257" s="999"/>
      <c r="E257" s="999"/>
      <c r="F257" s="999"/>
      <c r="G257" s="1454">
        <v>450</v>
      </c>
      <c r="H257" s="999"/>
      <c r="I257" s="1454">
        <v>1150</v>
      </c>
      <c r="J257" s="224">
        <v>450</v>
      </c>
      <c r="K257" s="1396"/>
      <c r="L257" s="999">
        <f t="shared" si="65"/>
        <v>641</v>
      </c>
      <c r="M257" s="1289">
        <f t="shared" si="65"/>
        <v>0</v>
      </c>
    </row>
    <row r="258" spans="1:13" x14ac:dyDescent="0.2">
      <c r="A258" s="2390"/>
      <c r="B258" s="2046"/>
      <c r="C258" s="1583"/>
      <c r="D258" s="999"/>
      <c r="E258" s="999"/>
      <c r="F258" s="999"/>
      <c r="G258" s="1454">
        <v>800</v>
      </c>
      <c r="H258" s="999"/>
      <c r="I258" s="1454">
        <v>2390</v>
      </c>
      <c r="J258" s="224">
        <v>800</v>
      </c>
      <c r="K258" s="1396"/>
      <c r="L258" s="1377">
        <f t="shared" si="65"/>
        <v>1139</v>
      </c>
      <c r="M258" s="1288">
        <f t="shared" si="65"/>
        <v>0</v>
      </c>
    </row>
    <row r="259" spans="1:13" x14ac:dyDescent="0.2">
      <c r="A259" s="2391" t="s">
        <v>1977</v>
      </c>
      <c r="B259" s="2383" t="s">
        <v>1572</v>
      </c>
      <c r="C259" s="1581">
        <v>500</v>
      </c>
      <c r="D259" s="1377"/>
      <c r="E259" s="1377"/>
      <c r="F259" s="1377"/>
      <c r="G259" s="1540"/>
      <c r="H259" s="1377"/>
      <c r="I259" s="1540">
        <v>1150</v>
      </c>
      <c r="J259" s="1174"/>
      <c r="K259" s="1377"/>
      <c r="L259" s="1377">
        <f t="shared" si="65"/>
        <v>0</v>
      </c>
      <c r="M259" s="1288"/>
    </row>
    <row r="260" spans="1:13" x14ac:dyDescent="0.2">
      <c r="A260" s="2392"/>
      <c r="B260" s="2384"/>
      <c r="C260" s="1582">
        <v>800</v>
      </c>
      <c r="D260" s="1456"/>
      <c r="E260" s="1456">
        <v>187.35</v>
      </c>
      <c r="F260" s="1456"/>
      <c r="G260" s="1457"/>
      <c r="H260" s="1456"/>
      <c r="I260" s="1457">
        <v>2390</v>
      </c>
      <c r="J260" s="455"/>
      <c r="K260" s="1456"/>
      <c r="L260" s="1377">
        <f t="shared" si="65"/>
        <v>0</v>
      </c>
      <c r="M260" s="1570"/>
    </row>
    <row r="261" spans="1:13" ht="12.75" customHeight="1" x14ac:dyDescent="0.2">
      <c r="A261" s="2388" t="s">
        <v>1978</v>
      </c>
      <c r="B261" s="2385" t="s">
        <v>1573</v>
      </c>
      <c r="C261" s="1583"/>
      <c r="D261" s="999"/>
      <c r="E261" s="999"/>
      <c r="F261" s="999"/>
      <c r="G261" s="1454">
        <v>500</v>
      </c>
      <c r="H261" s="999"/>
      <c r="I261" s="1454">
        <v>1150</v>
      </c>
      <c r="J261" s="224">
        <v>500</v>
      </c>
      <c r="K261" s="999"/>
      <c r="L261" s="1377">
        <f t="shared" si="65"/>
        <v>712</v>
      </c>
      <c r="M261" s="1289"/>
    </row>
    <row r="262" spans="1:13" ht="12.75" customHeight="1" x14ac:dyDescent="0.2">
      <c r="A262" s="2388"/>
      <c r="B262" s="2386"/>
      <c r="C262" s="1584"/>
      <c r="D262" s="1456"/>
      <c r="E262" s="1456"/>
      <c r="F262" s="1456"/>
      <c r="G262" s="1457">
        <v>800</v>
      </c>
      <c r="H262" s="1456"/>
      <c r="I262" s="1457">
        <v>2390</v>
      </c>
      <c r="J262" s="455">
        <v>800</v>
      </c>
      <c r="K262" s="1456"/>
      <c r="L262" s="1470">
        <f t="shared" si="65"/>
        <v>1139</v>
      </c>
      <c r="M262" s="1570"/>
    </row>
    <row r="263" spans="1:13" ht="12.75" customHeight="1" x14ac:dyDescent="0.2">
      <c r="A263" s="2378" t="s">
        <v>1979</v>
      </c>
      <c r="B263" s="2380" t="s">
        <v>1574</v>
      </c>
      <c r="C263" s="1583"/>
      <c r="D263" s="999">
        <v>650</v>
      </c>
      <c r="E263" s="999"/>
      <c r="F263" s="999"/>
      <c r="G263" s="1454"/>
      <c r="H263" s="1454">
        <v>700</v>
      </c>
      <c r="I263" s="1454">
        <v>1150</v>
      </c>
      <c r="J263" s="224"/>
      <c r="K263" s="999">
        <v>700</v>
      </c>
      <c r="L263" s="999">
        <f t="shared" si="65"/>
        <v>0</v>
      </c>
      <c r="M263" s="1289">
        <f t="shared" si="65"/>
        <v>997</v>
      </c>
    </row>
    <row r="264" spans="1:13" ht="12.75" customHeight="1" x14ac:dyDescent="0.2">
      <c r="A264" s="2379"/>
      <c r="B264" s="2380"/>
      <c r="C264" s="1583"/>
      <c r="D264" s="999">
        <v>1034</v>
      </c>
      <c r="E264" s="999"/>
      <c r="F264" s="999"/>
      <c r="G264" s="1454"/>
      <c r="H264" s="1454">
        <v>1000</v>
      </c>
      <c r="I264" s="1454">
        <v>2390</v>
      </c>
      <c r="J264" s="224"/>
      <c r="K264" s="999">
        <v>1000</v>
      </c>
      <c r="L264" s="999">
        <f t="shared" si="65"/>
        <v>0</v>
      </c>
      <c r="M264" s="1289">
        <f t="shared" si="65"/>
        <v>1423</v>
      </c>
    </row>
    <row r="265" spans="1:13" ht="24" x14ac:dyDescent="0.2">
      <c r="A265" s="1322" t="s">
        <v>1980</v>
      </c>
      <c r="B265" s="1271" t="s">
        <v>1575</v>
      </c>
      <c r="C265" s="1476">
        <v>400</v>
      </c>
      <c r="D265" s="1480"/>
      <c r="E265" s="1480"/>
      <c r="F265" s="1480"/>
      <c r="G265" s="1478"/>
      <c r="H265" s="1501"/>
      <c r="I265" s="1478">
        <v>2390</v>
      </c>
      <c r="J265" s="1479"/>
      <c r="K265" s="1480"/>
      <c r="L265" s="1480">
        <f t="shared" si="65"/>
        <v>0</v>
      </c>
      <c r="M265" s="1481"/>
    </row>
    <row r="266" spans="1:13" x14ac:dyDescent="0.2">
      <c r="A266" s="2355">
        <v>4.32</v>
      </c>
      <c r="B266" s="2371" t="s">
        <v>1616</v>
      </c>
      <c r="C266" s="1506">
        <f>SUM(C267:C269)</f>
        <v>350</v>
      </c>
      <c r="D266" s="1507">
        <f t="shared" ref="D266:M266" si="70">SUM(D267:D269)</f>
        <v>0</v>
      </c>
      <c r="E266" s="1507">
        <f t="shared" si="70"/>
        <v>0</v>
      </c>
      <c r="F266" s="1507">
        <f t="shared" si="70"/>
        <v>0</v>
      </c>
      <c r="G266" s="1340">
        <f t="shared" si="70"/>
        <v>0</v>
      </c>
      <c r="H266" s="1507">
        <f t="shared" si="70"/>
        <v>0</v>
      </c>
      <c r="I266" s="1340"/>
      <c r="J266" s="1507">
        <f>SUM(J267:J269)</f>
        <v>0</v>
      </c>
      <c r="K266" s="1507">
        <f>SUM(K267:K269)</f>
        <v>0</v>
      </c>
      <c r="L266" s="1507">
        <f>SUM(L267:L269)</f>
        <v>0</v>
      </c>
      <c r="M266" s="1543">
        <f t="shared" si="70"/>
        <v>0</v>
      </c>
    </row>
    <row r="267" spans="1:13" x14ac:dyDescent="0.2">
      <c r="A267" s="2356"/>
      <c r="B267" s="2372"/>
      <c r="C267" s="1585">
        <v>100</v>
      </c>
      <c r="D267" s="1374"/>
      <c r="E267" s="1374"/>
      <c r="F267" s="1374"/>
      <c r="G267" s="1344"/>
      <c r="H267" s="1375"/>
      <c r="I267" s="1345">
        <v>1150</v>
      </c>
      <c r="J267" s="1376"/>
      <c r="K267" s="1389"/>
      <c r="L267" s="1580">
        <f t="shared" si="65"/>
        <v>0</v>
      </c>
      <c r="M267" s="1475"/>
    </row>
    <row r="268" spans="1:13" x14ac:dyDescent="0.2">
      <c r="A268" s="2356"/>
      <c r="B268" s="2372"/>
      <c r="C268" s="1586">
        <v>50</v>
      </c>
      <c r="D268" s="1349"/>
      <c r="E268" s="1349"/>
      <c r="F268" s="1349"/>
      <c r="G268" s="1587"/>
      <c r="H268" s="1351"/>
      <c r="I268" s="1780">
        <v>2261</v>
      </c>
      <c r="J268" s="1352"/>
      <c r="K268" s="1516"/>
      <c r="L268" s="999">
        <f t="shared" si="65"/>
        <v>0</v>
      </c>
      <c r="M268" s="1288"/>
    </row>
    <row r="269" spans="1:13" x14ac:dyDescent="0.2">
      <c r="A269" s="2357"/>
      <c r="B269" s="2374"/>
      <c r="C269" s="1588">
        <v>200</v>
      </c>
      <c r="D269" s="1507"/>
      <c r="E269" s="1507"/>
      <c r="F269" s="1507"/>
      <c r="G269" s="1340"/>
      <c r="H269" s="1486"/>
      <c r="I269" s="1365">
        <v>2390</v>
      </c>
      <c r="J269" s="1432"/>
      <c r="K269" s="1508"/>
      <c r="L269" s="1480">
        <f t="shared" si="65"/>
        <v>0</v>
      </c>
      <c r="M269" s="1481"/>
    </row>
    <row r="270" spans="1:13" x14ac:dyDescent="0.2">
      <c r="A270" s="2355">
        <v>4.33</v>
      </c>
      <c r="B270" s="2371" t="s">
        <v>1617</v>
      </c>
      <c r="C270" s="1506">
        <f>SUM(C271:C273)</f>
        <v>2200</v>
      </c>
      <c r="D270" s="1507">
        <f t="shared" ref="D270:M270" si="71">SUM(D271:D273)</f>
        <v>0</v>
      </c>
      <c r="E270" s="1507">
        <f t="shared" si="71"/>
        <v>2200</v>
      </c>
      <c r="F270" s="1507">
        <f t="shared" si="71"/>
        <v>0</v>
      </c>
      <c r="G270" s="1340">
        <f t="shared" si="71"/>
        <v>0</v>
      </c>
      <c r="H270" s="1507">
        <f t="shared" si="71"/>
        <v>0</v>
      </c>
      <c r="I270" s="1340"/>
      <c r="J270" s="1507">
        <f>SUM(J271:J273)</f>
        <v>0</v>
      </c>
      <c r="K270" s="1507">
        <f t="shared" si="71"/>
        <v>0</v>
      </c>
      <c r="L270" s="1507">
        <f>SUM(L271:L273)</f>
        <v>0</v>
      </c>
      <c r="M270" s="1589">
        <f t="shared" si="71"/>
        <v>0</v>
      </c>
    </row>
    <row r="271" spans="1:13" x14ac:dyDescent="0.2">
      <c r="A271" s="2356"/>
      <c r="B271" s="2372"/>
      <c r="C271" s="1585">
        <v>900</v>
      </c>
      <c r="D271" s="1544"/>
      <c r="E271" s="1544">
        <v>900</v>
      </c>
      <c r="F271" s="1544"/>
      <c r="G271" s="1345"/>
      <c r="H271" s="1590"/>
      <c r="I271" s="1345">
        <v>1150</v>
      </c>
      <c r="J271" s="1376"/>
      <c r="K271" s="1389"/>
      <c r="L271" s="1580">
        <f t="shared" si="65"/>
        <v>0</v>
      </c>
      <c r="M271" s="1475"/>
    </row>
    <row r="272" spans="1:13" x14ac:dyDescent="0.2">
      <c r="A272" s="2356"/>
      <c r="B272" s="2372"/>
      <c r="C272" s="1591">
        <v>1200</v>
      </c>
      <c r="D272" s="1545"/>
      <c r="E272" s="1545">
        <v>1200</v>
      </c>
      <c r="F272" s="1545"/>
      <c r="G272" s="771"/>
      <c r="H272" s="1592"/>
      <c r="I272" s="771">
        <v>2264</v>
      </c>
      <c r="J272" s="1360"/>
      <c r="K272" s="1396"/>
      <c r="L272" s="999">
        <f t="shared" si="65"/>
        <v>0</v>
      </c>
      <c r="M272" s="1289"/>
    </row>
    <row r="273" spans="1:13" x14ac:dyDescent="0.2">
      <c r="A273" s="2357"/>
      <c r="B273" s="2374"/>
      <c r="C273" s="1588">
        <v>100</v>
      </c>
      <c r="D273" s="1483"/>
      <c r="E273" s="1483">
        <v>100</v>
      </c>
      <c r="F273" s="1483"/>
      <c r="G273" s="1365"/>
      <c r="H273" s="1477"/>
      <c r="I273" s="1365">
        <v>2390</v>
      </c>
      <c r="J273" s="1432"/>
      <c r="K273" s="1508"/>
      <c r="L273" s="1410">
        <f t="shared" si="65"/>
        <v>0</v>
      </c>
      <c r="M273" s="1481"/>
    </row>
    <row r="274" spans="1:13" x14ac:dyDescent="0.2">
      <c r="A274" s="2355">
        <v>4.34</v>
      </c>
      <c r="B274" s="2371" t="s">
        <v>1618</v>
      </c>
      <c r="C274" s="1506">
        <f>SUM(C275:C277)</f>
        <v>3000</v>
      </c>
      <c r="D274" s="1507">
        <f t="shared" ref="D274:M274" si="72">SUM(D275:D277)</f>
        <v>0</v>
      </c>
      <c r="E274" s="1507">
        <f t="shared" si="72"/>
        <v>0</v>
      </c>
      <c r="F274" s="1507">
        <f t="shared" si="72"/>
        <v>0</v>
      </c>
      <c r="G274" s="1340">
        <f t="shared" si="72"/>
        <v>0</v>
      </c>
      <c r="H274" s="1507">
        <f t="shared" si="72"/>
        <v>0</v>
      </c>
      <c r="I274" s="1340"/>
      <c r="J274" s="1507">
        <f t="shared" si="72"/>
        <v>0</v>
      </c>
      <c r="K274" s="1507">
        <f t="shared" si="72"/>
        <v>0</v>
      </c>
      <c r="L274" s="1507">
        <f t="shared" si="72"/>
        <v>0</v>
      </c>
      <c r="M274" s="1589">
        <f t="shared" si="72"/>
        <v>0</v>
      </c>
    </row>
    <row r="275" spans="1:13" x14ac:dyDescent="0.2">
      <c r="A275" s="2356"/>
      <c r="B275" s="2372"/>
      <c r="C275" s="1585">
        <v>800</v>
      </c>
      <c r="D275" s="1374"/>
      <c r="E275" s="1374"/>
      <c r="F275" s="1374"/>
      <c r="G275" s="1344"/>
      <c r="H275" s="1375"/>
      <c r="I275" s="1345">
        <v>1150</v>
      </c>
      <c r="J275" s="1376"/>
      <c r="K275" s="1389"/>
      <c r="L275" s="1580">
        <f t="shared" si="65"/>
        <v>0</v>
      </c>
      <c r="M275" s="1475"/>
    </row>
    <row r="276" spans="1:13" x14ac:dyDescent="0.2">
      <c r="A276" s="2356"/>
      <c r="B276" s="2373"/>
      <c r="C276" s="1591">
        <v>1900</v>
      </c>
      <c r="D276" s="1357"/>
      <c r="E276" s="1357"/>
      <c r="F276" s="1357"/>
      <c r="G276" s="770"/>
      <c r="H276" s="1359"/>
      <c r="I276" s="771">
        <v>2264</v>
      </c>
      <c r="J276" s="1360"/>
      <c r="K276" s="1396"/>
      <c r="L276" s="999">
        <f t="shared" si="65"/>
        <v>0</v>
      </c>
      <c r="M276" s="1289"/>
    </row>
    <row r="277" spans="1:13" x14ac:dyDescent="0.2">
      <c r="A277" s="2357"/>
      <c r="B277" s="2374"/>
      <c r="C277" s="1588">
        <v>300</v>
      </c>
      <c r="D277" s="1507"/>
      <c r="E277" s="1507"/>
      <c r="F277" s="1507"/>
      <c r="G277" s="1340"/>
      <c r="H277" s="1486"/>
      <c r="I277" s="1365">
        <v>2390</v>
      </c>
      <c r="J277" s="1432"/>
      <c r="K277" s="1508"/>
      <c r="L277" s="1377">
        <f t="shared" si="65"/>
        <v>0</v>
      </c>
      <c r="M277" s="1481"/>
    </row>
    <row r="278" spans="1:13" x14ac:dyDescent="0.2">
      <c r="A278" s="1323">
        <v>4.3499999999999996</v>
      </c>
      <c r="B278" s="1316" t="s">
        <v>1619</v>
      </c>
      <c r="C278" s="1531">
        <v>1250</v>
      </c>
      <c r="D278" s="1412">
        <v>0</v>
      </c>
      <c r="E278" s="1412">
        <v>1250</v>
      </c>
      <c r="F278" s="1412">
        <v>0</v>
      </c>
      <c r="G278" s="1337">
        <v>0</v>
      </c>
      <c r="H278" s="1572">
        <v>0</v>
      </c>
      <c r="I278" s="1499">
        <v>1150</v>
      </c>
      <c r="J278" s="1487"/>
      <c r="K278" s="1488"/>
      <c r="L278" s="1390">
        <f t="shared" si="65"/>
        <v>0</v>
      </c>
      <c r="M278" s="1489"/>
    </row>
    <row r="279" spans="1:13" x14ac:dyDescent="0.2">
      <c r="A279" s="2355">
        <v>4.3600000000000003</v>
      </c>
      <c r="B279" s="2375" t="s">
        <v>1904</v>
      </c>
      <c r="C279" s="1593">
        <f>SUM(C280:C284)</f>
        <v>0</v>
      </c>
      <c r="D279" s="1594">
        <f>SUM(D280:D284)</f>
        <v>0</v>
      </c>
      <c r="E279" s="1594">
        <f>SUM(E280:E284)</f>
        <v>0</v>
      </c>
      <c r="F279" s="1594">
        <f>SUM(F280:F284)</f>
        <v>0</v>
      </c>
      <c r="G279" s="1594">
        <f>SUM(G280:G284)</f>
        <v>12500</v>
      </c>
      <c r="H279" s="1594">
        <f t="shared" ref="H279:M279" si="73">SUM(H280:H284)</f>
        <v>0</v>
      </c>
      <c r="I279" s="1594"/>
      <c r="J279" s="1594">
        <f>SUM(J280:J284)</f>
        <v>12500</v>
      </c>
      <c r="K279" s="1594">
        <f t="shared" si="73"/>
        <v>0</v>
      </c>
      <c r="L279" s="1594">
        <f>SUM(L280:L284)</f>
        <v>17789</v>
      </c>
      <c r="M279" s="1595">
        <f t="shared" si="73"/>
        <v>0</v>
      </c>
    </row>
    <row r="280" spans="1:13" x14ac:dyDescent="0.2">
      <c r="A280" s="2356"/>
      <c r="B280" s="2376"/>
      <c r="C280" s="1504"/>
      <c r="D280" s="1374"/>
      <c r="E280" s="1374"/>
      <c r="F280" s="1374"/>
      <c r="G280" s="1596">
        <v>1700</v>
      </c>
      <c r="H280" s="1580"/>
      <c r="I280" s="1345">
        <v>1150</v>
      </c>
      <c r="J280" s="1376">
        <v>1700</v>
      </c>
      <c r="K280" s="1389"/>
      <c r="L280" s="1580">
        <f t="shared" si="65"/>
        <v>2419</v>
      </c>
      <c r="M280" s="1475"/>
    </row>
    <row r="281" spans="1:13" x14ac:dyDescent="0.2">
      <c r="A281" s="2356"/>
      <c r="B281" s="2376"/>
      <c r="C281" s="1505"/>
      <c r="D281" s="1357"/>
      <c r="E281" s="1357"/>
      <c r="F281" s="1357"/>
      <c r="G281" s="1597">
        <v>6300</v>
      </c>
      <c r="H281" s="1456"/>
      <c r="I281" s="771">
        <v>2264</v>
      </c>
      <c r="J281" s="1360">
        <v>6300</v>
      </c>
      <c r="K281" s="1396"/>
      <c r="L281" s="999">
        <f t="shared" si="65"/>
        <v>8965</v>
      </c>
      <c r="M281" s="1289"/>
    </row>
    <row r="282" spans="1:13" x14ac:dyDescent="0.2">
      <c r="A282" s="2356"/>
      <c r="B282" s="2376"/>
      <c r="C282" s="1505"/>
      <c r="D282" s="1357"/>
      <c r="E282" s="1357"/>
      <c r="F282" s="1357"/>
      <c r="G282" s="1597">
        <v>100</v>
      </c>
      <c r="H282" s="999"/>
      <c r="I282" s="771">
        <v>2269</v>
      </c>
      <c r="J282" s="1360">
        <v>100</v>
      </c>
      <c r="K282" s="1396"/>
      <c r="L282" s="999">
        <f t="shared" si="65"/>
        <v>143</v>
      </c>
      <c r="M282" s="1289"/>
    </row>
    <row r="283" spans="1:13" x14ac:dyDescent="0.2">
      <c r="A283" s="2356"/>
      <c r="B283" s="2376"/>
      <c r="C283" s="1505"/>
      <c r="D283" s="1357"/>
      <c r="E283" s="1357"/>
      <c r="F283" s="1357"/>
      <c r="G283" s="1597">
        <v>3000</v>
      </c>
      <c r="H283" s="1470"/>
      <c r="I283" s="771">
        <v>2279</v>
      </c>
      <c r="J283" s="1360">
        <v>3000</v>
      </c>
      <c r="K283" s="1396"/>
      <c r="L283" s="999">
        <f t="shared" si="65"/>
        <v>4269</v>
      </c>
      <c r="M283" s="1289"/>
    </row>
    <row r="284" spans="1:13" x14ac:dyDescent="0.2">
      <c r="A284" s="2357"/>
      <c r="B284" s="2377"/>
      <c r="C284" s="1598"/>
      <c r="D284" s="1364"/>
      <c r="E284" s="1364"/>
      <c r="F284" s="1364"/>
      <c r="G284" s="1599">
        <v>1400</v>
      </c>
      <c r="H284" s="1410"/>
      <c r="I284" s="776">
        <v>2390</v>
      </c>
      <c r="J284" s="1367">
        <v>1400</v>
      </c>
      <c r="K284" s="1409"/>
      <c r="L284" s="1377">
        <f t="shared" si="65"/>
        <v>1993</v>
      </c>
      <c r="M284" s="1570"/>
    </row>
    <row r="285" spans="1:13" x14ac:dyDescent="0.2">
      <c r="A285" s="2355">
        <v>4.37</v>
      </c>
      <c r="B285" s="2375" t="s">
        <v>1905</v>
      </c>
      <c r="C285" s="1370">
        <f>SUM(C286:C290)</f>
        <v>0</v>
      </c>
      <c r="D285" s="1371">
        <f>SUM(D286:D290)</f>
        <v>0</v>
      </c>
      <c r="E285" s="1371">
        <f>SUM(E286:E290)</f>
        <v>0</v>
      </c>
      <c r="F285" s="1371">
        <f>SUM(F286:F290)</f>
        <v>0</v>
      </c>
      <c r="G285" s="1371">
        <f>SUM(G286:G290)</f>
        <v>12500</v>
      </c>
      <c r="H285" s="1371">
        <f t="shared" ref="H285:M285" si="74">SUM(H286:H290)</f>
        <v>0</v>
      </c>
      <c r="I285" s="1371"/>
      <c r="J285" s="1371">
        <f>SUM(J286:J290)</f>
        <v>12500</v>
      </c>
      <c r="K285" s="1371">
        <f t="shared" si="74"/>
        <v>0</v>
      </c>
      <c r="L285" s="1371">
        <f>SUM(L286:L290)</f>
        <v>17789</v>
      </c>
      <c r="M285" s="1341">
        <f t="shared" si="74"/>
        <v>0</v>
      </c>
    </row>
    <row r="286" spans="1:13" x14ac:dyDescent="0.2">
      <c r="A286" s="2356"/>
      <c r="B286" s="2376"/>
      <c r="C286" s="1504"/>
      <c r="D286" s="1374"/>
      <c r="E286" s="1374"/>
      <c r="F286" s="1374"/>
      <c r="G286" s="1596">
        <v>1700</v>
      </c>
      <c r="H286" s="1375"/>
      <c r="I286" s="1345">
        <v>1150</v>
      </c>
      <c r="J286" s="1376">
        <v>1700</v>
      </c>
      <c r="K286" s="1389"/>
      <c r="L286" s="1580">
        <f t="shared" si="65"/>
        <v>2419</v>
      </c>
      <c r="M286" s="1288"/>
    </row>
    <row r="287" spans="1:13" x14ac:dyDescent="0.2">
      <c r="A287" s="2356"/>
      <c r="B287" s="2376"/>
      <c r="C287" s="1600"/>
      <c r="D287" s="1349"/>
      <c r="E287" s="1349"/>
      <c r="F287" s="1349"/>
      <c r="G287" s="1597">
        <v>6300</v>
      </c>
      <c r="H287" s="1351"/>
      <c r="I287" s="771">
        <v>2264</v>
      </c>
      <c r="J287" s="1352">
        <v>6300</v>
      </c>
      <c r="K287" s="1516"/>
      <c r="L287" s="999">
        <f t="shared" si="65"/>
        <v>8965</v>
      </c>
      <c r="M287" s="1288"/>
    </row>
    <row r="288" spans="1:13" x14ac:dyDescent="0.2">
      <c r="A288" s="2356"/>
      <c r="B288" s="2376"/>
      <c r="C288" s="1601"/>
      <c r="D288" s="1492"/>
      <c r="E288" s="1492"/>
      <c r="F288" s="1492"/>
      <c r="G288" s="1597">
        <v>100</v>
      </c>
      <c r="H288" s="1494"/>
      <c r="I288" s="771">
        <v>2269</v>
      </c>
      <c r="J288" s="1386">
        <v>100</v>
      </c>
      <c r="K288" s="1393"/>
      <c r="L288" s="999">
        <f t="shared" si="65"/>
        <v>143</v>
      </c>
      <c r="M288" s="1602"/>
    </row>
    <row r="289" spans="1:13" x14ac:dyDescent="0.2">
      <c r="A289" s="2356"/>
      <c r="B289" s="2376"/>
      <c r="C289" s="1505"/>
      <c r="D289" s="1357"/>
      <c r="E289" s="1357"/>
      <c r="F289" s="1357"/>
      <c r="G289" s="1597">
        <v>3000</v>
      </c>
      <c r="H289" s="1359"/>
      <c r="I289" s="771">
        <v>2279</v>
      </c>
      <c r="J289" s="1360">
        <v>3000</v>
      </c>
      <c r="K289" s="1396"/>
      <c r="L289" s="999">
        <f t="shared" si="65"/>
        <v>4269</v>
      </c>
      <c r="M289" s="1289"/>
    </row>
    <row r="290" spans="1:13" x14ac:dyDescent="0.2">
      <c r="A290" s="2357"/>
      <c r="B290" s="2376"/>
      <c r="C290" s="1603"/>
      <c r="D290" s="1380"/>
      <c r="E290" s="1380"/>
      <c r="F290" s="1380"/>
      <c r="G290" s="1604">
        <v>1400</v>
      </c>
      <c r="H290" s="1382"/>
      <c r="I290" s="1381">
        <v>2390</v>
      </c>
      <c r="J290" s="1383">
        <v>1400</v>
      </c>
      <c r="K290" s="1535"/>
      <c r="L290" s="1377">
        <f t="shared" si="65"/>
        <v>1993</v>
      </c>
      <c r="M290" s="1570"/>
    </row>
    <row r="291" spans="1:13" x14ac:dyDescent="0.2">
      <c r="A291" s="2355">
        <v>4.38</v>
      </c>
      <c r="B291" s="2358" t="s">
        <v>1906</v>
      </c>
      <c r="C291" s="1411">
        <f>SUM(C292:C294)</f>
        <v>0</v>
      </c>
      <c r="D291" s="1412">
        <f t="shared" ref="D291:K291" si="75">SUM(D292:D294)</f>
        <v>0</v>
      </c>
      <c r="E291" s="1412">
        <f t="shared" si="75"/>
        <v>0</v>
      </c>
      <c r="F291" s="1412">
        <f t="shared" si="75"/>
        <v>0</v>
      </c>
      <c r="G291" s="1337">
        <f t="shared" si="75"/>
        <v>1850</v>
      </c>
      <c r="H291" s="1412">
        <f t="shared" si="75"/>
        <v>0</v>
      </c>
      <c r="I291" s="1337"/>
      <c r="J291" s="1412">
        <f>SUM(J292:J294)</f>
        <v>1850</v>
      </c>
      <c r="K291" s="1412">
        <f t="shared" si="75"/>
        <v>0</v>
      </c>
      <c r="L291" s="1412">
        <f>SUM(L292:L294)</f>
        <v>2634</v>
      </c>
      <c r="M291" s="1413">
        <f>SUM(M292:M294)</f>
        <v>0</v>
      </c>
    </row>
    <row r="292" spans="1:13" x14ac:dyDescent="0.2">
      <c r="A292" s="2356"/>
      <c r="B292" s="2353"/>
      <c r="C292" s="1509"/>
      <c r="D292" s="1376"/>
      <c r="E292" s="1376"/>
      <c r="F292" s="1376"/>
      <c r="G292" s="1428">
        <v>250</v>
      </c>
      <c r="H292" s="1377"/>
      <c r="I292" s="1428">
        <v>1150</v>
      </c>
      <c r="J292" s="1376">
        <v>250</v>
      </c>
      <c r="K292" s="1389"/>
      <c r="L292" s="1377">
        <f t="shared" si="65"/>
        <v>356</v>
      </c>
      <c r="M292" s="1288"/>
    </row>
    <row r="293" spans="1:13" x14ac:dyDescent="0.2">
      <c r="A293" s="2356"/>
      <c r="B293" s="2353"/>
      <c r="C293" s="1518"/>
      <c r="D293" s="1360"/>
      <c r="E293" s="1360"/>
      <c r="F293" s="1360"/>
      <c r="G293" s="411">
        <v>800</v>
      </c>
      <c r="H293" s="999"/>
      <c r="I293" s="411">
        <v>2264</v>
      </c>
      <c r="J293" s="1360">
        <v>800</v>
      </c>
      <c r="K293" s="1396"/>
      <c r="L293" s="1377">
        <f t="shared" si="65"/>
        <v>1139</v>
      </c>
      <c r="M293" s="1289"/>
    </row>
    <row r="294" spans="1:13" x14ac:dyDescent="0.2">
      <c r="A294" s="2357"/>
      <c r="B294" s="2354"/>
      <c r="C294" s="1523"/>
      <c r="D294" s="1432"/>
      <c r="E294" s="1432"/>
      <c r="F294" s="1432"/>
      <c r="G294" s="1433">
        <v>800</v>
      </c>
      <c r="H294" s="1410"/>
      <c r="I294" s="1433">
        <v>2390</v>
      </c>
      <c r="J294" s="1432">
        <v>800</v>
      </c>
      <c r="K294" s="1508"/>
      <c r="L294" s="1377">
        <f t="shared" si="65"/>
        <v>1139</v>
      </c>
      <c r="M294" s="1287"/>
    </row>
    <row r="295" spans="1:13" x14ac:dyDescent="0.2">
      <c r="A295" s="2355">
        <v>4.3899999999999997</v>
      </c>
      <c r="B295" s="2358" t="s">
        <v>1907</v>
      </c>
      <c r="C295" s="1411">
        <f>SUM(C296:C298)</f>
        <v>0</v>
      </c>
      <c r="D295" s="1412">
        <f t="shared" ref="D295:K295" si="76">SUM(D296:D298)</f>
        <v>0</v>
      </c>
      <c r="E295" s="1412">
        <f t="shared" si="76"/>
        <v>0</v>
      </c>
      <c r="F295" s="1412">
        <f t="shared" si="76"/>
        <v>0</v>
      </c>
      <c r="G295" s="1337">
        <f t="shared" si="76"/>
        <v>790</v>
      </c>
      <c r="H295" s="1412">
        <f t="shared" si="76"/>
        <v>0</v>
      </c>
      <c r="I295" s="1337"/>
      <c r="J295" s="1412">
        <f>SUM(J296:J298)</f>
        <v>0</v>
      </c>
      <c r="K295" s="1412">
        <f t="shared" si="76"/>
        <v>0</v>
      </c>
      <c r="L295" s="1412">
        <f>SUM(L296:L298)</f>
        <v>0</v>
      </c>
      <c r="M295" s="1413">
        <f>SUM(M296:M298)</f>
        <v>0</v>
      </c>
    </row>
    <row r="296" spans="1:13" x14ac:dyDescent="0.2">
      <c r="A296" s="2356"/>
      <c r="B296" s="2353"/>
      <c r="C296" s="1509"/>
      <c r="D296" s="1376"/>
      <c r="E296" s="1376"/>
      <c r="F296" s="1376"/>
      <c r="G296" s="1428">
        <v>140</v>
      </c>
      <c r="H296" s="1377"/>
      <c r="I296" s="1428">
        <v>1150</v>
      </c>
      <c r="J296" s="1376"/>
      <c r="K296" s="1389"/>
      <c r="L296" s="1377">
        <f t="shared" si="65"/>
        <v>0</v>
      </c>
      <c r="M296" s="1288"/>
    </row>
    <row r="297" spans="1:13" x14ac:dyDescent="0.2">
      <c r="A297" s="2356"/>
      <c r="B297" s="2353"/>
      <c r="C297" s="1518"/>
      <c r="D297" s="1360"/>
      <c r="E297" s="1360"/>
      <c r="F297" s="1360"/>
      <c r="G297" s="411">
        <v>250</v>
      </c>
      <c r="H297" s="999"/>
      <c r="I297" s="411">
        <v>2279</v>
      </c>
      <c r="J297" s="1360"/>
      <c r="K297" s="1396"/>
      <c r="L297" s="1377">
        <f t="shared" si="65"/>
        <v>0</v>
      </c>
      <c r="M297" s="1289"/>
    </row>
    <row r="298" spans="1:13" x14ac:dyDescent="0.2">
      <c r="A298" s="2357"/>
      <c r="B298" s="2354"/>
      <c r="C298" s="1523"/>
      <c r="D298" s="1432"/>
      <c r="E298" s="1432"/>
      <c r="F298" s="1432"/>
      <c r="G298" s="1433">
        <v>400</v>
      </c>
      <c r="H298" s="1410"/>
      <c r="I298" s="1433">
        <v>2390</v>
      </c>
      <c r="J298" s="1432"/>
      <c r="K298" s="1508"/>
      <c r="L298" s="1377">
        <f t="shared" ref="L298:L329" si="77">ROUNDUP(J298/0.702804,0)</f>
        <v>0</v>
      </c>
      <c r="M298" s="1287"/>
    </row>
    <row r="299" spans="1:13" x14ac:dyDescent="0.2">
      <c r="A299" s="2362">
        <v>4.4000000000000004</v>
      </c>
      <c r="B299" s="2368" t="s">
        <v>1908</v>
      </c>
      <c r="C299" s="1179">
        <f t="shared" ref="C299:H299" si="78">SUM(C300:C301)</f>
        <v>0</v>
      </c>
      <c r="D299" s="1290">
        <f t="shared" si="78"/>
        <v>0</v>
      </c>
      <c r="E299" s="1290">
        <f t="shared" si="78"/>
        <v>0</v>
      </c>
      <c r="F299" s="1290">
        <f t="shared" si="78"/>
        <v>0</v>
      </c>
      <c r="G299" s="1290">
        <f t="shared" si="78"/>
        <v>5000</v>
      </c>
      <c r="H299" s="1290">
        <f t="shared" si="78"/>
        <v>0</v>
      </c>
      <c r="I299" s="1290"/>
      <c r="J299" s="1290">
        <f>SUM(J300:J301)</f>
        <v>0</v>
      </c>
      <c r="K299" s="1290">
        <f>SUM(K300:K301)</f>
        <v>0</v>
      </c>
      <c r="L299" s="1290">
        <f>SUM(L300:L301)</f>
        <v>0</v>
      </c>
      <c r="M299" s="1181">
        <f>SUM(M300:M301)</f>
        <v>0</v>
      </c>
    </row>
    <row r="300" spans="1:13" x14ac:dyDescent="0.2">
      <c r="A300" s="2363"/>
      <c r="B300" s="2369"/>
      <c r="C300" s="1282"/>
      <c r="D300" s="1182"/>
      <c r="E300" s="1182"/>
      <c r="F300" s="1182"/>
      <c r="G300" s="1294">
        <v>2500</v>
      </c>
      <c r="H300" s="1182"/>
      <c r="I300" s="1781">
        <v>1150</v>
      </c>
      <c r="J300" s="1182"/>
      <c r="K300" s="1516"/>
      <c r="L300" s="1377">
        <f t="shared" si="77"/>
        <v>0</v>
      </c>
      <c r="M300" s="1288"/>
    </row>
    <row r="301" spans="1:13" x14ac:dyDescent="0.2">
      <c r="A301" s="2364"/>
      <c r="B301" s="2370"/>
      <c r="C301" s="1283"/>
      <c r="D301" s="1183"/>
      <c r="E301" s="1183"/>
      <c r="F301" s="1183"/>
      <c r="G301" s="1295">
        <v>2500</v>
      </c>
      <c r="H301" s="1183"/>
      <c r="I301" s="1407">
        <v>2279</v>
      </c>
      <c r="J301" s="1183"/>
      <c r="K301" s="1409"/>
      <c r="L301" s="1377">
        <f t="shared" si="77"/>
        <v>0</v>
      </c>
      <c r="M301" s="1287"/>
    </row>
    <row r="302" spans="1:13" x14ac:dyDescent="0.2">
      <c r="A302" s="2355">
        <v>4.41</v>
      </c>
      <c r="B302" s="2365" t="s">
        <v>1909</v>
      </c>
      <c r="C302" s="1184">
        <f t="shared" ref="C302:H302" si="79">SUM(C303:C304)</f>
        <v>0</v>
      </c>
      <c r="D302" s="1291">
        <f t="shared" si="79"/>
        <v>0</v>
      </c>
      <c r="E302" s="1292">
        <f t="shared" si="79"/>
        <v>0</v>
      </c>
      <c r="F302" s="1292">
        <f t="shared" si="79"/>
        <v>0</v>
      </c>
      <c r="G302" s="1292">
        <f t="shared" si="79"/>
        <v>400</v>
      </c>
      <c r="H302" s="1292">
        <f t="shared" si="79"/>
        <v>0</v>
      </c>
      <c r="I302" s="1292"/>
      <c r="J302" s="1292">
        <f>SUM(J303:J304)</f>
        <v>0</v>
      </c>
      <c r="K302" s="1291">
        <f>SUM(K303:K304)</f>
        <v>0</v>
      </c>
      <c r="L302" s="1292">
        <f>SUM(L303:L304)</f>
        <v>0</v>
      </c>
      <c r="M302" s="1189">
        <f>SUM(M303:M304)</f>
        <v>0</v>
      </c>
    </row>
    <row r="303" spans="1:13" x14ac:dyDescent="0.2">
      <c r="A303" s="2356"/>
      <c r="B303" s="2366"/>
      <c r="C303" s="1185"/>
      <c r="D303" s="1186"/>
      <c r="E303" s="1186"/>
      <c r="F303" s="1186"/>
      <c r="G303" s="1296">
        <v>150</v>
      </c>
      <c r="H303" s="1186"/>
      <c r="I303" s="1782">
        <v>1150</v>
      </c>
      <c r="J303" s="1195"/>
      <c r="K303" s="1389"/>
      <c r="L303" s="1580">
        <f t="shared" si="77"/>
        <v>0</v>
      </c>
      <c r="M303" s="1475"/>
    </row>
    <row r="304" spans="1:13" x14ac:dyDescent="0.2">
      <c r="A304" s="2357"/>
      <c r="B304" s="2367"/>
      <c r="C304" s="1187"/>
      <c r="D304" s="1188"/>
      <c r="E304" s="1188"/>
      <c r="F304" s="1188"/>
      <c r="G304" s="1297">
        <v>250</v>
      </c>
      <c r="H304" s="1188"/>
      <c r="I304" s="1407">
        <v>2390</v>
      </c>
      <c r="J304" s="1183"/>
      <c r="K304" s="1409"/>
      <c r="L304" s="1410">
        <f t="shared" si="77"/>
        <v>0</v>
      </c>
      <c r="M304" s="1287"/>
    </row>
    <row r="305" spans="1:13" x14ac:dyDescent="0.2">
      <c r="A305" s="2355">
        <v>4.42</v>
      </c>
      <c r="B305" s="2365" t="s">
        <v>1910</v>
      </c>
      <c r="C305" s="1184">
        <f t="shared" ref="C305:H305" si="80">SUM(C306:C307)</f>
        <v>0</v>
      </c>
      <c r="D305" s="1291">
        <f t="shared" si="80"/>
        <v>0</v>
      </c>
      <c r="E305" s="1292">
        <f t="shared" si="80"/>
        <v>0</v>
      </c>
      <c r="F305" s="1292">
        <f t="shared" si="80"/>
        <v>0</v>
      </c>
      <c r="G305" s="1292">
        <f t="shared" si="80"/>
        <v>250</v>
      </c>
      <c r="H305" s="1291">
        <f t="shared" si="80"/>
        <v>0</v>
      </c>
      <c r="I305" s="1292"/>
      <c r="J305" s="1292">
        <f>SUM(J306:J307)</f>
        <v>0</v>
      </c>
      <c r="K305" s="1292">
        <f>SUM(K306:K307)</f>
        <v>0</v>
      </c>
      <c r="L305" s="1291">
        <f>SUM(L306:L307)</f>
        <v>0</v>
      </c>
      <c r="M305" s="1189">
        <f>SUM(M306:M307)</f>
        <v>0</v>
      </c>
    </row>
    <row r="306" spans="1:13" x14ac:dyDescent="0.2">
      <c r="A306" s="2356"/>
      <c r="B306" s="2366"/>
      <c r="C306" s="1185"/>
      <c r="D306" s="1186"/>
      <c r="E306" s="1186"/>
      <c r="F306" s="1186"/>
      <c r="G306" s="1296">
        <v>100</v>
      </c>
      <c r="H306" s="1186"/>
      <c r="I306" s="1782">
        <v>1150</v>
      </c>
      <c r="J306" s="1195"/>
      <c r="K306" s="1389"/>
      <c r="L306" s="1580">
        <f t="shared" si="77"/>
        <v>0</v>
      </c>
      <c r="M306" s="1475"/>
    </row>
    <row r="307" spans="1:13" x14ac:dyDescent="0.2">
      <c r="A307" s="2357"/>
      <c r="B307" s="2366"/>
      <c r="C307" s="1187"/>
      <c r="D307" s="1188"/>
      <c r="E307" s="1188"/>
      <c r="F307" s="1188"/>
      <c r="G307" s="1297">
        <v>150</v>
      </c>
      <c r="H307" s="1188"/>
      <c r="I307" s="1407">
        <v>2390</v>
      </c>
      <c r="J307" s="1183"/>
      <c r="K307" s="1409"/>
      <c r="L307" s="1410">
        <f t="shared" si="77"/>
        <v>0</v>
      </c>
      <c r="M307" s="1287"/>
    </row>
    <row r="308" spans="1:13" x14ac:dyDescent="0.2">
      <c r="A308" s="2355">
        <v>4.43</v>
      </c>
      <c r="B308" s="2365" t="s">
        <v>1911</v>
      </c>
      <c r="C308" s="1190">
        <f t="shared" ref="C308:H308" si="81">SUM(C309:C310)</f>
        <v>0</v>
      </c>
      <c r="D308" s="1292">
        <f t="shared" si="81"/>
        <v>0</v>
      </c>
      <c r="E308" s="1292">
        <f t="shared" si="81"/>
        <v>0</v>
      </c>
      <c r="F308" s="1292">
        <f t="shared" si="81"/>
        <v>0</v>
      </c>
      <c r="G308" s="1292">
        <f t="shared" si="81"/>
        <v>1000</v>
      </c>
      <c r="H308" s="1292">
        <f t="shared" si="81"/>
        <v>0</v>
      </c>
      <c r="I308" s="1292"/>
      <c r="J308" s="1292">
        <f>SUM(J309:J310)</f>
        <v>0</v>
      </c>
      <c r="K308" s="1292">
        <f>SUM(K309:K310)</f>
        <v>0</v>
      </c>
      <c r="L308" s="1292">
        <f>SUM(L309:L310)</f>
        <v>0</v>
      </c>
      <c r="M308" s="1189">
        <f>SUM(M309:M310)</f>
        <v>0</v>
      </c>
    </row>
    <row r="309" spans="1:13" x14ac:dyDescent="0.2">
      <c r="A309" s="2356"/>
      <c r="B309" s="2366"/>
      <c r="C309" s="1185"/>
      <c r="D309" s="1186"/>
      <c r="E309" s="1186"/>
      <c r="F309" s="1186"/>
      <c r="G309" s="1296">
        <v>500</v>
      </c>
      <c r="H309" s="1186"/>
      <c r="I309" s="1782">
        <v>1150</v>
      </c>
      <c r="J309" s="1195"/>
      <c r="K309" s="1389"/>
      <c r="L309" s="1580">
        <f t="shared" si="77"/>
        <v>0</v>
      </c>
      <c r="M309" s="1475"/>
    </row>
    <row r="310" spans="1:13" x14ac:dyDescent="0.2">
      <c r="A310" s="2357"/>
      <c r="B310" s="2366"/>
      <c r="C310" s="1187"/>
      <c r="D310" s="1188"/>
      <c r="E310" s="1188"/>
      <c r="F310" s="1188"/>
      <c r="G310" s="1297">
        <v>500</v>
      </c>
      <c r="H310" s="1188"/>
      <c r="I310" s="1407">
        <v>2390</v>
      </c>
      <c r="J310" s="1183"/>
      <c r="K310" s="1409"/>
      <c r="L310" s="1410">
        <f t="shared" si="77"/>
        <v>0</v>
      </c>
      <c r="M310" s="1287"/>
    </row>
    <row r="311" spans="1:13" x14ac:dyDescent="0.2">
      <c r="A311" s="2355">
        <v>4.4400000000000004</v>
      </c>
      <c r="B311" s="2365" t="s">
        <v>1912</v>
      </c>
      <c r="C311" s="1190">
        <f t="shared" ref="C311:H311" si="82">SUM(C312:C313)</f>
        <v>0</v>
      </c>
      <c r="D311" s="1292">
        <f t="shared" si="82"/>
        <v>0</v>
      </c>
      <c r="E311" s="1291">
        <f t="shared" si="82"/>
        <v>0</v>
      </c>
      <c r="F311" s="1292">
        <f t="shared" si="82"/>
        <v>0</v>
      </c>
      <c r="G311" s="1292">
        <f t="shared" si="82"/>
        <v>400</v>
      </c>
      <c r="H311" s="1292">
        <f t="shared" si="82"/>
        <v>0</v>
      </c>
      <c r="I311" s="1291"/>
      <c r="J311" s="1292">
        <f>SUM(J312:J313)</f>
        <v>0</v>
      </c>
      <c r="K311" s="1292">
        <f>SUM(K312:K313)</f>
        <v>0</v>
      </c>
      <c r="L311" s="1292">
        <f>SUM(L312:L313)</f>
        <v>0</v>
      </c>
      <c r="M311" s="1191">
        <f>SUM(M312:M313)</f>
        <v>0</v>
      </c>
    </row>
    <row r="312" spans="1:13" x14ac:dyDescent="0.2">
      <c r="A312" s="2356"/>
      <c r="B312" s="2366"/>
      <c r="C312" s="1185"/>
      <c r="D312" s="1186"/>
      <c r="E312" s="1186"/>
      <c r="F312" s="1186"/>
      <c r="G312" s="1296">
        <v>100</v>
      </c>
      <c r="H312" s="1186"/>
      <c r="I312" s="1782">
        <v>1150</v>
      </c>
      <c r="J312" s="1195"/>
      <c r="K312" s="1389"/>
      <c r="L312" s="1580">
        <f t="shared" si="77"/>
        <v>0</v>
      </c>
      <c r="M312" s="1475"/>
    </row>
    <row r="313" spans="1:13" x14ac:dyDescent="0.2">
      <c r="A313" s="2357"/>
      <c r="B313" s="2366"/>
      <c r="C313" s="1187"/>
      <c r="D313" s="1188"/>
      <c r="E313" s="1188"/>
      <c r="F313" s="1188"/>
      <c r="G313" s="1297">
        <v>300</v>
      </c>
      <c r="H313" s="1188"/>
      <c r="I313" s="1407">
        <v>2390</v>
      </c>
      <c r="J313" s="1183"/>
      <c r="K313" s="1409"/>
      <c r="L313" s="1410">
        <f t="shared" si="77"/>
        <v>0</v>
      </c>
      <c r="M313" s="1287"/>
    </row>
    <row r="314" spans="1:13" x14ac:dyDescent="0.2">
      <c r="A314" s="2355">
        <v>4.45</v>
      </c>
      <c r="B314" s="2365" t="s">
        <v>1913</v>
      </c>
      <c r="C314" s="1190">
        <f t="shared" ref="C314:H314" si="83">SUM(C315:C316)</f>
        <v>0</v>
      </c>
      <c r="D314" s="1292">
        <f t="shared" si="83"/>
        <v>0</v>
      </c>
      <c r="E314" s="1292">
        <f t="shared" si="83"/>
        <v>0</v>
      </c>
      <c r="F314" s="1291">
        <f t="shared" si="83"/>
        <v>0</v>
      </c>
      <c r="G314" s="1292">
        <f t="shared" si="83"/>
        <v>600</v>
      </c>
      <c r="H314" s="1292">
        <f t="shared" si="83"/>
        <v>0</v>
      </c>
      <c r="I314" s="1292"/>
      <c r="J314" s="1292">
        <f>SUM(J315:J316)</f>
        <v>0</v>
      </c>
      <c r="K314" s="1292">
        <f>SUM(K315:K316)</f>
        <v>0</v>
      </c>
      <c r="L314" s="1292">
        <f>SUM(L315:L316)</f>
        <v>0</v>
      </c>
      <c r="M314" s="1189">
        <f>SUM(M315:M316)</f>
        <v>0</v>
      </c>
    </row>
    <row r="315" spans="1:13" x14ac:dyDescent="0.2">
      <c r="A315" s="2356"/>
      <c r="B315" s="2366"/>
      <c r="C315" s="1185"/>
      <c r="D315" s="1186"/>
      <c r="E315" s="1186"/>
      <c r="F315" s="1186"/>
      <c r="G315" s="1296">
        <v>250</v>
      </c>
      <c r="H315" s="1186"/>
      <c r="I315" s="1782">
        <v>1150</v>
      </c>
      <c r="J315" s="1195"/>
      <c r="K315" s="1389"/>
      <c r="L315" s="1580">
        <f t="shared" si="77"/>
        <v>0</v>
      </c>
      <c r="M315" s="1475"/>
    </row>
    <row r="316" spans="1:13" x14ac:dyDescent="0.2">
      <c r="A316" s="2357"/>
      <c r="B316" s="2366"/>
      <c r="C316" s="1187"/>
      <c r="D316" s="1188"/>
      <c r="E316" s="1188"/>
      <c r="F316" s="1188"/>
      <c r="G316" s="1297">
        <v>350</v>
      </c>
      <c r="H316" s="1188"/>
      <c r="I316" s="1407">
        <v>2390</v>
      </c>
      <c r="J316" s="1183"/>
      <c r="K316" s="1409"/>
      <c r="L316" s="1410">
        <f t="shared" si="77"/>
        <v>0</v>
      </c>
      <c r="M316" s="1287"/>
    </row>
    <row r="317" spans="1:13" x14ac:dyDescent="0.2">
      <c r="A317" s="2355">
        <v>4.46</v>
      </c>
      <c r="B317" s="2358" t="s">
        <v>1914</v>
      </c>
      <c r="C317" s="1605">
        <f>SUM(C318:C321)</f>
        <v>0</v>
      </c>
      <c r="D317" s="1337">
        <f>SUM(D318:D321)</f>
        <v>0</v>
      </c>
      <c r="E317" s="1337">
        <f>SUM(E318:E321)</f>
        <v>0</v>
      </c>
      <c r="F317" s="1512">
        <f>SUM(F318:F321)</f>
        <v>0</v>
      </c>
      <c r="G317" s="1337">
        <f>SUM(G318:G321)</f>
        <v>2350</v>
      </c>
      <c r="H317" s="1512">
        <f t="shared" ref="H317:M317" si="84">SUM(H318:H321)</f>
        <v>0</v>
      </c>
      <c r="I317" s="1337"/>
      <c r="J317" s="1337">
        <f>SUM(J318:J321)</f>
        <v>0</v>
      </c>
      <c r="K317" s="1337">
        <f t="shared" si="84"/>
        <v>0</v>
      </c>
      <c r="L317" s="1337">
        <f>SUM(L318:L321)</f>
        <v>0</v>
      </c>
      <c r="M317" s="1606">
        <f t="shared" si="84"/>
        <v>0</v>
      </c>
    </row>
    <row r="318" spans="1:13" x14ac:dyDescent="0.2">
      <c r="A318" s="2356"/>
      <c r="B318" s="2353"/>
      <c r="C318" s="1509"/>
      <c r="D318" s="1376"/>
      <c r="E318" s="1376"/>
      <c r="F318" s="1376"/>
      <c r="G318" s="1428">
        <v>900</v>
      </c>
      <c r="H318" s="1390"/>
      <c r="I318" s="1428">
        <v>1150</v>
      </c>
      <c r="J318" s="1376"/>
      <c r="K318" s="1389"/>
      <c r="L318" s="1580">
        <f t="shared" si="77"/>
        <v>0</v>
      </c>
      <c r="M318" s="1475"/>
    </row>
    <row r="319" spans="1:13" x14ac:dyDescent="0.2">
      <c r="A319" s="2356"/>
      <c r="B319" s="2353"/>
      <c r="C319" s="1529"/>
      <c r="D319" s="1352"/>
      <c r="E319" s="1352"/>
      <c r="F319" s="1352"/>
      <c r="G319" s="1257">
        <v>900</v>
      </c>
      <c r="H319" s="1377"/>
      <c r="I319" s="1257">
        <v>2231</v>
      </c>
      <c r="J319" s="1352"/>
      <c r="K319" s="1516"/>
      <c r="L319" s="999">
        <f t="shared" si="77"/>
        <v>0</v>
      </c>
      <c r="M319" s="1288"/>
    </row>
    <row r="320" spans="1:13" x14ac:dyDescent="0.2">
      <c r="A320" s="2356"/>
      <c r="B320" s="2353"/>
      <c r="C320" s="1529"/>
      <c r="D320" s="1352"/>
      <c r="E320" s="1352"/>
      <c r="F320" s="1352"/>
      <c r="G320" s="1257">
        <v>500</v>
      </c>
      <c r="H320" s="1377"/>
      <c r="I320" s="1257">
        <v>2279</v>
      </c>
      <c r="J320" s="1352"/>
      <c r="K320" s="1516"/>
      <c r="L320" s="999">
        <f t="shared" si="77"/>
        <v>0</v>
      </c>
      <c r="M320" s="1288"/>
    </row>
    <row r="321" spans="1:13" x14ac:dyDescent="0.2">
      <c r="A321" s="2357"/>
      <c r="B321" s="2354"/>
      <c r="C321" s="1510"/>
      <c r="D321" s="1432"/>
      <c r="E321" s="1432"/>
      <c r="F321" s="1432"/>
      <c r="G321" s="1433">
        <v>50</v>
      </c>
      <c r="H321" s="1480"/>
      <c r="I321" s="1433">
        <v>2390</v>
      </c>
      <c r="J321" s="1432"/>
      <c r="K321" s="1508"/>
      <c r="L321" s="1377">
        <f t="shared" si="77"/>
        <v>0</v>
      </c>
      <c r="M321" s="1481"/>
    </row>
    <row r="322" spans="1:13" x14ac:dyDescent="0.2">
      <c r="A322" s="2355">
        <v>4.47</v>
      </c>
      <c r="B322" s="2358" t="s">
        <v>1915</v>
      </c>
      <c r="C322" s="1605">
        <f>SUM(C323:C325)</f>
        <v>0</v>
      </c>
      <c r="D322" s="1337">
        <f>SUM(D323:D325)</f>
        <v>0</v>
      </c>
      <c r="E322" s="1512">
        <f>SUM(E323:E325)</f>
        <v>0</v>
      </c>
      <c r="F322" s="1337">
        <f>SUM(F323:F325)</f>
        <v>0</v>
      </c>
      <c r="G322" s="1337">
        <f>SUM(G323:G325)</f>
        <v>2390</v>
      </c>
      <c r="H322" s="1337">
        <f t="shared" ref="H322:M322" si="85">SUM(H323:H325)</f>
        <v>0</v>
      </c>
      <c r="I322" s="1337"/>
      <c r="J322" s="1337">
        <f>SUM(J323:J325)</f>
        <v>0</v>
      </c>
      <c r="K322" s="1337">
        <f t="shared" si="85"/>
        <v>0</v>
      </c>
      <c r="L322" s="1337">
        <f>SUM(L323:L325)</f>
        <v>0</v>
      </c>
      <c r="M322" s="1338">
        <f t="shared" si="85"/>
        <v>0</v>
      </c>
    </row>
    <row r="323" spans="1:13" x14ac:dyDescent="0.2">
      <c r="A323" s="2356"/>
      <c r="B323" s="2353"/>
      <c r="C323" s="1509"/>
      <c r="D323" s="1376"/>
      <c r="E323" s="1376"/>
      <c r="F323" s="1376"/>
      <c r="G323" s="1428">
        <v>600</v>
      </c>
      <c r="H323" s="1390"/>
      <c r="I323" s="1428">
        <v>2261</v>
      </c>
      <c r="J323" s="1376"/>
      <c r="K323" s="1389"/>
      <c r="L323" s="1580">
        <f t="shared" si="77"/>
        <v>0</v>
      </c>
      <c r="M323" s="1475"/>
    </row>
    <row r="324" spans="1:13" x14ac:dyDescent="0.2">
      <c r="A324" s="2356"/>
      <c r="B324" s="2353"/>
      <c r="C324" s="1518"/>
      <c r="D324" s="1360"/>
      <c r="E324" s="1360"/>
      <c r="F324" s="1360"/>
      <c r="G324" s="411">
        <v>950</v>
      </c>
      <c r="H324" s="999"/>
      <c r="I324" s="411">
        <v>2262</v>
      </c>
      <c r="J324" s="1360"/>
      <c r="K324" s="1396"/>
      <c r="L324" s="999">
        <f t="shared" si="77"/>
        <v>0</v>
      </c>
      <c r="M324" s="1289"/>
    </row>
    <row r="325" spans="1:13" x14ac:dyDescent="0.2">
      <c r="A325" s="2357"/>
      <c r="B325" s="2354"/>
      <c r="C325" s="1510"/>
      <c r="D325" s="1432"/>
      <c r="E325" s="1432"/>
      <c r="F325" s="1432"/>
      <c r="G325" s="1433">
        <v>840</v>
      </c>
      <c r="H325" s="1480"/>
      <c r="I325" s="1433">
        <v>2363</v>
      </c>
      <c r="J325" s="1432"/>
      <c r="K325" s="1508"/>
      <c r="L325" s="1377">
        <f t="shared" si="77"/>
        <v>0</v>
      </c>
      <c r="M325" s="1481"/>
    </row>
    <row r="326" spans="1:13" x14ac:dyDescent="0.2">
      <c r="A326" s="2355">
        <v>4.4800000000000004</v>
      </c>
      <c r="B326" s="1317" t="s">
        <v>1916</v>
      </c>
      <c r="C326" s="1336">
        <f>SUM(C327:C329)</f>
        <v>0</v>
      </c>
      <c r="D326" s="1337">
        <f>SUM(D327:D329)</f>
        <v>0</v>
      </c>
      <c r="E326" s="1337">
        <f>SUM(E327:E329)</f>
        <v>0</v>
      </c>
      <c r="F326" s="1337">
        <f>SUM(F327:F329)</f>
        <v>0</v>
      </c>
      <c r="G326" s="1337">
        <f>SUM(G327:G329)</f>
        <v>1850</v>
      </c>
      <c r="H326" s="1337">
        <f t="shared" ref="H326:M326" si="86">SUM(H327:H329)</f>
        <v>0</v>
      </c>
      <c r="I326" s="1337"/>
      <c r="J326" s="1337">
        <f>SUM(J327:J329)</f>
        <v>0</v>
      </c>
      <c r="K326" s="1337">
        <f t="shared" si="86"/>
        <v>0</v>
      </c>
      <c r="L326" s="1337">
        <f>SUM(L327:L329)</f>
        <v>0</v>
      </c>
      <c r="M326" s="1338">
        <f t="shared" si="86"/>
        <v>0</v>
      </c>
    </row>
    <row r="327" spans="1:13" x14ac:dyDescent="0.2">
      <c r="A327" s="2356"/>
      <c r="B327" s="1317"/>
      <c r="C327" s="1529"/>
      <c r="D327" s="1352"/>
      <c r="E327" s="1352"/>
      <c r="F327" s="1352"/>
      <c r="G327" s="1257">
        <v>950</v>
      </c>
      <c r="H327" s="1377"/>
      <c r="I327" s="1257">
        <v>1150</v>
      </c>
      <c r="J327" s="1352"/>
      <c r="K327" s="1516"/>
      <c r="L327" s="1377">
        <f t="shared" si="77"/>
        <v>0</v>
      </c>
      <c r="M327" s="1288"/>
    </row>
    <row r="328" spans="1:13" x14ac:dyDescent="0.2">
      <c r="A328" s="2356"/>
      <c r="B328" s="1317"/>
      <c r="C328" s="1529"/>
      <c r="D328" s="1352"/>
      <c r="E328" s="1352"/>
      <c r="F328" s="1352"/>
      <c r="G328" s="1257">
        <v>500</v>
      </c>
      <c r="H328" s="1377"/>
      <c r="I328" s="1257">
        <v>2279</v>
      </c>
      <c r="J328" s="1352"/>
      <c r="K328" s="1516"/>
      <c r="L328" s="1377">
        <f t="shared" si="77"/>
        <v>0</v>
      </c>
      <c r="M328" s="1288"/>
    </row>
    <row r="329" spans="1:13" x14ac:dyDescent="0.2">
      <c r="A329" s="2357"/>
      <c r="B329" s="1318"/>
      <c r="C329" s="1510"/>
      <c r="D329" s="1432"/>
      <c r="E329" s="1432"/>
      <c r="F329" s="1432"/>
      <c r="G329" s="1433">
        <v>400</v>
      </c>
      <c r="H329" s="1480"/>
      <c r="I329" s="1433">
        <v>2390</v>
      </c>
      <c r="J329" s="1432"/>
      <c r="K329" s="1508"/>
      <c r="L329" s="1377">
        <f t="shared" si="77"/>
        <v>0</v>
      </c>
      <c r="M329" s="1481"/>
    </row>
    <row r="330" spans="1:13" x14ac:dyDescent="0.2">
      <c r="A330" s="2355">
        <v>4.49</v>
      </c>
      <c r="B330" s="2359" t="s">
        <v>1917</v>
      </c>
      <c r="C330" s="1336">
        <f>SUM(C331:C333)</f>
        <v>0</v>
      </c>
      <c r="D330" s="1337">
        <f>SUM(D331:D333)</f>
        <v>0</v>
      </c>
      <c r="E330" s="1337">
        <f>SUM(E331:E333)</f>
        <v>0</v>
      </c>
      <c r="F330" s="1512">
        <f>SUM(F331:F333)</f>
        <v>0</v>
      </c>
      <c r="G330" s="1337">
        <f>SUM(G331:G333)</f>
        <v>1625</v>
      </c>
      <c r="H330" s="1337">
        <f t="shared" ref="H330:M330" si="87">SUM(H331:H333)</f>
        <v>0</v>
      </c>
      <c r="I330" s="1337"/>
      <c r="J330" s="1512">
        <f>SUM(J331:J333)</f>
        <v>0</v>
      </c>
      <c r="K330" s="1337">
        <f t="shared" si="87"/>
        <v>0</v>
      </c>
      <c r="L330" s="1337">
        <f>SUM(L331:L333)</f>
        <v>0</v>
      </c>
      <c r="M330" s="1606">
        <f t="shared" si="87"/>
        <v>0</v>
      </c>
    </row>
    <row r="331" spans="1:13" x14ac:dyDescent="0.2">
      <c r="A331" s="2356"/>
      <c r="B331" s="2360"/>
      <c r="C331" s="1509"/>
      <c r="D331" s="1376"/>
      <c r="E331" s="1376"/>
      <c r="F331" s="1376"/>
      <c r="G331" s="1428">
        <v>1000</v>
      </c>
      <c r="H331" s="1390"/>
      <c r="I331" s="1428">
        <v>1150</v>
      </c>
      <c r="J331" s="1376"/>
      <c r="K331" s="1389"/>
      <c r="L331" s="1580">
        <f t="shared" ref="L331:L398" si="88">ROUNDUP(J331/0.702804,0)</f>
        <v>0</v>
      </c>
      <c r="M331" s="1475"/>
    </row>
    <row r="332" spans="1:13" x14ac:dyDescent="0.2">
      <c r="A332" s="2356"/>
      <c r="B332" s="2360"/>
      <c r="C332" s="1192"/>
      <c r="D332" s="1193"/>
      <c r="E332" s="1193"/>
      <c r="F332" s="1293"/>
      <c r="G332" s="1298">
        <v>200</v>
      </c>
      <c r="H332" s="1193"/>
      <c r="I332" s="1298">
        <v>2279</v>
      </c>
      <c r="J332" s="1294"/>
      <c r="K332" s="1293"/>
      <c r="L332" s="999">
        <f t="shared" si="88"/>
        <v>0</v>
      </c>
      <c r="M332" s="1194"/>
    </row>
    <row r="333" spans="1:13" x14ac:dyDescent="0.2">
      <c r="A333" s="2357"/>
      <c r="B333" s="2361"/>
      <c r="C333" s="1283"/>
      <c r="D333" s="1183"/>
      <c r="E333" s="1183"/>
      <c r="F333" s="1183"/>
      <c r="G333" s="1295">
        <v>425</v>
      </c>
      <c r="H333" s="1183"/>
      <c r="I333" s="1407">
        <v>2390</v>
      </c>
      <c r="J333" s="1183"/>
      <c r="K333" s="1409"/>
      <c r="L333" s="1377">
        <f t="shared" si="88"/>
        <v>0</v>
      </c>
      <c r="M333" s="1287"/>
    </row>
    <row r="334" spans="1:13" x14ac:dyDescent="0.2">
      <c r="A334" s="2362">
        <v>4.5</v>
      </c>
      <c r="B334" s="1319" t="s">
        <v>1918</v>
      </c>
      <c r="C334" s="1180">
        <f t="shared" ref="C334:H334" si="89">SUM(C335:C337)</f>
        <v>0</v>
      </c>
      <c r="D334" s="1290">
        <f t="shared" si="89"/>
        <v>0</v>
      </c>
      <c r="E334" s="1290">
        <f t="shared" si="89"/>
        <v>0</v>
      </c>
      <c r="F334" s="1290">
        <f t="shared" si="89"/>
        <v>0</v>
      </c>
      <c r="G334" s="1290">
        <f t="shared" si="89"/>
        <v>2770</v>
      </c>
      <c r="H334" s="1290">
        <f t="shared" si="89"/>
        <v>0</v>
      </c>
      <c r="I334" s="1290"/>
      <c r="J334" s="1290">
        <f>SUM(J335:J337)</f>
        <v>0</v>
      </c>
      <c r="K334" s="1290">
        <f>SUM(K335:K337)</f>
        <v>0</v>
      </c>
      <c r="L334" s="1290">
        <f>SUM(L335:L337)</f>
        <v>0</v>
      </c>
      <c r="M334" s="1181">
        <f>SUM(M335:M337)</f>
        <v>0</v>
      </c>
    </row>
    <row r="335" spans="1:13" x14ac:dyDescent="0.2">
      <c r="A335" s="2363"/>
      <c r="B335" s="1320"/>
      <c r="C335" s="1284"/>
      <c r="D335" s="1195"/>
      <c r="E335" s="1195"/>
      <c r="F335" s="1195"/>
      <c r="G335" s="1299">
        <v>2000</v>
      </c>
      <c r="H335" s="1195"/>
      <c r="I335" s="1782">
        <v>1150</v>
      </c>
      <c r="J335" s="1195"/>
      <c r="K335" s="1389"/>
      <c r="L335" s="1580">
        <f t="shared" si="88"/>
        <v>0</v>
      </c>
      <c r="M335" s="1475"/>
    </row>
    <row r="336" spans="1:13" x14ac:dyDescent="0.2">
      <c r="A336" s="2363"/>
      <c r="B336" s="1320"/>
      <c r="C336" s="1285"/>
      <c r="D336" s="1196"/>
      <c r="E336" s="1196"/>
      <c r="F336" s="1196"/>
      <c r="G336" s="1300">
        <v>270</v>
      </c>
      <c r="H336" s="1196"/>
      <c r="I336" s="1778">
        <v>2279</v>
      </c>
      <c r="J336" s="1196"/>
      <c r="K336" s="1393"/>
      <c r="L336" s="999">
        <f t="shared" si="88"/>
        <v>0</v>
      </c>
      <c r="M336" s="1288"/>
    </row>
    <row r="337" spans="1:13" ht="11.25" customHeight="1" x14ac:dyDescent="0.2">
      <c r="A337" s="2364"/>
      <c r="B337" s="1321"/>
      <c r="C337" s="1286"/>
      <c r="D337" s="1188"/>
      <c r="E337" s="1188"/>
      <c r="F337" s="1188"/>
      <c r="G337" s="1297">
        <v>500</v>
      </c>
      <c r="H337" s="1188"/>
      <c r="I337" s="1407">
        <v>2390</v>
      </c>
      <c r="J337" s="1183"/>
      <c r="K337" s="1409"/>
      <c r="L337" s="1377">
        <f t="shared" si="88"/>
        <v>0</v>
      </c>
      <c r="M337" s="1287"/>
    </row>
    <row r="338" spans="1:13" ht="12.75" x14ac:dyDescent="0.2">
      <c r="A338" s="1281">
        <v>5</v>
      </c>
      <c r="B338" s="1326" t="s">
        <v>1201</v>
      </c>
      <c r="C338" s="1336">
        <f>SUM(C339:C343)</f>
        <v>2600</v>
      </c>
      <c r="D338" s="1337">
        <f>SUM(D339:D343)</f>
        <v>0</v>
      </c>
      <c r="E338" s="1337">
        <f>SUM(E339:E343)</f>
        <v>909.16000000000008</v>
      </c>
      <c r="F338" s="1337">
        <f>SUM(F339:F343)</f>
        <v>0</v>
      </c>
      <c r="G338" s="1337">
        <f>SUM(G339:G343,G344)</f>
        <v>7460</v>
      </c>
      <c r="H338" s="1337">
        <f t="shared" ref="H338" si="90">SUM(H339:H343)</f>
        <v>0</v>
      </c>
      <c r="I338" s="1337"/>
      <c r="J338" s="1337">
        <f>SUM(J339:J343,J344)</f>
        <v>7460</v>
      </c>
      <c r="K338" s="1337">
        <f t="shared" ref="K338:L338" si="91">SUM(K339:K343,K344)</f>
        <v>0</v>
      </c>
      <c r="L338" s="1337">
        <f t="shared" si="91"/>
        <v>10618</v>
      </c>
      <c r="M338" s="1338">
        <f t="shared" ref="M338" si="92">SUM(M339:M343,M344)</f>
        <v>0</v>
      </c>
    </row>
    <row r="339" spans="1:13" ht="12" customHeight="1" x14ac:dyDescent="0.2">
      <c r="A339" s="2337">
        <v>5.0999999999999996</v>
      </c>
      <c r="B339" s="2352" t="s">
        <v>1567</v>
      </c>
      <c r="C339" s="1472">
        <v>1000</v>
      </c>
      <c r="D339" s="1390"/>
      <c r="E339" s="1390"/>
      <c r="F339" s="1390"/>
      <c r="G339" s="1473"/>
      <c r="H339" s="1390"/>
      <c r="I339" s="1473">
        <v>1150</v>
      </c>
      <c r="J339" s="1474"/>
      <c r="K339" s="1390"/>
      <c r="L339" s="1377">
        <f t="shared" si="88"/>
        <v>0</v>
      </c>
      <c r="M339" s="1288"/>
    </row>
    <row r="340" spans="1:13" x14ac:dyDescent="0.2">
      <c r="A340" s="2338"/>
      <c r="B340" s="2045"/>
      <c r="C340" s="1581">
        <v>138</v>
      </c>
      <c r="D340" s="1377"/>
      <c r="E340" s="1377">
        <v>137.68</v>
      </c>
      <c r="F340" s="1377"/>
      <c r="G340" s="1540"/>
      <c r="H340" s="1377"/>
      <c r="I340" s="1540">
        <v>2361</v>
      </c>
      <c r="J340" s="1174"/>
      <c r="K340" s="1377"/>
      <c r="L340" s="1377">
        <f t="shared" si="88"/>
        <v>0</v>
      </c>
      <c r="M340" s="1289"/>
    </row>
    <row r="341" spans="1:13" x14ac:dyDescent="0.2">
      <c r="A341" s="2339"/>
      <c r="B341" s="2046"/>
      <c r="C341" s="1583">
        <v>1462</v>
      </c>
      <c r="D341" s="999"/>
      <c r="E341" s="999">
        <v>771.48</v>
      </c>
      <c r="F341" s="999"/>
      <c r="G341" s="1454"/>
      <c r="H341" s="999"/>
      <c r="I341" s="1454">
        <v>2390</v>
      </c>
      <c r="J341" s="224"/>
      <c r="K341" s="999"/>
      <c r="L341" s="1377">
        <f t="shared" si="88"/>
        <v>0</v>
      </c>
      <c r="M341" s="1289"/>
    </row>
    <row r="342" spans="1:13" ht="12" customHeight="1" x14ac:dyDescent="0.2">
      <c r="A342" s="2340">
        <v>5.2</v>
      </c>
      <c r="B342" s="1327" t="s">
        <v>1568</v>
      </c>
      <c r="C342" s="1581"/>
      <c r="D342" s="1377"/>
      <c r="E342" s="1377"/>
      <c r="F342" s="1377"/>
      <c r="G342" s="1540">
        <v>1000</v>
      </c>
      <c r="H342" s="1377"/>
      <c r="I342" s="1540">
        <v>1150</v>
      </c>
      <c r="J342" s="1174">
        <v>1000</v>
      </c>
      <c r="K342" s="1377"/>
      <c r="L342" s="1377">
        <f t="shared" si="88"/>
        <v>1423</v>
      </c>
      <c r="M342" s="1289"/>
    </row>
    <row r="343" spans="1:13" x14ac:dyDescent="0.2">
      <c r="A343" s="2341"/>
      <c r="B343" s="1328"/>
      <c r="C343" s="1607"/>
      <c r="D343" s="1480"/>
      <c r="E343" s="1480"/>
      <c r="F343" s="1480"/>
      <c r="G343" s="1501">
        <v>1860</v>
      </c>
      <c r="H343" s="1480"/>
      <c r="I343" s="1501">
        <v>2390</v>
      </c>
      <c r="J343" s="1479">
        <v>1860</v>
      </c>
      <c r="K343" s="1480"/>
      <c r="L343" s="1410">
        <f t="shared" si="88"/>
        <v>2647</v>
      </c>
      <c r="M343" s="1287"/>
    </row>
    <row r="344" spans="1:13" x14ac:dyDescent="0.2">
      <c r="A344" s="2337">
        <v>5.3</v>
      </c>
      <c r="B344" s="2353" t="s">
        <v>1919</v>
      </c>
      <c r="C344" s="1605">
        <f>SUM(C345:C348)</f>
        <v>0</v>
      </c>
      <c r="D344" s="1512">
        <f>SUM(D345:D348)</f>
        <v>0</v>
      </c>
      <c r="E344" s="1512">
        <f>SUM(E345:E348)</f>
        <v>0</v>
      </c>
      <c r="F344" s="1512">
        <f>SUM(F345:F348)</f>
        <v>0</v>
      </c>
      <c r="G344" s="1512">
        <f>SUM(G345:G348)</f>
        <v>4600</v>
      </c>
      <c r="H344" s="1512">
        <f t="shared" ref="H344:M344" si="93">SUM(H345:H348)</f>
        <v>0</v>
      </c>
      <c r="I344" s="1512"/>
      <c r="J344" s="1512">
        <f>SUM(J345:J348)</f>
        <v>4600</v>
      </c>
      <c r="K344" s="1512">
        <f t="shared" si="93"/>
        <v>0</v>
      </c>
      <c r="L344" s="1512">
        <f>SUM(L345:L348)</f>
        <v>6548</v>
      </c>
      <c r="M344" s="1606">
        <f t="shared" si="93"/>
        <v>0</v>
      </c>
    </row>
    <row r="345" spans="1:13" x14ac:dyDescent="0.2">
      <c r="A345" s="2338"/>
      <c r="B345" s="2353"/>
      <c r="C345" s="1608"/>
      <c r="D345" s="1428"/>
      <c r="E345" s="1428"/>
      <c r="F345" s="1428"/>
      <c r="G345" s="1428">
        <v>1800</v>
      </c>
      <c r="H345" s="1390"/>
      <c r="I345" s="1428">
        <v>1150</v>
      </c>
      <c r="J345" s="1376">
        <v>1800</v>
      </c>
      <c r="K345" s="1389"/>
      <c r="L345" s="1580">
        <f t="shared" si="88"/>
        <v>2562</v>
      </c>
      <c r="M345" s="1475"/>
    </row>
    <row r="346" spans="1:13" x14ac:dyDescent="0.2">
      <c r="A346" s="2338"/>
      <c r="B346" s="2353"/>
      <c r="C346" s="1518"/>
      <c r="D346" s="1360"/>
      <c r="E346" s="1360"/>
      <c r="F346" s="1360"/>
      <c r="G346" s="411">
        <v>1500</v>
      </c>
      <c r="H346" s="999"/>
      <c r="I346" s="411">
        <v>2231</v>
      </c>
      <c r="J346" s="1360">
        <v>1500</v>
      </c>
      <c r="K346" s="1396"/>
      <c r="L346" s="999">
        <f t="shared" si="88"/>
        <v>2135</v>
      </c>
      <c r="M346" s="1289"/>
    </row>
    <row r="347" spans="1:13" x14ac:dyDescent="0.2">
      <c r="A347" s="2338"/>
      <c r="B347" s="2353"/>
      <c r="C347" s="1518"/>
      <c r="D347" s="1360"/>
      <c r="E347" s="1360"/>
      <c r="F347" s="1360"/>
      <c r="G347" s="411">
        <v>850</v>
      </c>
      <c r="H347" s="999"/>
      <c r="I347" s="411">
        <v>2279</v>
      </c>
      <c r="J347" s="1360">
        <v>850</v>
      </c>
      <c r="K347" s="1396"/>
      <c r="L347" s="999">
        <f t="shared" si="88"/>
        <v>1210</v>
      </c>
      <c r="M347" s="1289"/>
    </row>
    <row r="348" spans="1:13" x14ac:dyDescent="0.2">
      <c r="A348" s="2341"/>
      <c r="B348" s="2354"/>
      <c r="C348" s="1510"/>
      <c r="D348" s="1432"/>
      <c r="E348" s="1432"/>
      <c r="F348" s="1432"/>
      <c r="G348" s="1433">
        <v>450</v>
      </c>
      <c r="H348" s="1480"/>
      <c r="I348" s="1433">
        <v>2390</v>
      </c>
      <c r="J348" s="1432">
        <v>450</v>
      </c>
      <c r="K348" s="1508"/>
      <c r="L348" s="1377">
        <f t="shared" si="88"/>
        <v>641</v>
      </c>
      <c r="M348" s="1481"/>
    </row>
    <row r="349" spans="1:13" ht="12.75" x14ac:dyDescent="0.2">
      <c r="A349" s="1329">
        <v>6</v>
      </c>
      <c r="B349" s="1330" t="s">
        <v>1576</v>
      </c>
      <c r="C349" s="1336">
        <f>SUM(C350:C352,C356:C378)</f>
        <v>101823</v>
      </c>
      <c r="D349" s="1337">
        <f t="shared" ref="D349:H349" si="94">SUM(D350:D352,D356:D378)</f>
        <v>0</v>
      </c>
      <c r="E349" s="1337">
        <f t="shared" si="94"/>
        <v>99507.62</v>
      </c>
      <c r="F349" s="1337">
        <f t="shared" si="94"/>
        <v>0</v>
      </c>
      <c r="G349" s="1337">
        <f>SUM(G350:G352,G356:G378)</f>
        <v>64055</v>
      </c>
      <c r="H349" s="1337">
        <f t="shared" si="94"/>
        <v>0</v>
      </c>
      <c r="I349" s="1337"/>
      <c r="J349" s="1337">
        <f>SUM(J350:J352,J356:J378)</f>
        <v>64055</v>
      </c>
      <c r="K349" s="1337">
        <f t="shared" ref="K349:L349" si="95">SUM(K350:K352,K356:K378)</f>
        <v>0</v>
      </c>
      <c r="L349" s="1337">
        <f t="shared" si="95"/>
        <v>91152</v>
      </c>
      <c r="M349" s="1338">
        <f>SUM(M350:M352,M356:M378)</f>
        <v>0</v>
      </c>
    </row>
    <row r="350" spans="1:13" x14ac:dyDescent="0.2">
      <c r="A350" s="1331">
        <v>6.1</v>
      </c>
      <c r="B350" s="1333" t="s">
        <v>1577</v>
      </c>
      <c r="C350" s="1615">
        <v>950</v>
      </c>
      <c r="D350" s="1616">
        <f>SUM(D123:D124)</f>
        <v>0</v>
      </c>
      <c r="E350" s="1616"/>
      <c r="F350" s="1616">
        <f>SUM(F123:F124)</f>
        <v>0</v>
      </c>
      <c r="G350" s="1617">
        <v>1000</v>
      </c>
      <c r="H350" s="1616">
        <v>0</v>
      </c>
      <c r="I350" s="1783">
        <v>2279</v>
      </c>
      <c r="J350" s="1616">
        <v>1000</v>
      </c>
      <c r="K350" s="1618"/>
      <c r="L350" s="1619">
        <f t="shared" si="88"/>
        <v>1423</v>
      </c>
      <c r="M350" s="1620"/>
    </row>
    <row r="351" spans="1:13" ht="24" x14ac:dyDescent="0.2">
      <c r="A351" s="1622">
        <v>6.2</v>
      </c>
      <c r="B351" s="1623" t="s">
        <v>1578</v>
      </c>
      <c r="C351" s="1505">
        <v>3500</v>
      </c>
      <c r="D351" s="1357">
        <v>0</v>
      </c>
      <c r="E351" s="1357">
        <v>3500</v>
      </c>
      <c r="F351" s="1357">
        <v>0</v>
      </c>
      <c r="G351" s="1624">
        <v>3500</v>
      </c>
      <c r="H351" s="1527"/>
      <c r="I351" s="771">
        <v>2279</v>
      </c>
      <c r="J351" s="1527">
        <v>3500</v>
      </c>
      <c r="K351" s="1625"/>
      <c r="L351" s="1626">
        <f t="shared" si="88"/>
        <v>4981</v>
      </c>
      <c r="M351" s="1627"/>
    </row>
    <row r="352" spans="1:13" x14ac:dyDescent="0.2">
      <c r="A352" s="2349">
        <v>6.3</v>
      </c>
      <c r="B352" s="2350" t="s">
        <v>1579</v>
      </c>
      <c r="C352" s="1526">
        <f t="shared" ref="C352:M352" si="96">SUM(C353:C355)</f>
        <v>1540</v>
      </c>
      <c r="D352" s="1527">
        <f t="shared" si="96"/>
        <v>0</v>
      </c>
      <c r="E352" s="1527">
        <f t="shared" si="96"/>
        <v>1540.02</v>
      </c>
      <c r="F352" s="1527">
        <f t="shared" si="96"/>
        <v>0</v>
      </c>
      <c r="G352" s="412">
        <f t="shared" si="96"/>
        <v>1540</v>
      </c>
      <c r="H352" s="1527">
        <f t="shared" si="96"/>
        <v>0</v>
      </c>
      <c r="I352" s="411"/>
      <c r="J352" s="222">
        <f>SUM(J353:J355)</f>
        <v>1540</v>
      </c>
      <c r="K352" s="222">
        <f t="shared" ref="K352:L352" si="97">SUM(K353:K355)</f>
        <v>0</v>
      </c>
      <c r="L352" s="222">
        <f t="shared" si="97"/>
        <v>2193</v>
      </c>
      <c r="M352" s="1666">
        <f t="shared" si="96"/>
        <v>0</v>
      </c>
    </row>
    <row r="353" spans="1:13" x14ac:dyDescent="0.2">
      <c r="A353" s="2349"/>
      <c r="B353" s="2350"/>
      <c r="C353" s="1518">
        <v>1400</v>
      </c>
      <c r="D353" s="1360"/>
      <c r="E353" s="1360">
        <v>1400</v>
      </c>
      <c r="F353" s="1360"/>
      <c r="G353" s="1418">
        <v>1400</v>
      </c>
      <c r="H353" s="1360"/>
      <c r="I353" s="411">
        <v>1150</v>
      </c>
      <c r="J353" s="224">
        <v>1400</v>
      </c>
      <c r="K353" s="224"/>
      <c r="L353" s="999">
        <f t="shared" si="88"/>
        <v>1993</v>
      </c>
      <c r="M353" s="1289"/>
    </row>
    <row r="354" spans="1:13" x14ac:dyDescent="0.2">
      <c r="A354" s="2349"/>
      <c r="B354" s="2350"/>
      <c r="C354" s="1518">
        <v>0</v>
      </c>
      <c r="D354" s="1360"/>
      <c r="E354" s="1360"/>
      <c r="F354" s="1360"/>
      <c r="G354" s="1418">
        <v>0</v>
      </c>
      <c r="H354" s="1360"/>
      <c r="I354" s="411">
        <v>2231</v>
      </c>
      <c r="J354" s="224"/>
      <c r="K354" s="224"/>
      <c r="L354" s="999">
        <f t="shared" si="88"/>
        <v>0</v>
      </c>
      <c r="M354" s="1289"/>
    </row>
    <row r="355" spans="1:13" x14ac:dyDescent="0.2">
      <c r="A355" s="2349"/>
      <c r="B355" s="2350"/>
      <c r="C355" s="1518">
        <v>140</v>
      </c>
      <c r="D355" s="1360"/>
      <c r="E355" s="1360">
        <v>140.02000000000001</v>
      </c>
      <c r="F355" s="1360"/>
      <c r="G355" s="1418">
        <v>140</v>
      </c>
      <c r="H355" s="1360"/>
      <c r="I355" s="411">
        <v>2390</v>
      </c>
      <c r="J355" s="224">
        <v>140</v>
      </c>
      <c r="K355" s="224"/>
      <c r="L355" s="999">
        <f t="shared" si="88"/>
        <v>200</v>
      </c>
      <c r="M355" s="1289"/>
    </row>
    <row r="356" spans="1:13" x14ac:dyDescent="0.2">
      <c r="A356" s="1628">
        <v>6.4</v>
      </c>
      <c r="B356" s="1629" t="s">
        <v>1580</v>
      </c>
      <c r="C356" s="1526">
        <v>5000</v>
      </c>
      <c r="D356" s="1527">
        <v>0</v>
      </c>
      <c r="E356" s="1527">
        <v>5000</v>
      </c>
      <c r="F356" s="1527">
        <v>0</v>
      </c>
      <c r="G356" s="412">
        <v>5000</v>
      </c>
      <c r="H356" s="1527">
        <v>0</v>
      </c>
      <c r="I356" s="411">
        <v>2279</v>
      </c>
      <c r="J356" s="222">
        <v>5000</v>
      </c>
      <c r="K356" s="222"/>
      <c r="L356" s="1626">
        <f t="shared" si="88"/>
        <v>7115</v>
      </c>
      <c r="M356" s="1627"/>
    </row>
    <row r="357" spans="1:13" x14ac:dyDescent="0.2">
      <c r="A357" s="1628">
        <v>6.5</v>
      </c>
      <c r="B357" s="1630" t="s">
        <v>1581</v>
      </c>
      <c r="C357" s="1526">
        <v>2618</v>
      </c>
      <c r="D357" s="1527">
        <v>0</v>
      </c>
      <c r="E357" s="1527">
        <v>1832.6</v>
      </c>
      <c r="F357" s="1527">
        <v>0</v>
      </c>
      <c r="G357" s="412">
        <v>2300</v>
      </c>
      <c r="H357" s="1527">
        <v>0</v>
      </c>
      <c r="I357" s="411">
        <v>2279</v>
      </c>
      <c r="J357" s="222">
        <v>2300</v>
      </c>
      <c r="K357" s="222"/>
      <c r="L357" s="1626">
        <f t="shared" si="88"/>
        <v>3273</v>
      </c>
      <c r="M357" s="1627"/>
    </row>
    <row r="358" spans="1:13" ht="24" x14ac:dyDescent="0.2">
      <c r="A358" s="1628">
        <v>6.6</v>
      </c>
      <c r="B358" s="1630" t="s">
        <v>1582</v>
      </c>
      <c r="C358" s="1505">
        <v>6280</v>
      </c>
      <c r="D358" s="1357">
        <v>0</v>
      </c>
      <c r="E358" s="1357">
        <v>6280</v>
      </c>
      <c r="F358" s="1357">
        <v>0</v>
      </c>
      <c r="G358" s="770">
        <v>6280</v>
      </c>
      <c r="H358" s="1357">
        <v>0</v>
      </c>
      <c r="I358" s="771">
        <v>2279</v>
      </c>
      <c r="J358" s="222">
        <v>6280</v>
      </c>
      <c r="K358" s="222"/>
      <c r="L358" s="1626">
        <f t="shared" si="88"/>
        <v>8936</v>
      </c>
      <c r="M358" s="1627"/>
    </row>
    <row r="359" spans="1:13" ht="24" x14ac:dyDescent="0.2">
      <c r="A359" s="1628">
        <v>6.7</v>
      </c>
      <c r="B359" s="1630" t="s">
        <v>1583</v>
      </c>
      <c r="C359" s="1526">
        <v>1000</v>
      </c>
      <c r="D359" s="1527">
        <v>0</v>
      </c>
      <c r="E359" s="1527">
        <v>1000</v>
      </c>
      <c r="F359" s="1527">
        <v>0</v>
      </c>
      <c r="G359" s="412">
        <v>1000</v>
      </c>
      <c r="H359" s="1527">
        <v>0</v>
      </c>
      <c r="I359" s="411">
        <v>2279</v>
      </c>
      <c r="J359" s="222">
        <v>1000</v>
      </c>
      <c r="K359" s="222"/>
      <c r="L359" s="1626">
        <f t="shared" si="88"/>
        <v>1423</v>
      </c>
      <c r="M359" s="1627"/>
    </row>
    <row r="360" spans="1:13" x14ac:dyDescent="0.2">
      <c r="A360" s="1628">
        <v>6.8</v>
      </c>
      <c r="B360" s="1631" t="s">
        <v>1584</v>
      </c>
      <c r="C360" s="1526">
        <v>500</v>
      </c>
      <c r="D360" s="1527">
        <v>0</v>
      </c>
      <c r="E360" s="1527">
        <v>0</v>
      </c>
      <c r="F360" s="1527">
        <v>0</v>
      </c>
      <c r="G360" s="1632">
        <v>0</v>
      </c>
      <c r="H360" s="1360"/>
      <c r="I360" s="411">
        <v>2279</v>
      </c>
      <c r="J360" s="222"/>
      <c r="K360" s="222"/>
      <c r="L360" s="1626">
        <f t="shared" si="88"/>
        <v>0</v>
      </c>
      <c r="M360" s="1627"/>
    </row>
    <row r="361" spans="1:13" x14ac:dyDescent="0.2">
      <c r="A361" s="1628">
        <v>6.9</v>
      </c>
      <c r="B361" s="1623" t="s">
        <v>1585</v>
      </c>
      <c r="C361" s="1526">
        <v>4000</v>
      </c>
      <c r="D361" s="1527">
        <v>0</v>
      </c>
      <c r="E361" s="1527">
        <v>4000</v>
      </c>
      <c r="F361" s="1527">
        <v>0</v>
      </c>
      <c r="G361" s="1632">
        <v>7000</v>
      </c>
      <c r="H361" s="1360"/>
      <c r="I361" s="411">
        <v>2279</v>
      </c>
      <c r="J361" s="222">
        <v>7000</v>
      </c>
      <c r="K361" s="222"/>
      <c r="L361" s="1626">
        <f t="shared" si="88"/>
        <v>9961</v>
      </c>
      <c r="M361" s="1627"/>
    </row>
    <row r="362" spans="1:13" ht="24" x14ac:dyDescent="0.2">
      <c r="A362" s="1633">
        <v>6.1</v>
      </c>
      <c r="B362" s="1634" t="s">
        <v>1586</v>
      </c>
      <c r="C362" s="1635">
        <v>1500</v>
      </c>
      <c r="D362" s="1357">
        <v>0</v>
      </c>
      <c r="E362" s="1357">
        <v>1500</v>
      </c>
      <c r="F362" s="1357">
        <v>0</v>
      </c>
      <c r="G362" s="770">
        <v>1500</v>
      </c>
      <c r="H362" s="1357">
        <v>0</v>
      </c>
      <c r="I362" s="771">
        <v>2279</v>
      </c>
      <c r="J362" s="222">
        <v>1500</v>
      </c>
      <c r="K362" s="222"/>
      <c r="L362" s="1626">
        <f t="shared" si="88"/>
        <v>2135</v>
      </c>
      <c r="M362" s="1627"/>
    </row>
    <row r="363" spans="1:13" ht="24" x14ac:dyDescent="0.2">
      <c r="A363" s="1628">
        <v>6.11</v>
      </c>
      <c r="B363" s="1636" t="s">
        <v>1587</v>
      </c>
      <c r="C363" s="1635">
        <v>7500</v>
      </c>
      <c r="D363" s="1357">
        <v>0</v>
      </c>
      <c r="E363" s="1357">
        <v>7500</v>
      </c>
      <c r="F363" s="1357">
        <v>0</v>
      </c>
      <c r="G363" s="1624">
        <v>7500</v>
      </c>
      <c r="H363" s="1357">
        <v>0</v>
      </c>
      <c r="I363" s="771">
        <v>2279</v>
      </c>
      <c r="J363" s="222">
        <v>7500</v>
      </c>
      <c r="K363" s="222"/>
      <c r="L363" s="1626">
        <f t="shared" si="88"/>
        <v>10672</v>
      </c>
      <c r="M363" s="1627"/>
    </row>
    <row r="364" spans="1:13" ht="24" x14ac:dyDescent="0.2">
      <c r="A364" s="1637">
        <v>6.12</v>
      </c>
      <c r="B364" s="1636" t="s">
        <v>1588</v>
      </c>
      <c r="C364" s="1635">
        <v>1500</v>
      </c>
      <c r="D364" s="1357">
        <v>0</v>
      </c>
      <c r="E364" s="1357">
        <v>1420</v>
      </c>
      <c r="F364" s="1357">
        <v>0</v>
      </c>
      <c r="G364" s="1624">
        <v>1500</v>
      </c>
      <c r="H364" s="1357">
        <v>0</v>
      </c>
      <c r="I364" s="771">
        <v>2279</v>
      </c>
      <c r="J364" s="222">
        <v>1500</v>
      </c>
      <c r="K364" s="222"/>
      <c r="L364" s="1626">
        <f t="shared" si="88"/>
        <v>2135</v>
      </c>
      <c r="M364" s="1627"/>
    </row>
    <row r="365" spans="1:13" x14ac:dyDescent="0.2">
      <c r="A365" s="1628">
        <v>6.13</v>
      </c>
      <c r="B365" s="1638" t="s">
        <v>1589</v>
      </c>
      <c r="C365" s="1635">
        <v>5000</v>
      </c>
      <c r="D365" s="1357">
        <v>0</v>
      </c>
      <c r="E365" s="1357">
        <v>5000</v>
      </c>
      <c r="F365" s="1357">
        <v>0</v>
      </c>
      <c r="G365" s="1624">
        <v>5000</v>
      </c>
      <c r="H365" s="1357">
        <v>0</v>
      </c>
      <c r="I365" s="771">
        <v>2279</v>
      </c>
      <c r="J365" s="222">
        <v>5000</v>
      </c>
      <c r="K365" s="222"/>
      <c r="L365" s="1626">
        <f t="shared" si="88"/>
        <v>7115</v>
      </c>
      <c r="M365" s="1627"/>
    </row>
    <row r="366" spans="1:13" x14ac:dyDescent="0.2">
      <c r="A366" s="1628">
        <v>6.14</v>
      </c>
      <c r="B366" s="1636" t="s">
        <v>1590</v>
      </c>
      <c r="C366" s="1635">
        <v>30000</v>
      </c>
      <c r="D366" s="1357">
        <v>0</v>
      </c>
      <c r="E366" s="1357">
        <v>30000</v>
      </c>
      <c r="F366" s="1357">
        <v>0</v>
      </c>
      <c r="G366" s="1624">
        <v>7500</v>
      </c>
      <c r="H366" s="1357">
        <v>0</v>
      </c>
      <c r="I366" s="771">
        <v>2279</v>
      </c>
      <c r="J366" s="222">
        <v>7500</v>
      </c>
      <c r="K366" s="222"/>
      <c r="L366" s="1626">
        <f t="shared" si="88"/>
        <v>10672</v>
      </c>
      <c r="M366" s="1627"/>
    </row>
    <row r="367" spans="1:13" ht="24" x14ac:dyDescent="0.2">
      <c r="A367" s="1628">
        <v>6.15</v>
      </c>
      <c r="B367" s="1639" t="s">
        <v>1591</v>
      </c>
      <c r="C367" s="1635">
        <v>1000</v>
      </c>
      <c r="D367" s="1357">
        <v>0</v>
      </c>
      <c r="E367" s="1357">
        <v>1000</v>
      </c>
      <c r="F367" s="1357">
        <v>0</v>
      </c>
      <c r="G367" s="1624">
        <v>1000</v>
      </c>
      <c r="H367" s="1357">
        <v>0</v>
      </c>
      <c r="I367" s="771">
        <v>2279</v>
      </c>
      <c r="J367" s="222">
        <v>1000</v>
      </c>
      <c r="K367" s="222"/>
      <c r="L367" s="1626">
        <f t="shared" si="88"/>
        <v>1423</v>
      </c>
      <c r="M367" s="1627"/>
    </row>
    <row r="368" spans="1:13" x14ac:dyDescent="0.2">
      <c r="A368" s="1628">
        <v>6.16</v>
      </c>
      <c r="B368" s="1636" t="s">
        <v>1592</v>
      </c>
      <c r="C368" s="1505">
        <v>4610</v>
      </c>
      <c r="D368" s="1357">
        <v>0</v>
      </c>
      <c r="E368" s="1357">
        <v>4610</v>
      </c>
      <c r="F368" s="1357">
        <v>0</v>
      </c>
      <c r="G368" s="1624">
        <v>0</v>
      </c>
      <c r="H368" s="1527">
        <v>0</v>
      </c>
      <c r="I368" s="771">
        <v>2279</v>
      </c>
      <c r="J368" s="222"/>
      <c r="K368" s="222"/>
      <c r="L368" s="1626">
        <f t="shared" si="88"/>
        <v>0</v>
      </c>
      <c r="M368" s="1627"/>
    </row>
    <row r="369" spans="1:13" ht="24" x14ac:dyDescent="0.2">
      <c r="A369" s="1628">
        <v>6.17</v>
      </c>
      <c r="B369" s="1634" t="s">
        <v>1593</v>
      </c>
      <c r="C369" s="1640">
        <v>6000</v>
      </c>
      <c r="D369" s="767">
        <v>0</v>
      </c>
      <c r="E369" s="767">
        <v>6000</v>
      </c>
      <c r="F369" s="767">
        <v>0</v>
      </c>
      <c r="G369" s="770">
        <v>0</v>
      </c>
      <c r="H369" s="767">
        <v>0</v>
      </c>
      <c r="I369" s="771">
        <v>2279</v>
      </c>
      <c r="J369" s="222"/>
      <c r="K369" s="222"/>
      <c r="L369" s="1626">
        <f t="shared" si="88"/>
        <v>0</v>
      </c>
      <c r="M369" s="1627"/>
    </row>
    <row r="370" spans="1:13" ht="24" x14ac:dyDescent="0.2">
      <c r="A370" s="1628">
        <v>6.18</v>
      </c>
      <c r="B370" s="1641" t="s">
        <v>1594</v>
      </c>
      <c r="C370" s="1640">
        <v>5500</v>
      </c>
      <c r="D370" s="767">
        <v>0</v>
      </c>
      <c r="E370" s="767">
        <v>5500</v>
      </c>
      <c r="F370" s="767">
        <v>0</v>
      </c>
      <c r="G370" s="770">
        <v>0</v>
      </c>
      <c r="H370" s="767"/>
      <c r="I370" s="771">
        <v>2279</v>
      </c>
      <c r="J370" s="222"/>
      <c r="K370" s="222"/>
      <c r="L370" s="1626">
        <f t="shared" si="88"/>
        <v>0</v>
      </c>
      <c r="M370" s="1627"/>
    </row>
    <row r="371" spans="1:13" x14ac:dyDescent="0.2">
      <c r="A371" s="1628">
        <v>6.19</v>
      </c>
      <c r="B371" s="1641" t="s">
        <v>1595</v>
      </c>
      <c r="C371" s="1640">
        <v>1490</v>
      </c>
      <c r="D371" s="767">
        <v>0</v>
      </c>
      <c r="E371" s="767">
        <v>1490</v>
      </c>
      <c r="F371" s="767">
        <v>0</v>
      </c>
      <c r="G371" s="770">
        <v>0</v>
      </c>
      <c r="H371" s="767"/>
      <c r="I371" s="771">
        <v>2279</v>
      </c>
      <c r="J371" s="222"/>
      <c r="K371" s="222"/>
      <c r="L371" s="1626">
        <f t="shared" si="88"/>
        <v>0</v>
      </c>
      <c r="M371" s="1627"/>
    </row>
    <row r="372" spans="1:13" ht="24" x14ac:dyDescent="0.2">
      <c r="A372" s="1642">
        <v>6.2</v>
      </c>
      <c r="B372" s="1643" t="s">
        <v>1596</v>
      </c>
      <c r="C372" s="1640">
        <v>3000</v>
      </c>
      <c r="D372" s="767">
        <v>0</v>
      </c>
      <c r="E372" s="767">
        <v>3000</v>
      </c>
      <c r="F372" s="767">
        <v>0</v>
      </c>
      <c r="G372" s="770">
        <v>0</v>
      </c>
      <c r="H372" s="767"/>
      <c r="I372" s="771">
        <v>2279</v>
      </c>
      <c r="J372" s="222"/>
      <c r="K372" s="222"/>
      <c r="L372" s="1626">
        <f t="shared" si="88"/>
        <v>0</v>
      </c>
      <c r="M372" s="1627"/>
    </row>
    <row r="373" spans="1:13" ht="24" x14ac:dyDescent="0.2">
      <c r="A373" s="1628">
        <v>6.21</v>
      </c>
      <c r="B373" s="1644" t="s">
        <v>1597</v>
      </c>
      <c r="C373" s="1640">
        <v>590</v>
      </c>
      <c r="D373" s="767">
        <v>0</v>
      </c>
      <c r="E373" s="767">
        <v>590</v>
      </c>
      <c r="F373" s="767">
        <v>0</v>
      </c>
      <c r="G373" s="770">
        <v>0</v>
      </c>
      <c r="H373" s="767"/>
      <c r="I373" s="771">
        <v>2279</v>
      </c>
      <c r="J373" s="222"/>
      <c r="K373" s="222"/>
      <c r="L373" s="1626">
        <f t="shared" si="88"/>
        <v>0</v>
      </c>
      <c r="M373" s="1627"/>
    </row>
    <row r="374" spans="1:13" ht="24" x14ac:dyDescent="0.2">
      <c r="A374" s="1628">
        <v>6.22</v>
      </c>
      <c r="B374" s="1644" t="s">
        <v>1598</v>
      </c>
      <c r="C374" s="1640">
        <v>460</v>
      </c>
      <c r="D374" s="767">
        <v>0</v>
      </c>
      <c r="E374" s="767">
        <v>460</v>
      </c>
      <c r="F374" s="767">
        <v>0</v>
      </c>
      <c r="G374" s="770">
        <v>0</v>
      </c>
      <c r="H374" s="767"/>
      <c r="I374" s="771">
        <v>2279</v>
      </c>
      <c r="J374" s="222"/>
      <c r="K374" s="222"/>
      <c r="L374" s="1626">
        <f t="shared" si="88"/>
        <v>0</v>
      </c>
      <c r="M374" s="1627"/>
    </row>
    <row r="375" spans="1:13" ht="24" x14ac:dyDescent="0.2">
      <c r="A375" s="1628">
        <v>6.23</v>
      </c>
      <c r="B375" s="1643" t="s">
        <v>1599</v>
      </c>
      <c r="C375" s="1640">
        <v>5000</v>
      </c>
      <c r="D375" s="767">
        <v>0</v>
      </c>
      <c r="E375" s="767">
        <v>5000</v>
      </c>
      <c r="F375" s="767">
        <v>0</v>
      </c>
      <c r="G375" s="770">
        <v>7500</v>
      </c>
      <c r="H375" s="767"/>
      <c r="I375" s="771">
        <v>2279</v>
      </c>
      <c r="J375" s="222">
        <v>7500</v>
      </c>
      <c r="K375" s="222"/>
      <c r="L375" s="1626">
        <f t="shared" si="88"/>
        <v>10672</v>
      </c>
      <c r="M375" s="1627"/>
    </row>
    <row r="376" spans="1:13" x14ac:dyDescent="0.2">
      <c r="A376" s="1637">
        <v>6.24</v>
      </c>
      <c r="B376" s="1641" t="s">
        <v>1600</v>
      </c>
      <c r="C376" s="1645">
        <v>2985</v>
      </c>
      <c r="D376" s="767">
        <v>0</v>
      </c>
      <c r="E376" s="767">
        <v>2985</v>
      </c>
      <c r="F376" s="767"/>
      <c r="G376" s="770">
        <v>3985</v>
      </c>
      <c r="H376" s="767"/>
      <c r="I376" s="771">
        <v>2279</v>
      </c>
      <c r="J376" s="222">
        <v>3985</v>
      </c>
      <c r="K376" s="222"/>
      <c r="L376" s="1626">
        <f t="shared" si="88"/>
        <v>5671</v>
      </c>
      <c r="M376" s="1627"/>
    </row>
    <row r="377" spans="1:13" ht="24" x14ac:dyDescent="0.2">
      <c r="A377" s="1646">
        <v>6.25</v>
      </c>
      <c r="B377" s="1631" t="s">
        <v>1601</v>
      </c>
      <c r="C377" s="1635">
        <v>300</v>
      </c>
      <c r="D377" s="1357">
        <v>0</v>
      </c>
      <c r="E377" s="1357">
        <v>300</v>
      </c>
      <c r="F377" s="1357">
        <v>0</v>
      </c>
      <c r="G377" s="1624">
        <v>0</v>
      </c>
      <c r="H377" s="1357">
        <v>0</v>
      </c>
      <c r="I377" s="771">
        <v>2279</v>
      </c>
      <c r="J377" s="222"/>
      <c r="K377" s="222"/>
      <c r="L377" s="1626">
        <f t="shared" si="88"/>
        <v>0</v>
      </c>
      <c r="M377" s="1627"/>
    </row>
    <row r="378" spans="1:13" x14ac:dyDescent="0.2">
      <c r="A378" s="1332">
        <v>6.26</v>
      </c>
      <c r="B378" s="1621" t="s">
        <v>1602</v>
      </c>
      <c r="C378" s="1542">
        <v>0</v>
      </c>
      <c r="D378" s="1507">
        <v>0</v>
      </c>
      <c r="E378" s="1507">
        <v>0</v>
      </c>
      <c r="F378" s="1507">
        <v>0</v>
      </c>
      <c r="G378" s="1498">
        <v>950</v>
      </c>
      <c r="H378" s="1507"/>
      <c r="I378" s="1365">
        <v>2279</v>
      </c>
      <c r="J378" s="1609">
        <v>950</v>
      </c>
      <c r="K378" s="1609"/>
      <c r="L378" s="1612">
        <f t="shared" si="88"/>
        <v>1352</v>
      </c>
      <c r="M378" s="1613"/>
    </row>
    <row r="379" spans="1:13" ht="25.5" x14ac:dyDescent="0.2">
      <c r="A379" s="1329">
        <v>7</v>
      </c>
      <c r="B379" s="1334" t="s">
        <v>1603</v>
      </c>
      <c r="C379" s="1336">
        <f>SUM(C380,C381,C382,C383,C386,C392,C393,C394,C398)</f>
        <v>51518</v>
      </c>
      <c r="D379" s="1337">
        <f>SUM(D380,D381,D382,D383,D386,D392,D393,D394,D398)</f>
        <v>0</v>
      </c>
      <c r="E379" s="1337">
        <f>SUM(E380,E381,E382,E383,E386,E392,E393,E394,E398)</f>
        <v>35858.86</v>
      </c>
      <c r="F379" s="1337">
        <f>SUM(F380,F381,F382,F383,F386,F392,F393,F394,F398)</f>
        <v>0</v>
      </c>
      <c r="G379" s="1337">
        <f>SUM(G380,G381,G382,G383,G386,G392,G393,G394,G398)</f>
        <v>77815</v>
      </c>
      <c r="H379" s="1337">
        <f t="shared" ref="H379:M379" si="98">SUM(H380,H381,H382,H383,H386,H392,H393,H394,H398)</f>
        <v>0</v>
      </c>
      <c r="I379" s="1337"/>
      <c r="J379" s="1337">
        <f>SUM(J380,J381,J382,J383,J386,J392,J393,J394,J398)</f>
        <v>50950</v>
      </c>
      <c r="K379" s="1337">
        <f t="shared" si="98"/>
        <v>0</v>
      </c>
      <c r="L379" s="1337">
        <f t="shared" si="98"/>
        <v>72502</v>
      </c>
      <c r="M379" s="1338">
        <f t="shared" si="98"/>
        <v>0</v>
      </c>
    </row>
    <row r="380" spans="1:13" ht="24.75" customHeight="1" x14ac:dyDescent="0.2">
      <c r="A380" s="1331">
        <v>7.1</v>
      </c>
      <c r="B380" s="1647" t="s">
        <v>1604</v>
      </c>
      <c r="C380" s="1648">
        <v>3278</v>
      </c>
      <c r="D380" s="1610">
        <v>0</v>
      </c>
      <c r="E380" s="1610">
        <v>2801.57</v>
      </c>
      <c r="F380" s="1610">
        <v>0</v>
      </c>
      <c r="G380" s="1649">
        <v>6500</v>
      </c>
      <c r="H380" s="1616">
        <v>0</v>
      </c>
      <c r="I380" s="1784">
        <v>2390</v>
      </c>
      <c r="J380" s="1616">
        <v>6500</v>
      </c>
      <c r="K380" s="1618"/>
      <c r="L380" s="1619">
        <f t="shared" si="88"/>
        <v>9249</v>
      </c>
      <c r="M380" s="1620"/>
    </row>
    <row r="381" spans="1:13" ht="12.75" customHeight="1" x14ac:dyDescent="0.2">
      <c r="A381" s="1652">
        <v>7.2</v>
      </c>
      <c r="B381" s="1636" t="s">
        <v>1605</v>
      </c>
      <c r="C381" s="1526">
        <v>3500</v>
      </c>
      <c r="D381" s="1527">
        <v>0</v>
      </c>
      <c r="E381" s="1527">
        <v>2144.27</v>
      </c>
      <c r="F381" s="1527">
        <v>0</v>
      </c>
      <c r="G381" s="1653">
        <v>3200</v>
      </c>
      <c r="H381" s="1527">
        <v>0</v>
      </c>
      <c r="I381" s="411">
        <v>2279</v>
      </c>
      <c r="J381" s="1527">
        <v>3200</v>
      </c>
      <c r="K381" s="1625"/>
      <c r="L381" s="1626">
        <f t="shared" si="88"/>
        <v>4554</v>
      </c>
      <c r="M381" s="1627"/>
    </row>
    <row r="382" spans="1:13" ht="12.75" customHeight="1" x14ac:dyDescent="0.2">
      <c r="A382" s="1637">
        <v>7.3</v>
      </c>
      <c r="B382" s="1654" t="s">
        <v>1606</v>
      </c>
      <c r="C382" s="1526">
        <v>300</v>
      </c>
      <c r="D382" s="1527">
        <v>0</v>
      </c>
      <c r="E382" s="1527">
        <v>275</v>
      </c>
      <c r="F382" s="1527">
        <v>0</v>
      </c>
      <c r="G382" s="1653">
        <v>500</v>
      </c>
      <c r="H382" s="1527">
        <v>0</v>
      </c>
      <c r="I382" s="411">
        <v>2248</v>
      </c>
      <c r="J382" s="1527">
        <v>500</v>
      </c>
      <c r="K382" s="1625"/>
      <c r="L382" s="1626">
        <f t="shared" si="88"/>
        <v>712</v>
      </c>
      <c r="M382" s="1627"/>
    </row>
    <row r="383" spans="1:13" x14ac:dyDescent="0.2">
      <c r="A383" s="2349">
        <v>7.4</v>
      </c>
      <c r="B383" s="2350" t="s">
        <v>1607</v>
      </c>
      <c r="C383" s="1635">
        <f t="shared" ref="C383:K383" si="99">SUM(C384:C385)</f>
        <v>200</v>
      </c>
      <c r="D383" s="1357">
        <f t="shared" si="99"/>
        <v>0</v>
      </c>
      <c r="E383" s="1357">
        <f t="shared" si="99"/>
        <v>56.48</v>
      </c>
      <c r="F383" s="1357">
        <f t="shared" si="99"/>
        <v>0</v>
      </c>
      <c r="G383" s="770">
        <f t="shared" si="99"/>
        <v>600</v>
      </c>
      <c r="H383" s="1357">
        <f t="shared" si="99"/>
        <v>0</v>
      </c>
      <c r="I383" s="770"/>
      <c r="J383" s="1357">
        <f t="shared" si="99"/>
        <v>600</v>
      </c>
      <c r="K383" s="1357">
        <f t="shared" si="99"/>
        <v>0</v>
      </c>
      <c r="L383" s="1357">
        <f>SUM(L384:L385)</f>
        <v>855</v>
      </c>
      <c r="M383" s="1655">
        <f>SUM(M384:M385)</f>
        <v>0</v>
      </c>
    </row>
    <row r="384" spans="1:13" ht="12.75" customHeight="1" x14ac:dyDescent="0.2">
      <c r="A384" s="2349"/>
      <c r="B384" s="2350"/>
      <c r="C384" s="1656">
        <v>51</v>
      </c>
      <c r="D384" s="1545"/>
      <c r="E384" s="1545">
        <v>18.86</v>
      </c>
      <c r="F384" s="1545"/>
      <c r="G384" s="1597">
        <v>100</v>
      </c>
      <c r="H384" s="1360"/>
      <c r="I384" s="411">
        <v>2223</v>
      </c>
      <c r="J384" s="1360">
        <v>100</v>
      </c>
      <c r="K384" s="1396"/>
      <c r="L384" s="999">
        <f t="shared" si="88"/>
        <v>143</v>
      </c>
      <c r="M384" s="1289"/>
    </row>
    <row r="385" spans="1:14" ht="12.75" customHeight="1" x14ac:dyDescent="0.2">
      <c r="A385" s="2349"/>
      <c r="B385" s="2350"/>
      <c r="C385" s="1591">
        <v>149</v>
      </c>
      <c r="D385" s="1545"/>
      <c r="E385" s="1545">
        <v>37.619999999999997</v>
      </c>
      <c r="F385" s="1545"/>
      <c r="G385" s="1597">
        <v>500</v>
      </c>
      <c r="H385" s="1360"/>
      <c r="I385" s="411">
        <v>2279</v>
      </c>
      <c r="J385" s="1360">
        <v>500</v>
      </c>
      <c r="K385" s="1396"/>
      <c r="L385" s="999">
        <f t="shared" si="88"/>
        <v>712</v>
      </c>
      <c r="M385" s="1289"/>
    </row>
    <row r="386" spans="1:14" x14ac:dyDescent="0.2">
      <c r="A386" s="2351">
        <v>7.5</v>
      </c>
      <c r="B386" s="2350" t="s">
        <v>1608</v>
      </c>
      <c r="C386" s="1526">
        <f t="shared" ref="C386:H386" si="100">SUM(C388:C390)</f>
        <v>25050</v>
      </c>
      <c r="D386" s="1527">
        <f t="shared" si="100"/>
        <v>0</v>
      </c>
      <c r="E386" s="1527">
        <f t="shared" si="100"/>
        <v>15243.140000000001</v>
      </c>
      <c r="F386" s="1527">
        <f t="shared" si="100"/>
        <v>0</v>
      </c>
      <c r="G386" s="412">
        <f>SUM(G387:G390)</f>
        <v>39350</v>
      </c>
      <c r="H386" s="1527">
        <f t="shared" si="100"/>
        <v>0</v>
      </c>
      <c r="I386" s="412"/>
      <c r="J386" s="1527">
        <f>SUM(J387:J390)</f>
        <v>39350</v>
      </c>
      <c r="K386" s="1527">
        <f t="shared" ref="K386:L386" si="101">SUM(K387:K390)</f>
        <v>0</v>
      </c>
      <c r="L386" s="1527">
        <f t="shared" si="101"/>
        <v>55993</v>
      </c>
      <c r="M386" s="1657">
        <f t="shared" ref="M386" si="102">SUM(M387:M390)</f>
        <v>0</v>
      </c>
      <c r="N386" s="1177"/>
    </row>
    <row r="387" spans="1:14" x14ac:dyDescent="0.2">
      <c r="A387" s="2351"/>
      <c r="B387" s="2350"/>
      <c r="C387" s="1518"/>
      <c r="D387" s="1360"/>
      <c r="E387" s="1360"/>
      <c r="F387" s="1360"/>
      <c r="G387" s="411">
        <v>400</v>
      </c>
      <c r="H387" s="1360"/>
      <c r="I387" s="411">
        <v>2232</v>
      </c>
      <c r="J387" s="1360">
        <v>400</v>
      </c>
      <c r="K387" s="1527"/>
      <c r="L387" s="1360">
        <f t="shared" si="88"/>
        <v>570</v>
      </c>
      <c r="M387" s="1528"/>
      <c r="N387" s="1177"/>
    </row>
    <row r="388" spans="1:14" x14ac:dyDescent="0.2">
      <c r="A388" s="2351"/>
      <c r="B388" s="2350"/>
      <c r="C388" s="1518">
        <v>21000</v>
      </c>
      <c r="D388" s="1360"/>
      <c r="E388" s="1360">
        <v>13927.03</v>
      </c>
      <c r="F388" s="1360"/>
      <c r="G388" s="411">
        <v>23000</v>
      </c>
      <c r="H388" s="1527"/>
      <c r="I388" s="411">
        <v>2239</v>
      </c>
      <c r="J388" s="1360">
        <v>23000</v>
      </c>
      <c r="K388" s="1396"/>
      <c r="L388" s="1360">
        <f t="shared" si="88"/>
        <v>32727</v>
      </c>
      <c r="M388" s="1289"/>
      <c r="N388" s="1177"/>
    </row>
    <row r="389" spans="1:14" x14ac:dyDescent="0.2">
      <c r="A389" s="2351"/>
      <c r="B389" s="2350"/>
      <c r="C389" s="1518">
        <v>1500</v>
      </c>
      <c r="D389" s="1360"/>
      <c r="E389" s="1360"/>
      <c r="F389" s="1360"/>
      <c r="G389" s="1550">
        <v>5950</v>
      </c>
      <c r="H389" s="1360"/>
      <c r="I389" s="411">
        <v>2279</v>
      </c>
      <c r="J389" s="1360">
        <v>5950</v>
      </c>
      <c r="K389" s="1396"/>
      <c r="L389" s="1360">
        <f t="shared" si="88"/>
        <v>8467</v>
      </c>
      <c r="M389" s="1289"/>
      <c r="N389" s="1177"/>
    </row>
    <row r="390" spans="1:14" x14ac:dyDescent="0.2">
      <c r="A390" s="2351"/>
      <c r="B390" s="2350"/>
      <c r="C390" s="1583">
        <v>2550</v>
      </c>
      <c r="D390" s="999"/>
      <c r="E390" s="999">
        <v>1316.11</v>
      </c>
      <c r="F390" s="999"/>
      <c r="G390" s="1454">
        <v>10000</v>
      </c>
      <c r="H390" s="999"/>
      <c r="I390" s="1454">
        <v>2390</v>
      </c>
      <c r="J390" s="1360">
        <v>10000</v>
      </c>
      <c r="K390" s="1396"/>
      <c r="L390" s="1360">
        <f t="shared" si="88"/>
        <v>14229</v>
      </c>
      <c r="M390" s="1289"/>
      <c r="N390" s="1177"/>
    </row>
    <row r="391" spans="1:14" ht="12" hidden="1" customHeight="1" x14ac:dyDescent="0.2">
      <c r="A391" s="1658"/>
      <c r="B391" s="416"/>
      <c r="C391" s="1577"/>
      <c r="D391" s="224"/>
      <c r="E391" s="224"/>
      <c r="F391" s="224"/>
      <c r="G391" s="411"/>
      <c r="H391" s="224"/>
      <c r="I391" s="411"/>
      <c r="J391" s="224"/>
      <c r="K391" s="999"/>
      <c r="L391" s="999"/>
      <c r="M391" s="1289"/>
    </row>
    <row r="392" spans="1:14" ht="36" x14ac:dyDescent="0.2">
      <c r="A392" s="1658">
        <v>7.6</v>
      </c>
      <c r="B392" s="1659" t="s">
        <v>1609</v>
      </c>
      <c r="C392" s="1505">
        <v>800</v>
      </c>
      <c r="D392" s="1357">
        <v>0</v>
      </c>
      <c r="E392" s="1357"/>
      <c r="F392" s="1357">
        <v>0</v>
      </c>
      <c r="G392" s="770">
        <v>800</v>
      </c>
      <c r="H392" s="1359">
        <v>0</v>
      </c>
      <c r="I392" s="771">
        <v>2239</v>
      </c>
      <c r="J392" s="1527">
        <v>800</v>
      </c>
      <c r="K392" s="1625"/>
      <c r="L392" s="1626">
        <f t="shared" si="88"/>
        <v>1139</v>
      </c>
      <c r="M392" s="1627"/>
    </row>
    <row r="393" spans="1:14" x14ac:dyDescent="0.2">
      <c r="A393" s="1637">
        <v>7.7</v>
      </c>
      <c r="B393" s="1634" t="s">
        <v>1610</v>
      </c>
      <c r="C393" s="1505">
        <v>0</v>
      </c>
      <c r="D393" s="1357">
        <v>0</v>
      </c>
      <c r="E393" s="1357"/>
      <c r="F393" s="1357">
        <v>0</v>
      </c>
      <c r="G393" s="770">
        <v>1865</v>
      </c>
      <c r="H393" s="1359">
        <v>0</v>
      </c>
      <c r="I393" s="771">
        <v>2275</v>
      </c>
      <c r="J393" s="1527"/>
      <c r="K393" s="1625"/>
      <c r="L393" s="1626">
        <f t="shared" si="88"/>
        <v>0</v>
      </c>
      <c r="M393" s="1627"/>
    </row>
    <row r="394" spans="1:14" s="426" customFormat="1" ht="12" customHeight="1" x14ac:dyDescent="0.2">
      <c r="A394" s="2349">
        <v>7.8</v>
      </c>
      <c r="B394" s="2350" t="s">
        <v>1611</v>
      </c>
      <c r="C394" s="1526">
        <f t="shared" ref="C394:L394" si="103">SUM(C395:C397)</f>
        <v>18390</v>
      </c>
      <c r="D394" s="1527">
        <f t="shared" si="103"/>
        <v>0</v>
      </c>
      <c r="E394" s="1527">
        <f t="shared" si="103"/>
        <v>15338.4</v>
      </c>
      <c r="F394" s="1527">
        <f t="shared" si="103"/>
        <v>0</v>
      </c>
      <c r="G394" s="412">
        <f t="shared" si="103"/>
        <v>25000</v>
      </c>
      <c r="H394" s="1527">
        <f t="shared" si="103"/>
        <v>0</v>
      </c>
      <c r="I394" s="412"/>
      <c r="J394" s="1527">
        <f t="shared" si="103"/>
        <v>0</v>
      </c>
      <c r="K394" s="1527">
        <f t="shared" si="103"/>
        <v>0</v>
      </c>
      <c r="L394" s="1527">
        <f t="shared" si="103"/>
        <v>0</v>
      </c>
      <c r="M394" s="1528">
        <f>SUM(M395:M397)</f>
        <v>0</v>
      </c>
    </row>
    <row r="395" spans="1:14" s="426" customFormat="1" x14ac:dyDescent="0.2">
      <c r="A395" s="2349"/>
      <c r="B395" s="2350"/>
      <c r="C395" s="1514">
        <v>859</v>
      </c>
      <c r="D395" s="1527"/>
      <c r="E395" s="1360">
        <v>858.4</v>
      </c>
      <c r="F395" s="1527"/>
      <c r="G395" s="411">
        <v>0</v>
      </c>
      <c r="H395" s="1527"/>
      <c r="I395" s="411">
        <v>1150</v>
      </c>
      <c r="J395" s="1527"/>
      <c r="K395" s="1625"/>
      <c r="L395" s="999">
        <f t="shared" si="88"/>
        <v>0</v>
      </c>
      <c r="M395" s="1289"/>
    </row>
    <row r="396" spans="1:14" s="426" customFormat="1" x14ac:dyDescent="0.2">
      <c r="A396" s="2349"/>
      <c r="B396" s="2350"/>
      <c r="C396" s="1514">
        <v>16758</v>
      </c>
      <c r="D396" s="1360"/>
      <c r="E396" s="1360">
        <v>14290</v>
      </c>
      <c r="F396" s="1360"/>
      <c r="G396" s="1550">
        <v>25000</v>
      </c>
      <c r="H396" s="1360"/>
      <c r="I396" s="411">
        <v>2279</v>
      </c>
      <c r="J396" s="1360"/>
      <c r="K396" s="1396"/>
      <c r="L396" s="999">
        <f t="shared" si="88"/>
        <v>0</v>
      </c>
      <c r="M396" s="1289"/>
    </row>
    <row r="397" spans="1:14" s="426" customFormat="1" ht="12" customHeight="1" x14ac:dyDescent="0.2">
      <c r="A397" s="2349"/>
      <c r="B397" s="2350"/>
      <c r="C397" s="1518">
        <v>773</v>
      </c>
      <c r="D397" s="1527"/>
      <c r="E397" s="1360">
        <v>190</v>
      </c>
      <c r="F397" s="1527"/>
      <c r="G397" s="411">
        <v>0</v>
      </c>
      <c r="H397" s="1527"/>
      <c r="I397" s="411">
        <v>2390</v>
      </c>
      <c r="J397" s="1527"/>
      <c r="K397" s="1625"/>
      <c r="L397" s="999">
        <f t="shared" si="88"/>
        <v>0</v>
      </c>
      <c r="M397" s="1289"/>
    </row>
    <row r="398" spans="1:14" ht="24" x14ac:dyDescent="0.2">
      <c r="A398" s="1650">
        <v>7.9</v>
      </c>
      <c r="B398" s="1651" t="s">
        <v>1614</v>
      </c>
      <c r="C398" s="1506">
        <v>0</v>
      </c>
      <c r="D398" s="1507">
        <v>0</v>
      </c>
      <c r="E398" s="1507">
        <v>0</v>
      </c>
      <c r="F398" s="1507">
        <v>0</v>
      </c>
      <c r="G398" s="1340">
        <v>0</v>
      </c>
      <c r="H398" s="1486">
        <v>0</v>
      </c>
      <c r="I398" s="1365">
        <v>2239</v>
      </c>
      <c r="J398" s="1432"/>
      <c r="K398" s="1508"/>
      <c r="L398" s="1480">
        <f t="shared" si="88"/>
        <v>0</v>
      </c>
      <c r="M398" s="1481"/>
    </row>
    <row r="399" spans="1:14" ht="12.75" x14ac:dyDescent="0.2">
      <c r="A399" s="1301">
        <v>8</v>
      </c>
      <c r="B399" s="1302" t="s">
        <v>1920</v>
      </c>
      <c r="C399" s="1336">
        <f>SUM(C400,C405)</f>
        <v>6018</v>
      </c>
      <c r="D399" s="1337">
        <f>SUM(D400,D405)</f>
        <v>0</v>
      </c>
      <c r="E399" s="1337">
        <f>SUM(E400,E405)</f>
        <v>4641.67</v>
      </c>
      <c r="F399" s="1337">
        <f>SUM(F400,F405)</f>
        <v>0</v>
      </c>
      <c r="G399" s="1337">
        <f>SUM(G400,G405)</f>
        <v>0</v>
      </c>
      <c r="H399" s="1337">
        <f t="shared" ref="H399:M399" si="104">SUM(H400,H405)</f>
        <v>0</v>
      </c>
      <c r="I399" s="1337"/>
      <c r="J399" s="1337">
        <f t="shared" si="104"/>
        <v>0</v>
      </c>
      <c r="K399" s="1337">
        <f t="shared" si="104"/>
        <v>0</v>
      </c>
      <c r="L399" s="1337">
        <f t="shared" si="104"/>
        <v>0</v>
      </c>
      <c r="M399" s="1338">
        <f t="shared" si="104"/>
        <v>0</v>
      </c>
    </row>
    <row r="400" spans="1:14" ht="12.75" customHeight="1" x14ac:dyDescent="0.2">
      <c r="A400" s="2345">
        <v>8.1</v>
      </c>
      <c r="B400" s="2347" t="s">
        <v>1620</v>
      </c>
      <c r="C400" s="1411">
        <f t="shared" ref="C400:H400" si="105">SUM(C401:C404)</f>
        <v>1615</v>
      </c>
      <c r="D400" s="1412">
        <f t="shared" si="105"/>
        <v>0</v>
      </c>
      <c r="E400" s="1412">
        <f t="shared" si="105"/>
        <v>1559.5700000000002</v>
      </c>
      <c r="F400" s="1412">
        <f t="shared" si="105"/>
        <v>0</v>
      </c>
      <c r="G400" s="1337">
        <f t="shared" si="105"/>
        <v>0</v>
      </c>
      <c r="H400" s="1412">
        <f t="shared" si="105"/>
        <v>0</v>
      </c>
      <c r="I400" s="1337"/>
      <c r="J400" s="1412">
        <f>SUM(J401:J404)</f>
        <v>0</v>
      </c>
      <c r="K400" s="1412">
        <f>SUM(K401:K404)</f>
        <v>0</v>
      </c>
      <c r="L400" s="1412">
        <f>SUM(L401:L404)</f>
        <v>0</v>
      </c>
      <c r="M400" s="1413">
        <f>SUM(M401:M404)</f>
        <v>0</v>
      </c>
    </row>
    <row r="401" spans="1:13" ht="12.75" customHeight="1" x14ac:dyDescent="0.2">
      <c r="A401" s="2346"/>
      <c r="B401" s="2348"/>
      <c r="C401" s="1509">
        <v>600</v>
      </c>
      <c r="D401" s="1352"/>
      <c r="E401" s="1352">
        <v>544.91999999999996</v>
      </c>
      <c r="F401" s="1352"/>
      <c r="G401" s="1257"/>
      <c r="H401" s="1377"/>
      <c r="I401" s="1257">
        <v>1150</v>
      </c>
      <c r="J401" s="1352"/>
      <c r="K401" s="1516"/>
      <c r="L401" s="1377">
        <f t="shared" ref="L401:L405" si="106">ROUNDUP(J401/0.702804,0)</f>
        <v>0</v>
      </c>
      <c r="M401" s="1288"/>
    </row>
    <row r="402" spans="1:13" ht="12.75" customHeight="1" x14ac:dyDescent="0.2">
      <c r="A402" s="2346"/>
      <c r="B402" s="2348"/>
      <c r="C402" s="1518">
        <v>490</v>
      </c>
      <c r="D402" s="1360"/>
      <c r="E402" s="1360">
        <v>490</v>
      </c>
      <c r="F402" s="1360"/>
      <c r="G402" s="411"/>
      <c r="H402" s="999"/>
      <c r="I402" s="411">
        <v>2231</v>
      </c>
      <c r="J402" s="1360"/>
      <c r="K402" s="1396"/>
      <c r="L402" s="999">
        <f t="shared" si="106"/>
        <v>0</v>
      </c>
      <c r="M402" s="1289"/>
    </row>
    <row r="403" spans="1:13" ht="12.75" customHeight="1" x14ac:dyDescent="0.2">
      <c r="A403" s="2346"/>
      <c r="B403" s="2348"/>
      <c r="C403" s="1518">
        <v>45</v>
      </c>
      <c r="D403" s="1360"/>
      <c r="E403" s="1360">
        <v>44.65</v>
      </c>
      <c r="F403" s="1360"/>
      <c r="G403" s="411"/>
      <c r="H403" s="999"/>
      <c r="I403" s="411">
        <v>2269</v>
      </c>
      <c r="J403" s="1360"/>
      <c r="K403" s="1396"/>
      <c r="L403" s="999">
        <f t="shared" si="106"/>
        <v>0</v>
      </c>
      <c r="M403" s="1289"/>
    </row>
    <row r="404" spans="1:13" ht="12.75" customHeight="1" x14ac:dyDescent="0.2">
      <c r="A404" s="2346"/>
      <c r="B404" s="2348"/>
      <c r="C404" s="1515">
        <v>480</v>
      </c>
      <c r="D404" s="1383"/>
      <c r="E404" s="1383">
        <v>480</v>
      </c>
      <c r="F404" s="1383"/>
      <c r="G404" s="518"/>
      <c r="H404" s="1456"/>
      <c r="I404" s="518">
        <v>2390</v>
      </c>
      <c r="J404" s="1383"/>
      <c r="K404" s="1535"/>
      <c r="L404" s="1456">
        <f t="shared" si="106"/>
        <v>0</v>
      </c>
      <c r="M404" s="1570"/>
    </row>
    <row r="405" spans="1:13" ht="36" x14ac:dyDescent="0.2">
      <c r="A405" s="1660">
        <v>8.1999999999999993</v>
      </c>
      <c r="B405" s="1661" t="s">
        <v>1615</v>
      </c>
      <c r="C405" s="1662">
        <v>4403</v>
      </c>
      <c r="D405" s="1663"/>
      <c r="E405" s="1663">
        <v>3082.1</v>
      </c>
      <c r="F405" s="1663"/>
      <c r="G405" s="1664">
        <v>0</v>
      </c>
      <c r="H405" s="1665"/>
      <c r="I405" s="790">
        <v>2279</v>
      </c>
      <c r="J405" s="1367"/>
      <c r="K405" s="1409"/>
      <c r="L405" s="1410">
        <f t="shared" si="106"/>
        <v>0</v>
      </c>
      <c r="M405" s="1287"/>
    </row>
  </sheetData>
  <sheetProtection password="CA5B" sheet="1" objects="1" scenarios="1"/>
  <mergeCells count="164">
    <mergeCell ref="I12:I13"/>
    <mergeCell ref="J12:K12"/>
    <mergeCell ref="L12:M12"/>
    <mergeCell ref="A14:B14"/>
    <mergeCell ref="A16:A21"/>
    <mergeCell ref="B16:B21"/>
    <mergeCell ref="C7:K7"/>
    <mergeCell ref="A8:B8"/>
    <mergeCell ref="C10:K10"/>
    <mergeCell ref="C11:K11"/>
    <mergeCell ref="A12:A13"/>
    <mergeCell ref="B12:B13"/>
    <mergeCell ref="C12:D12"/>
    <mergeCell ref="E12:F12"/>
    <mergeCell ref="G12:H12"/>
    <mergeCell ref="A51:A55"/>
    <mergeCell ref="B51:B55"/>
    <mergeCell ref="A56:A58"/>
    <mergeCell ref="B56:B58"/>
    <mergeCell ref="A59:A63"/>
    <mergeCell ref="B59:B63"/>
    <mergeCell ref="A22:A27"/>
    <mergeCell ref="B22:B27"/>
    <mergeCell ref="A30:A42"/>
    <mergeCell ref="B36:B37"/>
    <mergeCell ref="A44:A50"/>
    <mergeCell ref="B44:B50"/>
    <mergeCell ref="A87:A88"/>
    <mergeCell ref="B87:B88"/>
    <mergeCell ref="A89:A92"/>
    <mergeCell ref="B89:B92"/>
    <mergeCell ref="A93:A95"/>
    <mergeCell ref="B93:B95"/>
    <mergeCell ref="A64:A70"/>
    <mergeCell ref="B64:B70"/>
    <mergeCell ref="A71:A76"/>
    <mergeCell ref="B71:B76"/>
    <mergeCell ref="A77:A82"/>
    <mergeCell ref="B77:B82"/>
    <mergeCell ref="A108:A111"/>
    <mergeCell ref="B108:B111"/>
    <mergeCell ref="A112:A116"/>
    <mergeCell ref="B112:B116"/>
    <mergeCell ref="A117:A122"/>
    <mergeCell ref="B117:B122"/>
    <mergeCell ref="A96:A99"/>
    <mergeCell ref="B96:B99"/>
    <mergeCell ref="A101:A103"/>
    <mergeCell ref="B101:B103"/>
    <mergeCell ref="A104:A107"/>
    <mergeCell ref="B104:B107"/>
    <mergeCell ref="A141:A145"/>
    <mergeCell ref="B141:B145"/>
    <mergeCell ref="A146:A150"/>
    <mergeCell ref="B146:B150"/>
    <mergeCell ref="A151:A152"/>
    <mergeCell ref="B151:B152"/>
    <mergeCell ref="A123:A129"/>
    <mergeCell ref="B123:B129"/>
    <mergeCell ref="A130:A135"/>
    <mergeCell ref="B130:B135"/>
    <mergeCell ref="A136:A140"/>
    <mergeCell ref="B136:B140"/>
    <mergeCell ref="A171:A177"/>
    <mergeCell ref="B171:B177"/>
    <mergeCell ref="A178:A182"/>
    <mergeCell ref="B178:B182"/>
    <mergeCell ref="A183:A187"/>
    <mergeCell ref="B183:B187"/>
    <mergeCell ref="A153:A159"/>
    <mergeCell ref="B153:B158"/>
    <mergeCell ref="A160:A164"/>
    <mergeCell ref="B160:B164"/>
    <mergeCell ref="A165:A170"/>
    <mergeCell ref="B165:B170"/>
    <mergeCell ref="A201:A204"/>
    <mergeCell ref="B201:B204"/>
    <mergeCell ref="A205:A210"/>
    <mergeCell ref="B205:B210"/>
    <mergeCell ref="A211:A213"/>
    <mergeCell ref="B211:B213"/>
    <mergeCell ref="A188:A190"/>
    <mergeCell ref="B188:B190"/>
    <mergeCell ref="A191:A193"/>
    <mergeCell ref="B191:B193"/>
    <mergeCell ref="A194:A200"/>
    <mergeCell ref="B194:B200"/>
    <mergeCell ref="A230:A233"/>
    <mergeCell ref="B230:B233"/>
    <mergeCell ref="A234:A239"/>
    <mergeCell ref="B234:B239"/>
    <mergeCell ref="A240:A245"/>
    <mergeCell ref="B240:B245"/>
    <mergeCell ref="A214:A217"/>
    <mergeCell ref="B214:B217"/>
    <mergeCell ref="A218:A221"/>
    <mergeCell ref="B218:B221"/>
    <mergeCell ref="A222:A229"/>
    <mergeCell ref="B222:B229"/>
    <mergeCell ref="A263:A264"/>
    <mergeCell ref="B263:B264"/>
    <mergeCell ref="A266:A269"/>
    <mergeCell ref="B266:B269"/>
    <mergeCell ref="A270:A273"/>
    <mergeCell ref="B270:B273"/>
    <mergeCell ref="A246:A251"/>
    <mergeCell ref="B246:B251"/>
    <mergeCell ref="B253:B256"/>
    <mergeCell ref="B257:B258"/>
    <mergeCell ref="B259:B260"/>
    <mergeCell ref="B261:B262"/>
    <mergeCell ref="A253:A256"/>
    <mergeCell ref="A257:A258"/>
    <mergeCell ref="A259:A260"/>
    <mergeCell ref="A261:A262"/>
    <mergeCell ref="A291:A294"/>
    <mergeCell ref="B291:B294"/>
    <mergeCell ref="A295:A298"/>
    <mergeCell ref="B295:B298"/>
    <mergeCell ref="A299:A301"/>
    <mergeCell ref="B299:B301"/>
    <mergeCell ref="A274:A277"/>
    <mergeCell ref="B274:B277"/>
    <mergeCell ref="A279:A284"/>
    <mergeCell ref="B279:B284"/>
    <mergeCell ref="A285:A290"/>
    <mergeCell ref="B285:B290"/>
    <mergeCell ref="A334:A337"/>
    <mergeCell ref="A311:A313"/>
    <mergeCell ref="B311:B313"/>
    <mergeCell ref="A314:A316"/>
    <mergeCell ref="B314:B316"/>
    <mergeCell ref="A317:A321"/>
    <mergeCell ref="B317:B321"/>
    <mergeCell ref="A302:A304"/>
    <mergeCell ref="B302:B304"/>
    <mergeCell ref="A305:A307"/>
    <mergeCell ref="B305:B307"/>
    <mergeCell ref="A308:A310"/>
    <mergeCell ref="B308:B310"/>
    <mergeCell ref="G1:M3"/>
    <mergeCell ref="A339:A341"/>
    <mergeCell ref="A342:A343"/>
    <mergeCell ref="C8:K8"/>
    <mergeCell ref="A9:B9"/>
    <mergeCell ref="C9:K9"/>
    <mergeCell ref="A400:A404"/>
    <mergeCell ref="B400:B404"/>
    <mergeCell ref="A383:A385"/>
    <mergeCell ref="B383:B385"/>
    <mergeCell ref="A386:A390"/>
    <mergeCell ref="B386:B390"/>
    <mergeCell ref="A394:A397"/>
    <mergeCell ref="B394:B397"/>
    <mergeCell ref="B339:B341"/>
    <mergeCell ref="A344:A348"/>
    <mergeCell ref="B344:B348"/>
    <mergeCell ref="A352:A355"/>
    <mergeCell ref="B352:B355"/>
    <mergeCell ref="A322:A325"/>
    <mergeCell ref="B322:B325"/>
    <mergeCell ref="A326:A329"/>
    <mergeCell ref="A330:A333"/>
    <mergeCell ref="B330:B333"/>
  </mergeCells>
  <pageMargins left="0.62992125984251968" right="0.15748031496062992" top="0.59055118110236227" bottom="0.23622047244094491" header="0.15748031496062992" footer="0.15748031496062992"/>
  <pageSetup paperSize="9" scale="80" orientation="portrait" r:id="rId1"/>
  <headerFooter alignWithMargins="0">
    <oddHeader xml:space="preserve">&amp;R&amp;"Times New Roman,Bold"&amp;8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190"/>
  <sheetViews>
    <sheetView zoomScale="110" zoomScaleNormal="110" workbookViewId="0">
      <selection activeCell="J6" sqref="J6"/>
    </sheetView>
  </sheetViews>
  <sheetFormatPr defaultRowHeight="12" x14ac:dyDescent="0.2"/>
  <cols>
    <col min="1" max="1" width="6.140625" style="1104" customWidth="1"/>
    <col min="2" max="2" width="47.85546875" style="1104" customWidth="1"/>
    <col min="3" max="3" width="11.85546875" style="1104" customWidth="1"/>
    <col min="4" max="4" width="11.140625" style="1104" customWidth="1"/>
    <col min="5" max="5" width="10.28515625" style="1104" customWidth="1"/>
    <col min="6" max="6" width="10.5703125" style="1104" customWidth="1"/>
    <col min="7" max="7" width="9.7109375" style="1104" hidden="1" customWidth="1"/>
    <col min="8" max="8" width="9.7109375" style="1104" customWidth="1"/>
    <col min="9" max="9" width="17.85546875" style="1104" customWidth="1"/>
    <col min="10" max="10" width="9" style="1104" customWidth="1"/>
    <col min="11" max="16384" width="9.140625" style="1104"/>
  </cols>
  <sheetData>
    <row r="1" spans="1:22" x14ac:dyDescent="0.2">
      <c r="E1" s="2438" t="s">
        <v>2187</v>
      </c>
      <c r="F1" s="2439"/>
      <c r="G1" s="2439"/>
      <c r="H1" s="2439"/>
      <c r="I1" s="2439"/>
    </row>
    <row r="2" spans="1:22" ht="24" customHeight="1" x14ac:dyDescent="0.2">
      <c r="E2" s="2439"/>
      <c r="F2" s="2439"/>
      <c r="G2" s="2439"/>
      <c r="H2" s="2439"/>
      <c r="I2" s="2439"/>
    </row>
    <row r="3" spans="1:22" x14ac:dyDescent="0.2">
      <c r="E3" s="1881"/>
      <c r="F3" s="1881"/>
      <c r="G3" s="1881"/>
      <c r="H3" s="1881"/>
      <c r="I3" s="1881"/>
    </row>
    <row r="4" spans="1:22" x14ac:dyDescent="0.2">
      <c r="E4" s="1881"/>
      <c r="F4" s="1881"/>
      <c r="G4" s="1881"/>
      <c r="H4" s="1881"/>
      <c r="I4" s="1881"/>
    </row>
    <row r="5" spans="1:22" x14ac:dyDescent="0.2">
      <c r="E5" s="1881"/>
      <c r="F5" s="1881"/>
      <c r="G5" s="1881"/>
      <c r="H5" s="1881"/>
      <c r="I5" s="1881"/>
    </row>
    <row r="6" spans="1:22" x14ac:dyDescent="0.2">
      <c r="A6" s="1106" t="s">
        <v>1621</v>
      </c>
      <c r="B6" s="1792"/>
      <c r="C6" s="2442"/>
      <c r="D6" s="2442"/>
      <c r="E6" s="2442"/>
      <c r="F6" s="2442"/>
      <c r="G6" s="1106"/>
      <c r="H6" s="1106"/>
      <c r="I6" s="1106"/>
      <c r="J6" s="1102"/>
      <c r="K6" s="1102"/>
      <c r="L6" s="1102"/>
      <c r="M6" s="1102"/>
      <c r="N6" s="1102"/>
      <c r="O6" s="1103"/>
      <c r="P6" s="1102"/>
      <c r="Q6" s="1102"/>
      <c r="R6" s="1102"/>
      <c r="S6" s="1102"/>
      <c r="T6" s="1102"/>
      <c r="U6" s="1102"/>
      <c r="V6" s="1103"/>
    </row>
    <row r="7" spans="1:22" x14ac:dyDescent="0.2">
      <c r="A7" s="1106" t="s">
        <v>1622</v>
      </c>
      <c r="B7" s="1792"/>
      <c r="C7" s="2443"/>
      <c r="D7" s="2443"/>
      <c r="E7" s="2443"/>
      <c r="F7" s="2443"/>
      <c r="G7" s="2443"/>
      <c r="H7" s="2443"/>
      <c r="I7" s="2443"/>
    </row>
    <row r="8" spans="1:22" ht="15.75" x14ac:dyDescent="0.25">
      <c r="A8" s="2444" t="s">
        <v>113</v>
      </c>
      <c r="B8" s="2444"/>
      <c r="C8" s="2444"/>
      <c r="D8" s="2444"/>
      <c r="E8" s="2444"/>
      <c r="F8" s="2444"/>
      <c r="G8" s="2444"/>
      <c r="H8" s="2444"/>
      <c r="I8" s="2444"/>
    </row>
    <row r="9" spans="1:22" x14ac:dyDescent="0.2">
      <c r="A9" s="1106" t="s">
        <v>114</v>
      </c>
      <c r="B9" s="1106"/>
      <c r="C9" s="2445"/>
      <c r="D9" s="2445"/>
      <c r="E9" s="2445"/>
      <c r="F9" s="2445"/>
      <c r="G9" s="2445"/>
      <c r="H9" s="2445"/>
      <c r="I9" s="2445"/>
    </row>
    <row r="10" spans="1:22" ht="14.25" x14ac:dyDescent="0.2">
      <c r="A10" s="1106" t="s">
        <v>1623</v>
      </c>
      <c r="B10" s="1106"/>
      <c r="C10" s="2446"/>
      <c r="D10" s="2446"/>
      <c r="E10" s="2446"/>
      <c r="F10" s="2446"/>
      <c r="G10" s="1106"/>
      <c r="H10" s="1106"/>
      <c r="I10" s="1106"/>
      <c r="J10" s="1106"/>
      <c r="K10" s="1106"/>
      <c r="L10" s="1106"/>
      <c r="M10" s="1106"/>
      <c r="N10" s="1106"/>
      <c r="O10" s="1107"/>
      <c r="P10" s="1106"/>
      <c r="Q10" s="1106"/>
      <c r="R10" s="1106"/>
      <c r="S10" s="1106"/>
      <c r="T10" s="1106"/>
      <c r="U10" s="1106"/>
      <c r="V10" s="1107"/>
    </row>
    <row r="11" spans="1:22" x14ac:dyDescent="0.2">
      <c r="A11" s="1793" t="s">
        <v>1624</v>
      </c>
      <c r="B11" s="1793"/>
      <c r="C11" s="2447"/>
      <c r="D11" s="2447"/>
      <c r="E11" s="2447"/>
      <c r="F11" s="2447"/>
      <c r="G11" s="2447"/>
      <c r="H11" s="2447"/>
      <c r="I11" s="2447"/>
    </row>
    <row r="12" spans="1:22" ht="48" x14ac:dyDescent="0.2">
      <c r="A12" s="1108" t="s">
        <v>47</v>
      </c>
      <c r="B12" s="1108" t="s">
        <v>119</v>
      </c>
      <c r="C12" s="1108" t="s">
        <v>120</v>
      </c>
      <c r="D12" s="1108" t="s">
        <v>121</v>
      </c>
      <c r="E12" s="1108" t="s">
        <v>122</v>
      </c>
      <c r="F12" s="1108" t="s">
        <v>129</v>
      </c>
      <c r="G12" s="1108" t="s">
        <v>124</v>
      </c>
      <c r="H12" s="1108" t="s">
        <v>2165</v>
      </c>
      <c r="I12" s="1108" t="s">
        <v>126</v>
      </c>
    </row>
    <row r="13" spans="1:22" x14ac:dyDescent="0.2">
      <c r="A13" s="2448" t="s">
        <v>130</v>
      </c>
      <c r="B13" s="2449"/>
      <c r="C13" s="1109">
        <f>SUM(C14:C54)</f>
        <v>2710</v>
      </c>
      <c r="D13" s="1109">
        <f>SUM(D14:D54)</f>
        <v>2679</v>
      </c>
      <c r="E13" s="1109">
        <f>SUM(E14:E54)</f>
        <v>4100</v>
      </c>
      <c r="F13" s="1109"/>
      <c r="G13" s="1109">
        <f>SUM(G14:G54)</f>
        <v>4100</v>
      </c>
      <c r="H13" s="1109">
        <f>SUM(H14:H54)</f>
        <v>5849</v>
      </c>
      <c r="I13" s="1110"/>
    </row>
    <row r="14" spans="1:22" x14ac:dyDescent="0.2">
      <c r="A14" s="1111">
        <v>1</v>
      </c>
      <c r="B14" s="1111" t="s">
        <v>1850</v>
      </c>
      <c r="C14" s="1112"/>
      <c r="D14" s="1112"/>
      <c r="E14" s="1112"/>
      <c r="F14" s="1112"/>
      <c r="G14" s="1112"/>
      <c r="H14" s="1112">
        <f>G14/0.702804</f>
        <v>0</v>
      </c>
      <c r="I14" s="1113" t="s">
        <v>1849</v>
      </c>
    </row>
    <row r="15" spans="1:22" x14ac:dyDescent="0.2">
      <c r="A15" s="1113" t="s">
        <v>199</v>
      </c>
      <c r="B15" s="1113" t="s">
        <v>1625</v>
      </c>
      <c r="C15" s="1112">
        <v>150</v>
      </c>
      <c r="D15" s="1112">
        <v>150</v>
      </c>
      <c r="E15" s="1112">
        <v>300</v>
      </c>
      <c r="F15" s="1785">
        <v>1150</v>
      </c>
      <c r="G15" s="1112">
        <v>300</v>
      </c>
      <c r="H15" s="1112">
        <f>ROUNDUP(G15/0.702804,0)</f>
        <v>427</v>
      </c>
      <c r="I15" s="1114"/>
    </row>
    <row r="16" spans="1:22" x14ac:dyDescent="0.2">
      <c r="A16" s="1113" t="s">
        <v>206</v>
      </c>
      <c r="B16" s="1113" t="s">
        <v>1626</v>
      </c>
      <c r="C16" s="1112">
        <v>60</v>
      </c>
      <c r="D16" s="1112">
        <v>60</v>
      </c>
      <c r="E16" s="1112">
        <v>70</v>
      </c>
      <c r="F16" s="1785">
        <v>2264</v>
      </c>
      <c r="G16" s="1112">
        <v>70</v>
      </c>
      <c r="H16" s="1112">
        <f t="shared" ref="H16:H22" si="0">ROUNDUP(G16/0.702804,0)</f>
        <v>100</v>
      </c>
      <c r="I16" s="1113"/>
    </row>
    <row r="17" spans="1:9" x14ac:dyDescent="0.2">
      <c r="A17" s="1113" t="s">
        <v>570</v>
      </c>
      <c r="B17" s="1113" t="s">
        <v>1627</v>
      </c>
      <c r="C17" s="1112">
        <v>99</v>
      </c>
      <c r="D17" s="1112">
        <v>99</v>
      </c>
      <c r="E17" s="1112">
        <v>100</v>
      </c>
      <c r="F17" s="1785">
        <v>2390</v>
      </c>
      <c r="G17" s="1112">
        <v>100</v>
      </c>
      <c r="H17" s="1112">
        <f t="shared" si="0"/>
        <v>143</v>
      </c>
      <c r="I17" s="1113"/>
    </row>
    <row r="18" spans="1:9" x14ac:dyDescent="0.2">
      <c r="A18" s="1113" t="s">
        <v>1628</v>
      </c>
      <c r="B18" s="1113" t="s">
        <v>1629</v>
      </c>
      <c r="C18" s="1112">
        <v>20</v>
      </c>
      <c r="D18" s="1112">
        <v>20</v>
      </c>
      <c r="E18" s="1112">
        <v>30</v>
      </c>
      <c r="F18" s="1785">
        <v>2390</v>
      </c>
      <c r="G18" s="1112">
        <v>30</v>
      </c>
      <c r="H18" s="1112">
        <f t="shared" si="0"/>
        <v>43</v>
      </c>
      <c r="I18" s="1113"/>
    </row>
    <row r="19" spans="1:9" x14ac:dyDescent="0.2">
      <c r="A19" s="1113" t="s">
        <v>1630</v>
      </c>
      <c r="B19" s="1113" t="s">
        <v>1631</v>
      </c>
      <c r="C19" s="1112">
        <v>0</v>
      </c>
      <c r="D19" s="1112">
        <v>0</v>
      </c>
      <c r="E19" s="1112">
        <v>70</v>
      </c>
      <c r="F19" s="1785">
        <v>1150</v>
      </c>
      <c r="G19" s="1112">
        <v>70</v>
      </c>
      <c r="H19" s="1112">
        <f t="shared" si="0"/>
        <v>100</v>
      </c>
      <c r="I19" s="1113"/>
    </row>
    <row r="20" spans="1:9" x14ac:dyDescent="0.2">
      <c r="A20" s="1113" t="s">
        <v>1632</v>
      </c>
      <c r="B20" s="1113" t="s">
        <v>1633</v>
      </c>
      <c r="C20" s="1112">
        <v>0</v>
      </c>
      <c r="D20" s="1112">
        <v>0</v>
      </c>
      <c r="E20" s="1112">
        <v>50</v>
      </c>
      <c r="F20" s="1785">
        <v>2390</v>
      </c>
      <c r="G20" s="1112">
        <v>50</v>
      </c>
      <c r="H20" s="1112">
        <f t="shared" si="0"/>
        <v>72</v>
      </c>
      <c r="I20" s="1113"/>
    </row>
    <row r="21" spans="1:9" x14ac:dyDescent="0.2">
      <c r="A21" s="1113" t="s">
        <v>1634</v>
      </c>
      <c r="B21" s="1113" t="s">
        <v>1635</v>
      </c>
      <c r="C21" s="1112">
        <v>31</v>
      </c>
      <c r="D21" s="1112">
        <v>31</v>
      </c>
      <c r="E21" s="1112">
        <v>40</v>
      </c>
      <c r="F21" s="1785">
        <v>2352</v>
      </c>
      <c r="G21" s="1112">
        <v>40</v>
      </c>
      <c r="H21" s="1112">
        <f t="shared" si="0"/>
        <v>57</v>
      </c>
      <c r="I21" s="1113"/>
    </row>
    <row r="22" spans="1:9" x14ac:dyDescent="0.2">
      <c r="A22" s="1113" t="s">
        <v>1636</v>
      </c>
      <c r="B22" s="1113" t="s">
        <v>1863</v>
      </c>
      <c r="C22" s="1112">
        <v>0</v>
      </c>
      <c r="D22" s="1112">
        <v>0</v>
      </c>
      <c r="E22" s="1112">
        <v>20</v>
      </c>
      <c r="F22" s="1785">
        <v>2322</v>
      </c>
      <c r="G22" s="1112">
        <v>20</v>
      </c>
      <c r="H22" s="1112">
        <f t="shared" si="0"/>
        <v>29</v>
      </c>
      <c r="I22" s="1113"/>
    </row>
    <row r="23" spans="1:9" x14ac:dyDescent="0.2">
      <c r="A23" s="1115"/>
      <c r="B23" s="1115"/>
      <c r="C23" s="1116"/>
      <c r="D23" s="1116"/>
      <c r="E23" s="1116"/>
      <c r="F23" s="1786"/>
      <c r="G23" s="1112"/>
      <c r="H23" s="1112"/>
      <c r="I23" s="1117"/>
    </row>
    <row r="24" spans="1:9" x14ac:dyDescent="0.2">
      <c r="A24" s="1111">
        <v>2</v>
      </c>
      <c r="B24" s="1111" t="s">
        <v>1852</v>
      </c>
      <c r="C24" s="1116"/>
      <c r="D24" s="1116"/>
      <c r="E24" s="1116"/>
      <c r="F24" s="1786"/>
      <c r="G24" s="1112"/>
      <c r="H24" s="1112"/>
      <c r="I24" s="1117" t="s">
        <v>1851</v>
      </c>
    </row>
    <row r="25" spans="1:9" x14ac:dyDescent="0.2">
      <c r="A25" s="1113" t="s">
        <v>211</v>
      </c>
      <c r="B25" s="1113" t="s">
        <v>1638</v>
      </c>
      <c r="C25" s="1112">
        <v>760</v>
      </c>
      <c r="D25" s="1112">
        <v>760</v>
      </c>
      <c r="E25" s="1112">
        <v>840</v>
      </c>
      <c r="F25" s="1787">
        <v>1150</v>
      </c>
      <c r="G25" s="1112">
        <v>840</v>
      </c>
      <c r="H25" s="1112">
        <f t="shared" ref="H25:H32" si="1">ROUNDUP(G25/0.702804,0)</f>
        <v>1196</v>
      </c>
      <c r="I25" s="1119"/>
    </row>
    <row r="26" spans="1:9" ht="24" x14ac:dyDescent="0.2">
      <c r="A26" s="1113" t="s">
        <v>216</v>
      </c>
      <c r="B26" s="1113" t="s">
        <v>1839</v>
      </c>
      <c r="C26" s="1112">
        <v>0</v>
      </c>
      <c r="D26" s="1112">
        <v>0</v>
      </c>
      <c r="E26" s="1112">
        <v>80</v>
      </c>
      <c r="F26" s="1787">
        <v>1150</v>
      </c>
      <c r="G26" s="1112">
        <v>80</v>
      </c>
      <c r="H26" s="1112">
        <f t="shared" si="1"/>
        <v>114</v>
      </c>
      <c r="I26" s="1119"/>
    </row>
    <row r="27" spans="1:9" x14ac:dyDescent="0.2">
      <c r="A27" s="1113" t="s">
        <v>219</v>
      </c>
      <c r="B27" s="1113" t="s">
        <v>1626</v>
      </c>
      <c r="C27" s="1112">
        <v>100</v>
      </c>
      <c r="D27" s="1112">
        <v>100</v>
      </c>
      <c r="E27" s="1112">
        <v>100</v>
      </c>
      <c r="F27" s="1787">
        <v>2264</v>
      </c>
      <c r="G27" s="1112">
        <v>100</v>
      </c>
      <c r="H27" s="1112">
        <f t="shared" si="1"/>
        <v>143</v>
      </c>
      <c r="I27" s="1117"/>
    </row>
    <row r="28" spans="1:9" x14ac:dyDescent="0.2">
      <c r="A28" s="1113" t="s">
        <v>1640</v>
      </c>
      <c r="B28" s="1113" t="s">
        <v>1639</v>
      </c>
      <c r="C28" s="1112">
        <v>50</v>
      </c>
      <c r="D28" s="1112">
        <v>49</v>
      </c>
      <c r="E28" s="1112">
        <v>80</v>
      </c>
      <c r="F28" s="1787">
        <v>2390</v>
      </c>
      <c r="G28" s="1112">
        <v>80</v>
      </c>
      <c r="H28" s="1112">
        <f t="shared" si="1"/>
        <v>114</v>
      </c>
      <c r="I28" s="1117"/>
    </row>
    <row r="29" spans="1:9" x14ac:dyDescent="0.2">
      <c r="A29" s="1113" t="s">
        <v>1642</v>
      </c>
      <c r="B29" s="1113" t="s">
        <v>1641</v>
      </c>
      <c r="C29" s="1112">
        <v>0</v>
      </c>
      <c r="D29" s="1112">
        <v>0</v>
      </c>
      <c r="E29" s="1112">
        <v>50</v>
      </c>
      <c r="F29" s="1787">
        <v>1150</v>
      </c>
      <c r="G29" s="1112">
        <v>50</v>
      </c>
      <c r="H29" s="1112">
        <f t="shared" si="1"/>
        <v>72</v>
      </c>
      <c r="I29" s="1117"/>
    </row>
    <row r="30" spans="1:9" x14ac:dyDescent="0.2">
      <c r="A30" s="1113" t="s">
        <v>1643</v>
      </c>
      <c r="B30" s="1113" t="s">
        <v>1644</v>
      </c>
      <c r="C30" s="1112">
        <v>0</v>
      </c>
      <c r="D30" s="1112">
        <v>0</v>
      </c>
      <c r="E30" s="1112">
        <v>70</v>
      </c>
      <c r="F30" s="1787">
        <v>1150</v>
      </c>
      <c r="G30" s="1112">
        <v>70</v>
      </c>
      <c r="H30" s="1112">
        <f t="shared" si="1"/>
        <v>100</v>
      </c>
      <c r="I30" s="1117"/>
    </row>
    <row r="31" spans="1:9" x14ac:dyDescent="0.2">
      <c r="A31" s="1113" t="s">
        <v>1645</v>
      </c>
      <c r="B31" s="1113" t="s">
        <v>1646</v>
      </c>
      <c r="C31" s="1112">
        <v>0</v>
      </c>
      <c r="D31" s="1112">
        <v>0</v>
      </c>
      <c r="E31" s="1112">
        <v>50</v>
      </c>
      <c r="F31" s="1787">
        <v>2352</v>
      </c>
      <c r="G31" s="1112">
        <v>50</v>
      </c>
      <c r="H31" s="1112">
        <f t="shared" si="1"/>
        <v>72</v>
      </c>
      <c r="I31" s="1117"/>
    </row>
    <row r="32" spans="1:9" x14ac:dyDescent="0.2">
      <c r="A32" s="1113" t="s">
        <v>1647</v>
      </c>
      <c r="B32" s="1113" t="s">
        <v>1637</v>
      </c>
      <c r="C32" s="1112">
        <v>0</v>
      </c>
      <c r="D32" s="1112">
        <v>0</v>
      </c>
      <c r="E32" s="1112">
        <v>20</v>
      </c>
      <c r="F32" s="1785">
        <v>2322</v>
      </c>
      <c r="G32" s="1112">
        <v>20</v>
      </c>
      <c r="H32" s="1112">
        <f t="shared" si="1"/>
        <v>29</v>
      </c>
      <c r="I32" s="1117"/>
    </row>
    <row r="33" spans="1:9" x14ac:dyDescent="0.2">
      <c r="A33" s="1115"/>
      <c r="B33" s="1115"/>
      <c r="C33" s="1116"/>
      <c r="D33" s="1116"/>
      <c r="E33" s="1116"/>
      <c r="F33" s="1786"/>
      <c r="G33" s="1116"/>
      <c r="H33" s="1112"/>
      <c r="I33" s="1117"/>
    </row>
    <row r="34" spans="1:9" x14ac:dyDescent="0.2">
      <c r="A34" s="1111">
        <v>3</v>
      </c>
      <c r="B34" s="1111" t="s">
        <v>1854</v>
      </c>
      <c r="C34" s="1120"/>
      <c r="D34" s="1120"/>
      <c r="E34" s="1120"/>
      <c r="F34" s="1788"/>
      <c r="G34" s="1120"/>
      <c r="H34" s="1112"/>
      <c r="I34" s="1108" t="s">
        <v>1853</v>
      </c>
    </row>
    <row r="35" spans="1:9" ht="24" x14ac:dyDescent="0.2">
      <c r="A35" s="1113" t="s">
        <v>222</v>
      </c>
      <c r="B35" s="1113" t="s">
        <v>1865</v>
      </c>
      <c r="C35" s="1112">
        <v>135</v>
      </c>
      <c r="D35" s="1121">
        <v>135</v>
      </c>
      <c r="E35" s="1112">
        <v>720</v>
      </c>
      <c r="F35" s="1789">
        <v>1150</v>
      </c>
      <c r="G35" s="1112">
        <v>720</v>
      </c>
      <c r="H35" s="1112">
        <f t="shared" ref="H35:H38" si="2">ROUNDUP(G35/0.702804,0)</f>
        <v>1025</v>
      </c>
      <c r="I35" s="1123" t="s">
        <v>1864</v>
      </c>
    </row>
    <row r="36" spans="1:9" x14ac:dyDescent="0.2">
      <c r="A36" s="1113" t="s">
        <v>227</v>
      </c>
      <c r="B36" s="1113" t="s">
        <v>1648</v>
      </c>
      <c r="C36" s="1112">
        <v>150</v>
      </c>
      <c r="D36" s="1121">
        <v>150</v>
      </c>
      <c r="E36" s="1112">
        <v>200</v>
      </c>
      <c r="F36" s="1789">
        <v>1150</v>
      </c>
      <c r="G36" s="1112">
        <v>200</v>
      </c>
      <c r="H36" s="1112">
        <f t="shared" si="2"/>
        <v>285</v>
      </c>
      <c r="I36" s="1108"/>
    </row>
    <row r="37" spans="1:9" x14ac:dyDescent="0.2">
      <c r="A37" s="1113" t="s">
        <v>581</v>
      </c>
      <c r="B37" s="1113" t="s">
        <v>1649</v>
      </c>
      <c r="C37" s="1112">
        <v>25</v>
      </c>
      <c r="D37" s="1121">
        <v>24</v>
      </c>
      <c r="E37" s="1112">
        <v>60</v>
      </c>
      <c r="F37" s="1789">
        <v>2390</v>
      </c>
      <c r="G37" s="1112">
        <v>60</v>
      </c>
      <c r="H37" s="1112">
        <f t="shared" si="2"/>
        <v>86</v>
      </c>
      <c r="I37" s="1108"/>
    </row>
    <row r="38" spans="1:9" x14ac:dyDescent="0.2">
      <c r="A38" s="1113" t="s">
        <v>584</v>
      </c>
      <c r="B38" s="1113" t="s">
        <v>1863</v>
      </c>
      <c r="C38" s="1112">
        <v>0</v>
      </c>
      <c r="D38" s="1112">
        <v>0</v>
      </c>
      <c r="E38" s="1112">
        <v>20</v>
      </c>
      <c r="F38" s="1785">
        <v>2322</v>
      </c>
      <c r="G38" s="1112">
        <v>20</v>
      </c>
      <c r="H38" s="1112">
        <f t="shared" si="2"/>
        <v>29</v>
      </c>
      <c r="I38" s="1108"/>
    </row>
    <row r="39" spans="1:9" x14ac:dyDescent="0.2">
      <c r="A39" s="1108"/>
      <c r="B39" s="1108"/>
      <c r="C39" s="1120"/>
      <c r="D39" s="1121"/>
      <c r="E39" s="1120"/>
      <c r="F39" s="1789"/>
      <c r="G39" s="1120"/>
      <c r="H39" s="1112"/>
      <c r="I39" s="1108"/>
    </row>
    <row r="40" spans="1:9" ht="24" x14ac:dyDescent="0.2">
      <c r="A40" s="1111">
        <v>4</v>
      </c>
      <c r="B40" s="1111" t="s">
        <v>1856</v>
      </c>
      <c r="C40" s="1120"/>
      <c r="D40" s="1121"/>
      <c r="E40" s="1120"/>
      <c r="F40" s="1789"/>
      <c r="G40" s="1120"/>
      <c r="H40" s="1112"/>
      <c r="I40" s="1108" t="s">
        <v>1855</v>
      </c>
    </row>
    <row r="41" spans="1:9" x14ac:dyDescent="0.2">
      <c r="A41" s="1113" t="s">
        <v>231</v>
      </c>
      <c r="B41" s="1113" t="s">
        <v>1650</v>
      </c>
      <c r="C41" s="1112">
        <v>400</v>
      </c>
      <c r="D41" s="1121">
        <v>400</v>
      </c>
      <c r="E41" s="1112">
        <v>500</v>
      </c>
      <c r="F41" s="1789">
        <v>1150</v>
      </c>
      <c r="G41" s="1112">
        <v>500</v>
      </c>
      <c r="H41" s="1112">
        <f t="shared" ref="H41:H49" si="3">ROUNDUP(G41/0.702804,0)</f>
        <v>712</v>
      </c>
      <c r="I41" s="1122"/>
    </row>
    <row r="42" spans="1:9" x14ac:dyDescent="0.2">
      <c r="A42" s="1113" t="s">
        <v>234</v>
      </c>
      <c r="B42" s="1113" t="s">
        <v>1626</v>
      </c>
      <c r="C42" s="1112">
        <v>100</v>
      </c>
      <c r="D42" s="1121">
        <v>100</v>
      </c>
      <c r="E42" s="1112">
        <v>100</v>
      </c>
      <c r="F42" s="1789">
        <v>2264</v>
      </c>
      <c r="G42" s="1112">
        <v>100</v>
      </c>
      <c r="H42" s="1112">
        <f t="shared" si="3"/>
        <v>143</v>
      </c>
      <c r="I42" s="1123"/>
    </row>
    <row r="43" spans="1:9" x14ac:dyDescent="0.2">
      <c r="A43" s="1113" t="s">
        <v>1651</v>
      </c>
      <c r="B43" s="1113" t="s">
        <v>1652</v>
      </c>
      <c r="C43" s="1112">
        <v>100</v>
      </c>
      <c r="D43" s="1121">
        <v>99</v>
      </c>
      <c r="E43" s="1112">
        <v>100</v>
      </c>
      <c r="F43" s="1789">
        <v>2390</v>
      </c>
      <c r="G43" s="1112">
        <v>100</v>
      </c>
      <c r="H43" s="1112">
        <f t="shared" si="3"/>
        <v>143</v>
      </c>
      <c r="I43" s="1108"/>
    </row>
    <row r="44" spans="1:9" x14ac:dyDescent="0.2">
      <c r="A44" s="1113" t="s">
        <v>1653</v>
      </c>
      <c r="B44" s="1113" t="s">
        <v>1654</v>
      </c>
      <c r="C44" s="1112">
        <v>30</v>
      </c>
      <c r="D44" s="1121">
        <v>30</v>
      </c>
      <c r="E44" s="1112">
        <v>30</v>
      </c>
      <c r="F44" s="1789">
        <v>2279</v>
      </c>
      <c r="G44" s="1112">
        <v>30</v>
      </c>
      <c r="H44" s="1112">
        <f t="shared" si="3"/>
        <v>43</v>
      </c>
      <c r="I44" s="1108"/>
    </row>
    <row r="45" spans="1:9" x14ac:dyDescent="0.2">
      <c r="A45" s="1113" t="s">
        <v>1655</v>
      </c>
      <c r="B45" s="1113" t="s">
        <v>1656</v>
      </c>
      <c r="C45" s="1112">
        <v>60</v>
      </c>
      <c r="D45" s="1121">
        <v>60</v>
      </c>
      <c r="E45" s="1112">
        <v>100</v>
      </c>
      <c r="F45" s="1789">
        <v>1150</v>
      </c>
      <c r="G45" s="1112">
        <v>100</v>
      </c>
      <c r="H45" s="1112">
        <f t="shared" si="3"/>
        <v>143</v>
      </c>
      <c r="I45" s="1108"/>
    </row>
    <row r="46" spans="1:9" x14ac:dyDescent="0.2">
      <c r="A46" s="1113" t="s">
        <v>1657</v>
      </c>
      <c r="B46" s="1113" t="s">
        <v>1658</v>
      </c>
      <c r="C46" s="1112">
        <v>60</v>
      </c>
      <c r="D46" s="1121">
        <v>60</v>
      </c>
      <c r="E46" s="1112">
        <v>100</v>
      </c>
      <c r="F46" s="1789">
        <v>1150</v>
      </c>
      <c r="G46" s="1112">
        <v>100</v>
      </c>
      <c r="H46" s="1112">
        <f t="shared" si="3"/>
        <v>143</v>
      </c>
      <c r="I46" s="1108"/>
    </row>
    <row r="47" spans="1:9" x14ac:dyDescent="0.2">
      <c r="A47" s="1113" t="s">
        <v>1659</v>
      </c>
      <c r="B47" s="1113" t="s">
        <v>1840</v>
      </c>
      <c r="C47" s="1112">
        <v>80</v>
      </c>
      <c r="D47" s="1121">
        <v>59</v>
      </c>
      <c r="E47" s="1112">
        <v>130</v>
      </c>
      <c r="F47" s="1789">
        <v>2390</v>
      </c>
      <c r="G47" s="1112">
        <v>130</v>
      </c>
      <c r="H47" s="1112">
        <f t="shared" si="3"/>
        <v>185</v>
      </c>
      <c r="I47" s="1108"/>
    </row>
    <row r="48" spans="1:9" x14ac:dyDescent="0.2">
      <c r="A48" s="1113" t="s">
        <v>1660</v>
      </c>
      <c r="B48" s="1113" t="s">
        <v>1635</v>
      </c>
      <c r="C48" s="1112">
        <v>50</v>
      </c>
      <c r="D48" s="1121">
        <v>43</v>
      </c>
      <c r="E48" s="1112">
        <v>50</v>
      </c>
      <c r="F48" s="1789">
        <v>2352</v>
      </c>
      <c r="G48" s="1112">
        <v>50</v>
      </c>
      <c r="H48" s="1112">
        <f t="shared" si="3"/>
        <v>72</v>
      </c>
      <c r="I48" s="1108"/>
    </row>
    <row r="49" spans="1:22" x14ac:dyDescent="0.2">
      <c r="A49" s="1123" t="s">
        <v>1661</v>
      </c>
      <c r="B49" s="1113" t="s">
        <v>1637</v>
      </c>
      <c r="C49" s="1112">
        <v>0</v>
      </c>
      <c r="D49" s="1112">
        <v>0</v>
      </c>
      <c r="E49" s="1112">
        <v>20</v>
      </c>
      <c r="F49" s="1785">
        <v>2322</v>
      </c>
      <c r="G49" s="1112">
        <v>20</v>
      </c>
      <c r="H49" s="1112">
        <f t="shared" si="3"/>
        <v>29</v>
      </c>
      <c r="I49" s="1108"/>
    </row>
    <row r="50" spans="1:22" x14ac:dyDescent="0.2">
      <c r="A50" s="1123"/>
      <c r="B50" s="1113"/>
      <c r="C50" s="1112"/>
      <c r="D50" s="1112"/>
      <c r="E50" s="1112"/>
      <c r="F50" s="1785"/>
      <c r="G50" s="1112"/>
      <c r="H50" s="1112"/>
      <c r="I50" s="1108"/>
    </row>
    <row r="51" spans="1:22" x14ac:dyDescent="0.2">
      <c r="A51" s="1111">
        <v>5</v>
      </c>
      <c r="B51" s="1111" t="s">
        <v>1662</v>
      </c>
      <c r="C51" s="1120"/>
      <c r="D51" s="1121"/>
      <c r="E51" s="1120"/>
      <c r="F51" s="1789"/>
      <c r="G51" s="1120"/>
      <c r="H51" s="1112"/>
      <c r="I51" s="1108"/>
    </row>
    <row r="52" spans="1:22" x14ac:dyDescent="0.2">
      <c r="A52" s="1113" t="s">
        <v>237</v>
      </c>
      <c r="B52" s="1113" t="s">
        <v>1663</v>
      </c>
      <c r="C52" s="1112">
        <v>100</v>
      </c>
      <c r="D52" s="1121">
        <v>100</v>
      </c>
      <c r="E52" s="1112"/>
      <c r="F52" s="1789">
        <v>1150</v>
      </c>
      <c r="G52" s="1112"/>
      <c r="H52" s="1112">
        <f t="shared" ref="H52:H54" si="4">ROUNDUP(G52/0.702804,0)</f>
        <v>0</v>
      </c>
      <c r="I52" s="1124"/>
    </row>
    <row r="53" spans="1:22" x14ac:dyDescent="0.2">
      <c r="A53" s="1113" t="s">
        <v>240</v>
      </c>
      <c r="B53" s="1113" t="s">
        <v>1664</v>
      </c>
      <c r="C53" s="1112">
        <v>100</v>
      </c>
      <c r="D53" s="1121">
        <v>100</v>
      </c>
      <c r="E53" s="1112"/>
      <c r="F53" s="1789">
        <v>2390</v>
      </c>
      <c r="G53" s="1112"/>
      <c r="H53" s="1112">
        <f t="shared" si="4"/>
        <v>0</v>
      </c>
      <c r="I53" s="1108"/>
    </row>
    <row r="54" spans="1:22" x14ac:dyDescent="0.2">
      <c r="A54" s="1113" t="s">
        <v>242</v>
      </c>
      <c r="B54" s="1113" t="s">
        <v>1665</v>
      </c>
      <c r="C54" s="1112">
        <v>50</v>
      </c>
      <c r="D54" s="1121">
        <v>50</v>
      </c>
      <c r="E54" s="1112"/>
      <c r="F54" s="1789">
        <v>2352</v>
      </c>
      <c r="G54" s="1112"/>
      <c r="H54" s="1112">
        <f t="shared" si="4"/>
        <v>0</v>
      </c>
      <c r="I54" s="1108"/>
    </row>
    <row r="55" spans="1:22" x14ac:dyDescent="0.2">
      <c r="A55" s="1125"/>
      <c r="B55" s="1125"/>
      <c r="C55" s="1813"/>
      <c r="D55" s="1813"/>
      <c r="E55" s="1813"/>
      <c r="F55" s="1813"/>
      <c r="G55" s="1125"/>
      <c r="H55" s="1125"/>
      <c r="I55" s="1125"/>
    </row>
    <row r="56" spans="1:22" ht="15" x14ac:dyDescent="0.25">
      <c r="A56" s="1105" t="s">
        <v>1666</v>
      </c>
      <c r="B56" s="1126"/>
      <c r="C56" s="2445"/>
      <c r="D56" s="2445"/>
      <c r="E56" s="2445"/>
      <c r="F56" s="2445"/>
      <c r="G56" s="1106"/>
      <c r="H56" s="1106"/>
      <c r="I56" s="1106"/>
      <c r="J56" s="1106"/>
      <c r="K56" s="1106"/>
      <c r="L56" s="1106"/>
      <c r="M56" s="1106"/>
      <c r="N56" s="1106"/>
      <c r="O56" s="1107"/>
      <c r="P56" s="1106"/>
      <c r="Q56" s="1106"/>
      <c r="R56" s="1106"/>
      <c r="S56" s="1106"/>
      <c r="T56" s="1106"/>
      <c r="U56" s="1106"/>
      <c r="V56" s="1107"/>
    </row>
    <row r="57" spans="1:22" x14ac:dyDescent="0.2">
      <c r="A57" s="1105" t="s">
        <v>1667</v>
      </c>
      <c r="B57" s="1106"/>
      <c r="C57" s="1127"/>
      <c r="D57" s="1127"/>
      <c r="E57" s="1127"/>
      <c r="F57" s="1127"/>
      <c r="G57" s="1106"/>
      <c r="H57" s="1127"/>
      <c r="I57" s="1106"/>
      <c r="J57" s="1106"/>
      <c r="K57" s="1106"/>
      <c r="L57" s="1106"/>
      <c r="M57" s="1106"/>
      <c r="N57" s="1106"/>
      <c r="O57" s="1107"/>
      <c r="P57" s="1106"/>
      <c r="Q57" s="1106"/>
      <c r="R57" s="1106"/>
      <c r="S57" s="1106"/>
      <c r="T57" s="1106"/>
      <c r="U57" s="1106"/>
      <c r="V57" s="1107"/>
    </row>
    <row r="58" spans="1:22" ht="48" x14ac:dyDescent="0.2">
      <c r="A58" s="1108" t="s">
        <v>47</v>
      </c>
      <c r="B58" s="1108" t="s">
        <v>119</v>
      </c>
      <c r="C58" s="1108" t="s">
        <v>120</v>
      </c>
      <c r="D58" s="1108" t="s">
        <v>121</v>
      </c>
      <c r="E58" s="1108" t="s">
        <v>122</v>
      </c>
      <c r="F58" s="1108" t="s">
        <v>129</v>
      </c>
      <c r="G58" s="1108" t="s">
        <v>124</v>
      </c>
      <c r="H58" s="1108" t="s">
        <v>2165</v>
      </c>
      <c r="I58" s="1108" t="s">
        <v>126</v>
      </c>
    </row>
    <row r="59" spans="1:22" x14ac:dyDescent="0.2">
      <c r="A59" s="2448" t="s">
        <v>55</v>
      </c>
      <c r="B59" s="2449"/>
      <c r="C59" s="1109">
        <f>SUM(C60:C90)</f>
        <v>770</v>
      </c>
      <c r="D59" s="1109">
        <f>SUM(D60:D90)</f>
        <v>752</v>
      </c>
      <c r="E59" s="1109">
        <f>SUM(E60:E90)</f>
        <v>2500</v>
      </c>
      <c r="F59" s="1109"/>
      <c r="G59" s="1109">
        <f>SUM(G60:G90)</f>
        <v>2500</v>
      </c>
      <c r="H59" s="1109">
        <f>SUM(H60:H90)</f>
        <v>3565</v>
      </c>
      <c r="I59" s="1128"/>
    </row>
    <row r="60" spans="1:22" ht="48" x14ac:dyDescent="0.2">
      <c r="A60" s="1111">
        <v>1</v>
      </c>
      <c r="B60" s="1111" t="s">
        <v>1668</v>
      </c>
      <c r="C60" s="1112"/>
      <c r="D60" s="1112"/>
      <c r="E60" s="1112"/>
      <c r="F60" s="1112"/>
      <c r="G60" s="1112"/>
      <c r="H60" s="1112"/>
      <c r="I60" s="1111"/>
    </row>
    <row r="61" spans="1:22" x14ac:dyDescent="0.2">
      <c r="A61" s="1115" t="s">
        <v>199</v>
      </c>
      <c r="B61" s="1115" t="s">
        <v>1669</v>
      </c>
      <c r="C61" s="1118">
        <v>200</v>
      </c>
      <c r="D61" s="1112">
        <v>200</v>
      </c>
      <c r="E61" s="1112">
        <v>0</v>
      </c>
      <c r="F61" s="1785">
        <v>1150</v>
      </c>
      <c r="G61" s="1112">
        <v>0</v>
      </c>
      <c r="H61" s="1112">
        <f t="shared" ref="H61:H90" si="5">ROUNDUP(G61/0.702804,0)</f>
        <v>0</v>
      </c>
      <c r="I61" s="1111"/>
    </row>
    <row r="62" spans="1:22" x14ac:dyDescent="0.2">
      <c r="A62" s="1115" t="s">
        <v>206</v>
      </c>
      <c r="B62" s="1115" t="s">
        <v>1670</v>
      </c>
      <c r="C62" s="1118">
        <v>35</v>
      </c>
      <c r="D62" s="1112">
        <v>35</v>
      </c>
      <c r="E62" s="1112">
        <v>0</v>
      </c>
      <c r="F62" s="1785">
        <v>2390</v>
      </c>
      <c r="G62" s="1112">
        <v>0</v>
      </c>
      <c r="H62" s="1112">
        <f t="shared" si="5"/>
        <v>0</v>
      </c>
      <c r="I62" s="1113"/>
    </row>
    <row r="63" spans="1:22" x14ac:dyDescent="0.2">
      <c r="A63" s="1113"/>
      <c r="B63" s="1113"/>
      <c r="C63" s="1112"/>
      <c r="D63" s="1112"/>
      <c r="E63" s="1112"/>
      <c r="F63" s="1785"/>
      <c r="G63" s="1112"/>
      <c r="H63" s="1112"/>
      <c r="I63" s="1113"/>
    </row>
    <row r="64" spans="1:22" x14ac:dyDescent="0.2">
      <c r="A64" s="1129">
        <v>2</v>
      </c>
      <c r="B64" s="1129" t="s">
        <v>1858</v>
      </c>
      <c r="C64" s="1112"/>
      <c r="D64" s="1112"/>
      <c r="E64" s="1112"/>
      <c r="F64" s="1785"/>
      <c r="G64" s="1112"/>
      <c r="H64" s="1112"/>
      <c r="I64" s="1164" t="s">
        <v>1857</v>
      </c>
    </row>
    <row r="65" spans="1:9" x14ac:dyDescent="0.2">
      <c r="A65" s="1115" t="s">
        <v>211</v>
      </c>
      <c r="B65" s="1115" t="s">
        <v>1672</v>
      </c>
      <c r="C65" s="1118">
        <v>0</v>
      </c>
      <c r="D65" s="1130">
        <v>0</v>
      </c>
      <c r="E65" s="1112">
        <v>70</v>
      </c>
      <c r="F65" s="1790">
        <v>2269</v>
      </c>
      <c r="G65" s="1112">
        <v>70</v>
      </c>
      <c r="H65" s="1112">
        <f t="shared" si="5"/>
        <v>100</v>
      </c>
      <c r="I65" s="1113"/>
    </row>
    <row r="66" spans="1:9" x14ac:dyDescent="0.2">
      <c r="A66" s="1115" t="s">
        <v>216</v>
      </c>
      <c r="B66" s="1115" t="s">
        <v>1673</v>
      </c>
      <c r="C66" s="1118">
        <v>75</v>
      </c>
      <c r="D66" s="1118">
        <v>75</v>
      </c>
      <c r="E66" s="1118">
        <v>70</v>
      </c>
      <c r="F66" s="1787">
        <v>2264</v>
      </c>
      <c r="G66" s="1118">
        <v>70</v>
      </c>
      <c r="H66" s="1112">
        <f t="shared" si="5"/>
        <v>100</v>
      </c>
      <c r="I66" s="1117"/>
    </row>
    <row r="67" spans="1:9" x14ac:dyDescent="0.2">
      <c r="A67" s="1115" t="s">
        <v>219</v>
      </c>
      <c r="B67" s="1115" t="s">
        <v>1674</v>
      </c>
      <c r="C67" s="1118">
        <v>275</v>
      </c>
      <c r="D67" s="1118">
        <v>275</v>
      </c>
      <c r="E67" s="1118">
        <v>270</v>
      </c>
      <c r="F67" s="1787">
        <v>1150</v>
      </c>
      <c r="G67" s="1118">
        <v>270</v>
      </c>
      <c r="H67" s="1112">
        <f t="shared" si="5"/>
        <v>385</v>
      </c>
      <c r="I67" s="1117"/>
    </row>
    <row r="68" spans="1:9" x14ac:dyDescent="0.2">
      <c r="A68" s="1115" t="s">
        <v>1640</v>
      </c>
      <c r="B68" s="1115" t="s">
        <v>1671</v>
      </c>
      <c r="C68" s="1118">
        <v>65</v>
      </c>
      <c r="D68" s="1118">
        <v>65</v>
      </c>
      <c r="E68" s="1118">
        <v>60</v>
      </c>
      <c r="F68" s="1787">
        <v>2390</v>
      </c>
      <c r="G68" s="1118">
        <v>60</v>
      </c>
      <c r="H68" s="1112">
        <f t="shared" si="5"/>
        <v>86</v>
      </c>
      <c r="I68" s="1117"/>
    </row>
    <row r="69" spans="1:9" x14ac:dyDescent="0.2">
      <c r="A69" s="1115" t="s">
        <v>1642</v>
      </c>
      <c r="B69" s="1115" t="s">
        <v>1675</v>
      </c>
      <c r="C69" s="1118">
        <v>40</v>
      </c>
      <c r="D69" s="1118">
        <v>22</v>
      </c>
      <c r="E69" s="1118">
        <v>30</v>
      </c>
      <c r="F69" s="1787">
        <v>2390</v>
      </c>
      <c r="G69" s="1118">
        <v>30</v>
      </c>
      <c r="H69" s="1112">
        <f t="shared" si="5"/>
        <v>43</v>
      </c>
      <c r="I69" s="1117"/>
    </row>
    <row r="70" spans="1:9" x14ac:dyDescent="0.2">
      <c r="A70" s="1115"/>
      <c r="B70" s="1115"/>
      <c r="C70" s="1116"/>
      <c r="D70" s="1116"/>
      <c r="E70" s="1118"/>
      <c r="F70" s="1786"/>
      <c r="G70" s="1118"/>
      <c r="H70" s="1112"/>
      <c r="I70" s="1117"/>
    </row>
    <row r="71" spans="1:9" x14ac:dyDescent="0.2">
      <c r="A71" s="1129">
        <v>3</v>
      </c>
      <c r="B71" s="1111" t="s">
        <v>1860</v>
      </c>
      <c r="C71" s="1116"/>
      <c r="D71" s="1116"/>
      <c r="E71" s="1118"/>
      <c r="F71" s="1786"/>
      <c r="G71" s="1118"/>
      <c r="H71" s="1112"/>
      <c r="I71" s="1165" t="s">
        <v>1859</v>
      </c>
    </row>
    <row r="72" spans="1:9" x14ac:dyDescent="0.2">
      <c r="A72" s="1115" t="s">
        <v>222</v>
      </c>
      <c r="B72" s="1113" t="s">
        <v>1676</v>
      </c>
      <c r="C72" s="1118">
        <v>60</v>
      </c>
      <c r="D72" s="1118">
        <v>60</v>
      </c>
      <c r="E72" s="1118">
        <v>0</v>
      </c>
      <c r="F72" s="1787">
        <v>1150</v>
      </c>
      <c r="G72" s="1118">
        <v>0</v>
      </c>
      <c r="H72" s="1112">
        <f t="shared" si="5"/>
        <v>0</v>
      </c>
      <c r="I72" s="1131"/>
    </row>
    <row r="73" spans="1:9" x14ac:dyDescent="0.2">
      <c r="A73" s="1115" t="s">
        <v>227</v>
      </c>
      <c r="B73" s="1115" t="s">
        <v>1677</v>
      </c>
      <c r="C73" s="1121">
        <v>20</v>
      </c>
      <c r="D73" s="1121">
        <v>20</v>
      </c>
      <c r="E73" s="1121">
        <v>0</v>
      </c>
      <c r="F73" s="1789">
        <v>2390</v>
      </c>
      <c r="G73" s="1121">
        <v>0</v>
      </c>
      <c r="H73" s="1112">
        <f t="shared" si="5"/>
        <v>0</v>
      </c>
      <c r="I73" s="1108"/>
    </row>
    <row r="74" spans="1:9" x14ac:dyDescent="0.2">
      <c r="A74" s="1115"/>
      <c r="B74" s="1115"/>
      <c r="C74" s="1121"/>
      <c r="D74" s="1121"/>
      <c r="E74" s="1121"/>
      <c r="F74" s="1789"/>
      <c r="G74" s="1121"/>
      <c r="H74" s="1112"/>
      <c r="I74" s="1108"/>
    </row>
    <row r="75" spans="1:9" ht="24" x14ac:dyDescent="0.2">
      <c r="A75" s="1132">
        <v>4</v>
      </c>
      <c r="B75" s="1111" t="s">
        <v>1862</v>
      </c>
      <c r="C75" s="1121"/>
      <c r="D75" s="1121"/>
      <c r="E75" s="1121"/>
      <c r="F75" s="1789"/>
      <c r="G75" s="1121"/>
      <c r="H75" s="1112"/>
      <c r="I75" s="1167" t="s">
        <v>1861</v>
      </c>
    </row>
    <row r="76" spans="1:9" x14ac:dyDescent="0.2">
      <c r="A76" s="1115" t="s">
        <v>231</v>
      </c>
      <c r="B76" s="1115" t="s">
        <v>1678</v>
      </c>
      <c r="C76" s="1121">
        <v>0</v>
      </c>
      <c r="D76" s="1121">
        <v>0</v>
      </c>
      <c r="E76" s="1121">
        <v>250</v>
      </c>
      <c r="F76" s="1789">
        <v>1150</v>
      </c>
      <c r="G76" s="1121">
        <v>250</v>
      </c>
      <c r="H76" s="1112">
        <f t="shared" si="5"/>
        <v>356</v>
      </c>
      <c r="I76" s="1166"/>
    </row>
    <row r="77" spans="1:9" x14ac:dyDescent="0.2">
      <c r="A77" s="1115" t="s">
        <v>234</v>
      </c>
      <c r="B77" s="1115" t="s">
        <v>1679</v>
      </c>
      <c r="C77" s="1121">
        <v>0</v>
      </c>
      <c r="D77" s="1121">
        <v>0</v>
      </c>
      <c r="E77" s="1121">
        <v>150</v>
      </c>
      <c r="F77" s="1789">
        <v>2390</v>
      </c>
      <c r="G77" s="1121">
        <v>150</v>
      </c>
      <c r="H77" s="1112">
        <f t="shared" si="5"/>
        <v>214</v>
      </c>
      <c r="I77" s="1166"/>
    </row>
    <row r="78" spans="1:9" x14ac:dyDescent="0.2">
      <c r="A78" s="1115" t="s">
        <v>1651</v>
      </c>
      <c r="B78" s="1115" t="s">
        <v>1875</v>
      </c>
      <c r="C78" s="1121">
        <v>0</v>
      </c>
      <c r="D78" s="1121">
        <v>0</v>
      </c>
      <c r="E78" s="1121">
        <v>600</v>
      </c>
      <c r="F78" s="1789">
        <v>2231</v>
      </c>
      <c r="G78" s="1121">
        <v>600</v>
      </c>
      <c r="H78" s="1112">
        <f t="shared" si="5"/>
        <v>854</v>
      </c>
      <c r="I78" s="1167" t="s">
        <v>1866</v>
      </c>
    </row>
    <row r="79" spans="1:9" x14ac:dyDescent="0.2">
      <c r="A79" s="1115" t="s">
        <v>1653</v>
      </c>
      <c r="B79" s="1115" t="s">
        <v>1680</v>
      </c>
      <c r="C79" s="1121">
        <v>0</v>
      </c>
      <c r="D79" s="1121">
        <v>0</v>
      </c>
      <c r="E79" s="1121">
        <v>100</v>
      </c>
      <c r="F79" s="1789">
        <v>2279</v>
      </c>
      <c r="G79" s="1121">
        <v>100</v>
      </c>
      <c r="H79" s="1112">
        <f t="shared" si="5"/>
        <v>143</v>
      </c>
      <c r="I79" s="1167"/>
    </row>
    <row r="80" spans="1:9" x14ac:dyDescent="0.2">
      <c r="A80" s="1115" t="s">
        <v>1655</v>
      </c>
      <c r="B80" s="1115" t="s">
        <v>1868</v>
      </c>
      <c r="C80" s="1121">
        <v>0</v>
      </c>
      <c r="D80" s="1121">
        <v>0</v>
      </c>
      <c r="E80" s="1121">
        <v>100</v>
      </c>
      <c r="F80" s="1789">
        <v>2390</v>
      </c>
      <c r="G80" s="1121">
        <v>100</v>
      </c>
      <c r="H80" s="1112">
        <f t="shared" si="5"/>
        <v>143</v>
      </c>
      <c r="I80" s="1167" t="s">
        <v>1867</v>
      </c>
    </row>
    <row r="81" spans="1:22" x14ac:dyDescent="0.2">
      <c r="A81" s="1115"/>
      <c r="B81" s="1115"/>
      <c r="C81" s="1121"/>
      <c r="D81" s="1121"/>
      <c r="E81" s="1121"/>
      <c r="F81" s="1789"/>
      <c r="G81" s="1121"/>
      <c r="H81" s="1112"/>
      <c r="I81" s="1166"/>
    </row>
    <row r="82" spans="1:22" x14ac:dyDescent="0.2">
      <c r="A82" s="1132">
        <v>5</v>
      </c>
      <c r="B82" s="1129" t="s">
        <v>1870</v>
      </c>
      <c r="C82" s="1121"/>
      <c r="D82" s="1121"/>
      <c r="E82" s="1121"/>
      <c r="F82" s="1789"/>
      <c r="G82" s="1121"/>
      <c r="H82" s="1112"/>
      <c r="I82" s="1167" t="s">
        <v>1869</v>
      </c>
    </row>
    <row r="83" spans="1:22" x14ac:dyDescent="0.2">
      <c r="A83" s="1115" t="s">
        <v>237</v>
      </c>
      <c r="B83" s="1115" t="s">
        <v>1681</v>
      </c>
      <c r="C83" s="1121">
        <v>0</v>
      </c>
      <c r="D83" s="1121">
        <v>0</v>
      </c>
      <c r="E83" s="1121">
        <v>50</v>
      </c>
      <c r="F83" s="1789">
        <v>2390</v>
      </c>
      <c r="G83" s="1121">
        <v>50</v>
      </c>
      <c r="H83" s="1112">
        <f t="shared" si="5"/>
        <v>72</v>
      </c>
      <c r="I83" s="1166"/>
    </row>
    <row r="84" spans="1:22" x14ac:dyDescent="0.2">
      <c r="A84" s="1115"/>
      <c r="B84" s="1115"/>
      <c r="C84" s="1121"/>
      <c r="D84" s="1121"/>
      <c r="E84" s="1121"/>
      <c r="F84" s="1789"/>
      <c r="G84" s="1121"/>
      <c r="H84" s="1112"/>
      <c r="I84" s="1166"/>
    </row>
    <row r="85" spans="1:22" ht="24" x14ac:dyDescent="0.2">
      <c r="A85" s="1132">
        <v>6</v>
      </c>
      <c r="B85" s="1111" t="s">
        <v>1872</v>
      </c>
      <c r="C85" s="1121"/>
      <c r="D85" s="1121"/>
      <c r="E85" s="1121"/>
      <c r="F85" s="1789"/>
      <c r="G85" s="1121"/>
      <c r="H85" s="1112"/>
      <c r="I85" s="1167" t="s">
        <v>1871</v>
      </c>
    </row>
    <row r="86" spans="1:22" x14ac:dyDescent="0.2">
      <c r="A86" s="1117" t="s">
        <v>247</v>
      </c>
      <c r="B86" s="1115" t="s">
        <v>1682</v>
      </c>
      <c r="C86" s="1121">
        <v>0</v>
      </c>
      <c r="D86" s="1121">
        <v>0</v>
      </c>
      <c r="E86" s="1121">
        <v>300</v>
      </c>
      <c r="F86" s="1789">
        <v>2279</v>
      </c>
      <c r="G86" s="1121">
        <v>300</v>
      </c>
      <c r="H86" s="1112">
        <f t="shared" si="5"/>
        <v>427</v>
      </c>
      <c r="I86" s="1166"/>
    </row>
    <row r="87" spans="1:22" x14ac:dyDescent="0.2">
      <c r="A87" s="1115" t="s">
        <v>249</v>
      </c>
      <c r="B87" s="1115" t="s">
        <v>1669</v>
      </c>
      <c r="C87" s="1121">
        <v>0</v>
      </c>
      <c r="D87" s="1121">
        <v>0</v>
      </c>
      <c r="E87" s="1121">
        <v>200</v>
      </c>
      <c r="F87" s="1789">
        <v>1150</v>
      </c>
      <c r="G87" s="1121">
        <v>200</v>
      </c>
      <c r="H87" s="1112">
        <f t="shared" si="5"/>
        <v>285</v>
      </c>
      <c r="I87" s="1166"/>
    </row>
    <row r="88" spans="1:22" x14ac:dyDescent="0.2">
      <c r="A88" s="1115" t="s">
        <v>251</v>
      </c>
      <c r="B88" s="1115" t="s">
        <v>1683</v>
      </c>
      <c r="C88" s="1121">
        <v>0</v>
      </c>
      <c r="D88" s="1121">
        <v>0</v>
      </c>
      <c r="E88" s="1121">
        <v>75</v>
      </c>
      <c r="F88" s="1789">
        <v>2390</v>
      </c>
      <c r="G88" s="1121">
        <v>75</v>
      </c>
      <c r="H88" s="1112">
        <f t="shared" si="5"/>
        <v>107</v>
      </c>
      <c r="I88" s="1166"/>
    </row>
    <row r="89" spans="1:22" x14ac:dyDescent="0.2">
      <c r="A89" s="1115" t="s">
        <v>253</v>
      </c>
      <c r="B89" s="1115" t="s">
        <v>1672</v>
      </c>
      <c r="C89" s="1121">
        <v>0</v>
      </c>
      <c r="D89" s="1121">
        <v>0</v>
      </c>
      <c r="E89" s="1121">
        <v>75</v>
      </c>
      <c r="F89" s="1789">
        <v>2269</v>
      </c>
      <c r="G89" s="1121">
        <v>75</v>
      </c>
      <c r="H89" s="1112">
        <f t="shared" si="5"/>
        <v>107</v>
      </c>
      <c r="I89" s="1166"/>
    </row>
    <row r="90" spans="1:22" x14ac:dyDescent="0.2">
      <c r="A90" s="1115" t="s">
        <v>1063</v>
      </c>
      <c r="B90" s="1115" t="s">
        <v>1684</v>
      </c>
      <c r="C90" s="1121">
        <v>0</v>
      </c>
      <c r="D90" s="1121">
        <v>0</v>
      </c>
      <c r="E90" s="1121">
        <v>100</v>
      </c>
      <c r="F90" s="1789">
        <v>1150</v>
      </c>
      <c r="G90" s="1121">
        <v>100</v>
      </c>
      <c r="H90" s="1112">
        <f t="shared" si="5"/>
        <v>143</v>
      </c>
      <c r="I90" s="1166"/>
    </row>
    <row r="91" spans="1:22" x14ac:dyDescent="0.2">
      <c r="A91" s="1125"/>
      <c r="B91" s="1125"/>
      <c r="C91" s="1813"/>
      <c r="D91" s="1813"/>
      <c r="E91" s="1813"/>
      <c r="F91" s="1813"/>
      <c r="G91" s="1814"/>
      <c r="H91" s="1814"/>
      <c r="I91" s="1125"/>
    </row>
    <row r="92" spans="1:22" ht="12.75" x14ac:dyDescent="0.2">
      <c r="A92" s="1105" t="s">
        <v>1688</v>
      </c>
      <c r="B92" s="1106"/>
      <c r="C92" s="2445"/>
      <c r="D92" s="2445"/>
      <c r="E92" s="2445"/>
      <c r="F92" s="2445"/>
      <c r="G92" s="1106"/>
      <c r="H92" s="1106"/>
      <c r="I92" s="1106"/>
      <c r="J92" s="1106"/>
      <c r="K92" s="1106"/>
      <c r="L92" s="1106"/>
      <c r="M92" s="1106"/>
      <c r="N92" s="1106"/>
      <c r="O92" s="1107"/>
      <c r="P92" s="1106"/>
      <c r="Q92" s="1106"/>
      <c r="R92" s="1106"/>
      <c r="S92" s="1106"/>
      <c r="T92" s="1106"/>
      <c r="U92" s="1106"/>
      <c r="V92" s="1107"/>
    </row>
    <row r="93" spans="1:22" x14ac:dyDescent="0.2">
      <c r="A93" s="1105" t="s">
        <v>1667</v>
      </c>
      <c r="B93" s="1106"/>
      <c r="C93" s="1127"/>
      <c r="D93" s="1127"/>
      <c r="E93" s="1127"/>
      <c r="F93" s="1127"/>
      <c r="G93" s="1106"/>
      <c r="H93" s="1127"/>
      <c r="I93" s="1106"/>
      <c r="J93" s="1106"/>
      <c r="K93" s="1106"/>
      <c r="L93" s="1106"/>
      <c r="M93" s="1106"/>
      <c r="N93" s="1106"/>
      <c r="O93" s="1107"/>
      <c r="P93" s="1106"/>
      <c r="Q93" s="1106"/>
      <c r="R93" s="1106"/>
      <c r="S93" s="1106"/>
      <c r="T93" s="1106"/>
      <c r="U93" s="1106"/>
      <c r="V93" s="1107"/>
    </row>
    <row r="94" spans="1:22" ht="48" x14ac:dyDescent="0.2">
      <c r="A94" s="1108" t="s">
        <v>47</v>
      </c>
      <c r="B94" s="1108" t="s">
        <v>119</v>
      </c>
      <c r="C94" s="1108" t="s">
        <v>120</v>
      </c>
      <c r="D94" s="1108" t="s">
        <v>121</v>
      </c>
      <c r="E94" s="1108" t="s">
        <v>122</v>
      </c>
      <c r="F94" s="1108" t="s">
        <v>129</v>
      </c>
      <c r="G94" s="1108" t="s">
        <v>124</v>
      </c>
      <c r="H94" s="1108" t="s">
        <v>2165</v>
      </c>
      <c r="I94" s="1108" t="s">
        <v>126</v>
      </c>
    </row>
    <row r="95" spans="1:22" x14ac:dyDescent="0.2">
      <c r="A95" s="2448" t="s">
        <v>55</v>
      </c>
      <c r="B95" s="2449"/>
      <c r="C95" s="1109">
        <f>SUM(C96:C180)</f>
        <v>9579</v>
      </c>
      <c r="D95" s="1109">
        <f>SUM(D96:D180)</f>
        <v>9206</v>
      </c>
      <c r="E95" s="1109">
        <f>SUM(E96:E180)</f>
        <v>9185</v>
      </c>
      <c r="F95" s="1109"/>
      <c r="G95" s="1109">
        <f>SUM(G96:G180)</f>
        <v>9185</v>
      </c>
      <c r="H95" s="1109">
        <f>SUM(H96:H180)</f>
        <v>13090</v>
      </c>
      <c r="I95" s="1128"/>
    </row>
    <row r="96" spans="1:22" x14ac:dyDescent="0.2">
      <c r="A96" s="1111">
        <v>1</v>
      </c>
      <c r="B96" s="1111" t="s">
        <v>1852</v>
      </c>
      <c r="C96" s="1112"/>
      <c r="D96" s="1112"/>
      <c r="E96" s="1112"/>
      <c r="F96" s="1112"/>
      <c r="G96" s="1112"/>
      <c r="H96" s="1112"/>
      <c r="I96" s="1113"/>
    </row>
    <row r="97" spans="1:9" x14ac:dyDescent="0.2">
      <c r="A97" s="1113" t="s">
        <v>199</v>
      </c>
      <c r="B97" s="1113" t="s">
        <v>1689</v>
      </c>
      <c r="C97" s="1112">
        <v>100</v>
      </c>
      <c r="D97" s="1112">
        <v>97</v>
      </c>
      <c r="E97" s="1112">
        <v>100</v>
      </c>
      <c r="F97" s="1785">
        <v>2262</v>
      </c>
      <c r="G97" s="1112">
        <v>100</v>
      </c>
      <c r="H97" s="1112">
        <f t="shared" ref="H97:H154" si="6">ROUNDUP(G97/0.702804,0)</f>
        <v>143</v>
      </c>
      <c r="I97" s="1111"/>
    </row>
    <row r="98" spans="1:9" x14ac:dyDescent="0.2">
      <c r="A98" s="1113" t="s">
        <v>206</v>
      </c>
      <c r="B98" s="1113" t="s">
        <v>1690</v>
      </c>
      <c r="C98" s="1112">
        <v>0</v>
      </c>
      <c r="D98" s="1112">
        <v>0</v>
      </c>
      <c r="E98" s="1112">
        <v>100</v>
      </c>
      <c r="F98" s="1785">
        <v>2279</v>
      </c>
      <c r="G98" s="1112">
        <v>100</v>
      </c>
      <c r="H98" s="1112">
        <f t="shared" si="6"/>
        <v>143</v>
      </c>
      <c r="I98" s="1113"/>
    </row>
    <row r="99" spans="1:9" x14ac:dyDescent="0.2">
      <c r="A99" s="1113" t="s">
        <v>570</v>
      </c>
      <c r="B99" s="1113" t="s">
        <v>1691</v>
      </c>
      <c r="C99" s="1112">
        <v>100</v>
      </c>
      <c r="D99" s="1112">
        <v>100</v>
      </c>
      <c r="E99" s="1112">
        <v>100</v>
      </c>
      <c r="F99" s="1785">
        <v>1150</v>
      </c>
      <c r="G99" s="1112">
        <v>100</v>
      </c>
      <c r="H99" s="1112">
        <f t="shared" si="6"/>
        <v>143</v>
      </c>
      <c r="I99" s="1113"/>
    </row>
    <row r="100" spans="1:9" x14ac:dyDescent="0.2">
      <c r="A100" s="1113" t="s">
        <v>1628</v>
      </c>
      <c r="B100" s="1113" t="s">
        <v>1874</v>
      </c>
      <c r="C100" s="1112">
        <v>100</v>
      </c>
      <c r="D100" s="1112">
        <v>100</v>
      </c>
      <c r="E100" s="1112">
        <v>125</v>
      </c>
      <c r="F100" s="1785">
        <v>1150</v>
      </c>
      <c r="G100" s="1112">
        <v>125</v>
      </c>
      <c r="H100" s="1112">
        <f t="shared" si="6"/>
        <v>178</v>
      </c>
      <c r="I100" s="1113" t="s">
        <v>1873</v>
      </c>
    </row>
    <row r="101" spans="1:9" x14ac:dyDescent="0.2">
      <c r="A101" s="1113" t="s">
        <v>1630</v>
      </c>
      <c r="B101" s="1113" t="s">
        <v>1692</v>
      </c>
      <c r="C101" s="1112">
        <v>0</v>
      </c>
      <c r="D101" s="1112">
        <v>0</v>
      </c>
      <c r="E101" s="1112">
        <v>100</v>
      </c>
      <c r="F101" s="1785">
        <v>1150</v>
      </c>
      <c r="G101" s="1112">
        <v>100</v>
      </c>
      <c r="H101" s="1112">
        <f t="shared" si="6"/>
        <v>143</v>
      </c>
      <c r="I101" s="1113"/>
    </row>
    <row r="102" spans="1:9" x14ac:dyDescent="0.2">
      <c r="A102" s="1113" t="s">
        <v>1632</v>
      </c>
      <c r="B102" s="1113" t="s">
        <v>1693</v>
      </c>
      <c r="C102" s="1112">
        <v>70</v>
      </c>
      <c r="D102" s="1112">
        <v>66</v>
      </c>
      <c r="E102" s="1112">
        <v>70</v>
      </c>
      <c r="F102" s="1785">
        <v>2390</v>
      </c>
      <c r="G102" s="1112">
        <v>70</v>
      </c>
      <c r="H102" s="1112">
        <f t="shared" si="6"/>
        <v>100</v>
      </c>
      <c r="I102" s="1113"/>
    </row>
    <row r="103" spans="1:9" x14ac:dyDescent="0.2">
      <c r="A103" s="1115"/>
      <c r="B103" s="1115"/>
      <c r="C103" s="1116"/>
      <c r="D103" s="1116"/>
      <c r="E103" s="1116"/>
      <c r="F103" s="1786"/>
      <c r="G103" s="1116"/>
      <c r="H103" s="1112"/>
      <c r="I103" s="1117"/>
    </row>
    <row r="104" spans="1:9" ht="24" x14ac:dyDescent="0.2">
      <c r="A104" s="1111">
        <v>2</v>
      </c>
      <c r="B104" s="1111" t="s">
        <v>1694</v>
      </c>
      <c r="C104" s="1116"/>
      <c r="D104" s="1116"/>
      <c r="E104" s="1116"/>
      <c r="F104" s="1786"/>
      <c r="G104" s="1116"/>
      <c r="H104" s="1112"/>
      <c r="I104" s="1117"/>
    </row>
    <row r="105" spans="1:9" x14ac:dyDescent="0.2">
      <c r="A105" s="1113" t="s">
        <v>211</v>
      </c>
      <c r="B105" s="1113" t="s">
        <v>1695</v>
      </c>
      <c r="C105" s="1112">
        <v>100</v>
      </c>
      <c r="D105" s="1118">
        <v>100</v>
      </c>
      <c r="E105" s="1118">
        <v>0</v>
      </c>
      <c r="F105" s="1787">
        <v>1150</v>
      </c>
      <c r="G105" s="1118">
        <v>0</v>
      </c>
      <c r="H105" s="1112">
        <f t="shared" si="6"/>
        <v>0</v>
      </c>
      <c r="I105" s="1117"/>
    </row>
    <row r="106" spans="1:9" x14ac:dyDescent="0.2">
      <c r="A106" s="1113" t="s">
        <v>216</v>
      </c>
      <c r="B106" s="1113" t="s">
        <v>1696</v>
      </c>
      <c r="C106" s="1112">
        <v>100</v>
      </c>
      <c r="D106" s="1118">
        <v>100</v>
      </c>
      <c r="E106" s="1118">
        <v>0</v>
      </c>
      <c r="F106" s="1787">
        <v>1150</v>
      </c>
      <c r="G106" s="1118">
        <v>0</v>
      </c>
      <c r="H106" s="1112">
        <f t="shared" si="6"/>
        <v>0</v>
      </c>
      <c r="I106" s="1117"/>
    </row>
    <row r="107" spans="1:9" x14ac:dyDescent="0.2">
      <c r="A107" s="1113" t="s">
        <v>219</v>
      </c>
      <c r="B107" s="1113" t="s">
        <v>1697</v>
      </c>
      <c r="C107" s="1112">
        <v>200</v>
      </c>
      <c r="D107" s="1118">
        <v>200</v>
      </c>
      <c r="E107" s="1118">
        <v>0</v>
      </c>
      <c r="F107" s="1787">
        <v>1150</v>
      </c>
      <c r="G107" s="1118">
        <v>0</v>
      </c>
      <c r="H107" s="1112">
        <f t="shared" si="6"/>
        <v>0</v>
      </c>
      <c r="I107" s="1117"/>
    </row>
    <row r="108" spans="1:9" x14ac:dyDescent="0.2">
      <c r="A108" s="1115"/>
      <c r="B108" s="1115"/>
      <c r="C108" s="1116"/>
      <c r="D108" s="1116"/>
      <c r="E108" s="1116"/>
      <c r="F108" s="1786"/>
      <c r="G108" s="1116"/>
      <c r="H108" s="1112"/>
      <c r="I108" s="1117"/>
    </row>
    <row r="109" spans="1:9" x14ac:dyDescent="0.2">
      <c r="A109" s="1111">
        <v>3</v>
      </c>
      <c r="B109" s="1111" t="s">
        <v>1698</v>
      </c>
      <c r="C109" s="1116"/>
      <c r="D109" s="1116"/>
      <c r="E109" s="1116"/>
      <c r="F109" s="1786"/>
      <c r="G109" s="1116"/>
      <c r="H109" s="1112"/>
      <c r="I109" s="1131"/>
    </row>
    <row r="110" spans="1:9" x14ac:dyDescent="0.2">
      <c r="A110" s="1115" t="s">
        <v>222</v>
      </c>
      <c r="B110" s="1115" t="s">
        <v>1699</v>
      </c>
      <c r="C110" s="1118">
        <v>300</v>
      </c>
      <c r="D110" s="1118">
        <v>210</v>
      </c>
      <c r="E110" s="1118">
        <v>300</v>
      </c>
      <c r="F110" s="1787">
        <v>2231</v>
      </c>
      <c r="G110" s="1118">
        <v>300</v>
      </c>
      <c r="H110" s="1112">
        <f t="shared" si="6"/>
        <v>427</v>
      </c>
      <c r="I110" s="1117"/>
    </row>
    <row r="111" spans="1:9" x14ac:dyDescent="0.2">
      <c r="A111" s="1115" t="s">
        <v>227</v>
      </c>
      <c r="B111" s="1115" t="s">
        <v>1700</v>
      </c>
      <c r="C111" s="1118">
        <v>54</v>
      </c>
      <c r="D111" s="1121">
        <v>50</v>
      </c>
      <c r="E111" s="1121">
        <v>150</v>
      </c>
      <c r="F111" s="1789">
        <v>2390</v>
      </c>
      <c r="G111" s="1121">
        <v>150</v>
      </c>
      <c r="H111" s="1112">
        <f t="shared" si="6"/>
        <v>214</v>
      </c>
      <c r="I111" s="1108"/>
    </row>
    <row r="112" spans="1:9" ht="36" x14ac:dyDescent="0.2">
      <c r="A112" s="1123" t="s">
        <v>581</v>
      </c>
      <c r="B112" s="1123" t="s">
        <v>1923</v>
      </c>
      <c r="C112" s="1121">
        <v>50</v>
      </c>
      <c r="D112" s="1121">
        <v>50</v>
      </c>
      <c r="E112" s="1121">
        <v>300</v>
      </c>
      <c r="F112" s="1789">
        <v>2390</v>
      </c>
      <c r="G112" s="1121">
        <v>300</v>
      </c>
      <c r="H112" s="1112">
        <f t="shared" si="6"/>
        <v>427</v>
      </c>
      <c r="I112" s="1123" t="s">
        <v>1922</v>
      </c>
    </row>
    <row r="113" spans="1:9" x14ac:dyDescent="0.2">
      <c r="A113" s="1123" t="s">
        <v>584</v>
      </c>
      <c r="B113" s="1123" t="s">
        <v>1650</v>
      </c>
      <c r="C113" s="1121">
        <v>0</v>
      </c>
      <c r="D113" s="1121">
        <v>0</v>
      </c>
      <c r="E113" s="1121">
        <v>100</v>
      </c>
      <c r="F113" s="1789">
        <v>1150</v>
      </c>
      <c r="G113" s="1121">
        <v>100</v>
      </c>
      <c r="H113" s="1112">
        <f t="shared" si="6"/>
        <v>143</v>
      </c>
      <c r="I113" s="1108"/>
    </row>
    <row r="114" spans="1:9" ht="24" x14ac:dyDescent="0.2">
      <c r="A114" s="1123" t="s">
        <v>586</v>
      </c>
      <c r="B114" s="1123" t="s">
        <v>1719</v>
      </c>
      <c r="C114" s="1121">
        <v>0</v>
      </c>
      <c r="D114" s="1121">
        <v>0</v>
      </c>
      <c r="E114" s="1121">
        <v>60</v>
      </c>
      <c r="F114" s="1789">
        <v>2390</v>
      </c>
      <c r="G114" s="1121">
        <v>60</v>
      </c>
      <c r="H114" s="1112">
        <f t="shared" si="6"/>
        <v>86</v>
      </c>
      <c r="I114" s="1123" t="s">
        <v>1924</v>
      </c>
    </row>
    <row r="115" spans="1:9" x14ac:dyDescent="0.2">
      <c r="A115" s="1111">
        <v>4</v>
      </c>
      <c r="B115" s="1134" t="s">
        <v>1701</v>
      </c>
      <c r="C115" s="1120"/>
      <c r="D115" s="1120"/>
      <c r="E115" s="1121"/>
      <c r="F115" s="1788"/>
      <c r="G115" s="1121"/>
      <c r="H115" s="1112"/>
      <c r="I115" s="1123"/>
    </row>
    <row r="116" spans="1:9" x14ac:dyDescent="0.2">
      <c r="A116" s="1135" t="s">
        <v>231</v>
      </c>
      <c r="B116" s="1136" t="s">
        <v>1702</v>
      </c>
      <c r="C116" s="1130">
        <v>200</v>
      </c>
      <c r="D116" s="1121">
        <v>200</v>
      </c>
      <c r="E116" s="1121">
        <v>0</v>
      </c>
      <c r="F116" s="1789">
        <v>2231</v>
      </c>
      <c r="G116" s="1121">
        <v>0</v>
      </c>
      <c r="H116" s="1112">
        <f t="shared" si="6"/>
        <v>0</v>
      </c>
      <c r="I116" s="1123"/>
    </row>
    <row r="117" spans="1:9" x14ac:dyDescent="0.2">
      <c r="A117" s="1113" t="s">
        <v>234</v>
      </c>
      <c r="B117" s="1136" t="s">
        <v>1703</v>
      </c>
      <c r="C117" s="1130">
        <v>165</v>
      </c>
      <c r="D117" s="1121">
        <v>58</v>
      </c>
      <c r="E117" s="1121">
        <v>0</v>
      </c>
      <c r="F117" s="1789">
        <v>2390</v>
      </c>
      <c r="G117" s="1121">
        <v>0</v>
      </c>
      <c r="H117" s="1112">
        <f t="shared" si="6"/>
        <v>0</v>
      </c>
      <c r="I117" s="1108"/>
    </row>
    <row r="118" spans="1:9" x14ac:dyDescent="0.2">
      <c r="A118" s="1113"/>
      <c r="B118" s="1136"/>
      <c r="C118" s="1130"/>
      <c r="D118" s="1121"/>
      <c r="E118" s="1121"/>
      <c r="F118" s="1121"/>
      <c r="G118" s="1121"/>
      <c r="H118" s="1112"/>
      <c r="I118" s="1108"/>
    </row>
    <row r="119" spans="1:9" ht="24" x14ac:dyDescent="0.2">
      <c r="A119" s="1137">
        <v>5</v>
      </c>
      <c r="B119" s="1138" t="s">
        <v>1704</v>
      </c>
      <c r="C119" s="1130"/>
      <c r="D119" s="1121"/>
      <c r="E119" s="1121"/>
      <c r="F119" s="1121"/>
      <c r="G119" s="1121"/>
      <c r="H119" s="1112"/>
      <c r="I119" s="1122"/>
    </row>
    <row r="120" spans="1:9" x14ac:dyDescent="0.2">
      <c r="A120" s="1139" t="s">
        <v>237</v>
      </c>
      <c r="B120" s="1140" t="s">
        <v>1705</v>
      </c>
      <c r="C120" s="1130">
        <v>25</v>
      </c>
      <c r="D120" s="1121">
        <v>15</v>
      </c>
      <c r="E120" s="1121">
        <v>35</v>
      </c>
      <c r="F120" s="1789">
        <v>2390</v>
      </c>
      <c r="G120" s="1121">
        <v>35</v>
      </c>
      <c r="H120" s="1112">
        <f t="shared" si="6"/>
        <v>50</v>
      </c>
      <c r="I120" s="1108"/>
    </row>
    <row r="121" spans="1:9" x14ac:dyDescent="0.2">
      <c r="A121" s="1139" t="s">
        <v>240</v>
      </c>
      <c r="B121" s="1140" t="s">
        <v>1706</v>
      </c>
      <c r="C121" s="1130">
        <v>25</v>
      </c>
      <c r="D121" s="1121">
        <v>25</v>
      </c>
      <c r="E121" s="1121">
        <v>35</v>
      </c>
      <c r="F121" s="1789">
        <v>2390</v>
      </c>
      <c r="G121" s="1121">
        <v>35</v>
      </c>
      <c r="H121" s="1112">
        <f t="shared" si="6"/>
        <v>50</v>
      </c>
      <c r="I121" s="1108"/>
    </row>
    <row r="122" spans="1:9" x14ac:dyDescent="0.2">
      <c r="A122" s="1139" t="s">
        <v>242</v>
      </c>
      <c r="B122" s="1140" t="s">
        <v>1707</v>
      </c>
      <c r="C122" s="1141">
        <v>35</v>
      </c>
      <c r="D122" s="1121">
        <v>35</v>
      </c>
      <c r="E122" s="1121">
        <v>150</v>
      </c>
      <c r="F122" s="1789">
        <v>2390</v>
      </c>
      <c r="G122" s="1121">
        <v>150</v>
      </c>
      <c r="H122" s="1112">
        <f t="shared" si="6"/>
        <v>214</v>
      </c>
      <c r="I122" s="1108"/>
    </row>
    <row r="123" spans="1:9" ht="24" x14ac:dyDescent="0.2">
      <c r="A123" s="1142">
        <v>6</v>
      </c>
      <c r="B123" s="1142" t="s">
        <v>1708</v>
      </c>
      <c r="C123" s="1130"/>
      <c r="D123" s="1121"/>
      <c r="E123" s="1121"/>
      <c r="F123" s="1789"/>
      <c r="G123" s="1121"/>
      <c r="H123" s="1112"/>
      <c r="I123" s="1122"/>
    </row>
    <row r="124" spans="1:9" ht="24" x14ac:dyDescent="0.2">
      <c r="A124" s="1139" t="s">
        <v>247</v>
      </c>
      <c r="B124" s="1140" t="s">
        <v>1925</v>
      </c>
      <c r="C124" s="1143">
        <v>300</v>
      </c>
      <c r="D124" s="1121">
        <v>300</v>
      </c>
      <c r="E124" s="1121">
        <v>300</v>
      </c>
      <c r="F124" s="1789">
        <v>1150</v>
      </c>
      <c r="G124" s="1121">
        <v>300</v>
      </c>
      <c r="H124" s="1209">
        <f t="shared" si="6"/>
        <v>427</v>
      </c>
      <c r="I124" s="1108"/>
    </row>
    <row r="125" spans="1:9" x14ac:dyDescent="0.2">
      <c r="A125" s="1113" t="s">
        <v>249</v>
      </c>
      <c r="B125" s="1113" t="s">
        <v>1709</v>
      </c>
      <c r="C125" s="1130">
        <v>20</v>
      </c>
      <c r="D125" s="1121">
        <v>20</v>
      </c>
      <c r="E125" s="1121">
        <v>20</v>
      </c>
      <c r="F125" s="1789">
        <v>2311</v>
      </c>
      <c r="G125" s="1121">
        <v>20</v>
      </c>
      <c r="H125" s="1112">
        <f t="shared" si="6"/>
        <v>29</v>
      </c>
      <c r="I125" s="1108"/>
    </row>
    <row r="126" spans="1:9" x14ac:dyDescent="0.2">
      <c r="A126" s="1144" t="s">
        <v>251</v>
      </c>
      <c r="B126" s="1144" t="s">
        <v>1710</v>
      </c>
      <c r="C126" s="1145">
        <v>100</v>
      </c>
      <c r="D126" s="1121">
        <v>100</v>
      </c>
      <c r="E126" s="1121">
        <v>75</v>
      </c>
      <c r="F126" s="1789">
        <v>2390</v>
      </c>
      <c r="G126" s="1121">
        <v>75</v>
      </c>
      <c r="H126" s="1112">
        <f t="shared" si="6"/>
        <v>107</v>
      </c>
      <c r="I126" s="1108"/>
    </row>
    <row r="127" spans="1:9" x14ac:dyDescent="0.2">
      <c r="A127" s="1144" t="s">
        <v>253</v>
      </c>
      <c r="B127" s="1144" t="s">
        <v>1711</v>
      </c>
      <c r="C127" s="1145">
        <v>0</v>
      </c>
      <c r="D127" s="1121">
        <v>0</v>
      </c>
      <c r="E127" s="1121">
        <v>75</v>
      </c>
      <c r="F127" s="1789">
        <v>2390</v>
      </c>
      <c r="G127" s="1121">
        <v>75</v>
      </c>
      <c r="H127" s="1112">
        <f t="shared" si="6"/>
        <v>107</v>
      </c>
      <c r="I127" s="1108"/>
    </row>
    <row r="128" spans="1:9" x14ac:dyDescent="0.2">
      <c r="A128" s="1142">
        <v>7</v>
      </c>
      <c r="B128" s="1111" t="s">
        <v>1712</v>
      </c>
      <c r="C128" s="1145"/>
      <c r="D128" s="1121"/>
      <c r="E128" s="1121"/>
      <c r="F128" s="1789"/>
      <c r="G128" s="1121"/>
      <c r="H128" s="1112"/>
      <c r="I128" s="1124"/>
    </row>
    <row r="129" spans="1:9" x14ac:dyDescent="0.2">
      <c r="A129" s="1113" t="s">
        <v>257</v>
      </c>
      <c r="B129" s="1113" t="s">
        <v>1713</v>
      </c>
      <c r="C129" s="1130">
        <v>250</v>
      </c>
      <c r="D129" s="1121">
        <v>250</v>
      </c>
      <c r="E129" s="1121">
        <v>1000</v>
      </c>
      <c r="F129" s="1789">
        <v>5234</v>
      </c>
      <c r="G129" s="1121">
        <v>1000</v>
      </c>
      <c r="H129" s="1112">
        <f t="shared" si="6"/>
        <v>1423</v>
      </c>
      <c r="I129" s="1124"/>
    </row>
    <row r="130" spans="1:9" x14ac:dyDescent="0.2">
      <c r="A130" s="1146" t="s">
        <v>261</v>
      </c>
      <c r="B130" s="1146" t="s">
        <v>1714</v>
      </c>
      <c r="C130" s="1141">
        <v>2710</v>
      </c>
      <c r="D130" s="1121">
        <v>2710</v>
      </c>
      <c r="E130" s="1121">
        <v>1000</v>
      </c>
      <c r="F130" s="1789">
        <v>5236</v>
      </c>
      <c r="G130" s="1121">
        <v>1000</v>
      </c>
      <c r="H130" s="1112">
        <f t="shared" si="6"/>
        <v>1423</v>
      </c>
      <c r="I130" s="1108"/>
    </row>
    <row r="131" spans="1:9" x14ac:dyDescent="0.2">
      <c r="A131" s="1111">
        <v>8</v>
      </c>
      <c r="B131" s="1111" t="s">
        <v>1715</v>
      </c>
      <c r="C131" s="1145"/>
      <c r="D131" s="1121"/>
      <c r="E131" s="1121"/>
      <c r="F131" s="1789"/>
      <c r="G131" s="1121"/>
      <c r="H131" s="1112"/>
      <c r="I131" s="1123"/>
    </row>
    <row r="132" spans="1:9" x14ac:dyDescent="0.2">
      <c r="A132" s="1146" t="s">
        <v>270</v>
      </c>
      <c r="B132" s="1146" t="s">
        <v>1716</v>
      </c>
      <c r="C132" s="1141">
        <v>245</v>
      </c>
      <c r="D132" s="1121">
        <v>245</v>
      </c>
      <c r="E132" s="1121">
        <v>0</v>
      </c>
      <c r="F132" s="1789">
        <v>1150</v>
      </c>
      <c r="G132" s="1121">
        <v>0</v>
      </c>
      <c r="H132" s="1112">
        <f t="shared" si="6"/>
        <v>0</v>
      </c>
      <c r="I132" s="1123"/>
    </row>
    <row r="133" spans="1:9" x14ac:dyDescent="0.2">
      <c r="A133" s="1113" t="s">
        <v>272</v>
      </c>
      <c r="B133" s="1113" t="s">
        <v>1706</v>
      </c>
      <c r="C133" s="1130">
        <v>50</v>
      </c>
      <c r="D133" s="1121">
        <v>32</v>
      </c>
      <c r="E133" s="1121">
        <v>0</v>
      </c>
      <c r="F133" s="1789">
        <v>2390</v>
      </c>
      <c r="G133" s="1121">
        <v>0</v>
      </c>
      <c r="H133" s="1112">
        <f t="shared" si="6"/>
        <v>0</v>
      </c>
      <c r="I133" s="1108"/>
    </row>
    <row r="134" spans="1:9" x14ac:dyDescent="0.2">
      <c r="A134" s="1146" t="s">
        <v>274</v>
      </c>
      <c r="B134" s="1146" t="s">
        <v>1717</v>
      </c>
      <c r="C134" s="1141">
        <v>115</v>
      </c>
      <c r="D134" s="1121">
        <v>115</v>
      </c>
      <c r="E134" s="1121">
        <v>0</v>
      </c>
      <c r="F134" s="1789">
        <v>2279</v>
      </c>
      <c r="G134" s="1121">
        <v>0</v>
      </c>
      <c r="H134" s="1112">
        <f t="shared" si="6"/>
        <v>0</v>
      </c>
      <c r="I134" s="1108"/>
    </row>
    <row r="135" spans="1:9" x14ac:dyDescent="0.2">
      <c r="A135" s="1113" t="s">
        <v>276</v>
      </c>
      <c r="B135" s="1113" t="s">
        <v>1693</v>
      </c>
      <c r="C135" s="1130">
        <v>145</v>
      </c>
      <c r="D135" s="1121">
        <v>27</v>
      </c>
      <c r="E135" s="1121">
        <v>0</v>
      </c>
      <c r="F135" s="1789">
        <v>2390</v>
      </c>
      <c r="G135" s="1121">
        <v>0</v>
      </c>
      <c r="H135" s="1112">
        <f t="shared" si="6"/>
        <v>0</v>
      </c>
      <c r="I135" s="1108"/>
    </row>
    <row r="136" spans="1:9" x14ac:dyDescent="0.2">
      <c r="A136" s="1113" t="s">
        <v>278</v>
      </c>
      <c r="B136" s="1113" t="s">
        <v>1650</v>
      </c>
      <c r="C136" s="1130">
        <v>125</v>
      </c>
      <c r="D136" s="1121">
        <v>125</v>
      </c>
      <c r="E136" s="1121">
        <v>0</v>
      </c>
      <c r="F136" s="1789">
        <v>1150</v>
      </c>
      <c r="G136" s="1121">
        <v>0</v>
      </c>
      <c r="H136" s="1112">
        <f t="shared" si="6"/>
        <v>0</v>
      </c>
      <c r="I136" s="1108"/>
    </row>
    <row r="137" spans="1:9" x14ac:dyDescent="0.2">
      <c r="A137" s="1144" t="s">
        <v>280</v>
      </c>
      <c r="B137" s="1144" t="s">
        <v>1718</v>
      </c>
      <c r="C137" s="1145">
        <v>50</v>
      </c>
      <c r="D137" s="1121">
        <v>50</v>
      </c>
      <c r="E137" s="1121">
        <v>0</v>
      </c>
      <c r="F137" s="1789">
        <v>2390</v>
      </c>
      <c r="G137" s="1121">
        <v>0</v>
      </c>
      <c r="H137" s="1112">
        <f t="shared" si="6"/>
        <v>0</v>
      </c>
      <c r="I137" s="1108"/>
    </row>
    <row r="138" spans="1:9" x14ac:dyDescent="0.2">
      <c r="A138" s="1144" t="s">
        <v>282</v>
      </c>
      <c r="B138" s="1144" t="s">
        <v>1719</v>
      </c>
      <c r="C138" s="1145">
        <v>50</v>
      </c>
      <c r="D138" s="1121">
        <v>31</v>
      </c>
      <c r="E138" s="1121">
        <v>0</v>
      </c>
      <c r="F138" s="1789">
        <v>2390</v>
      </c>
      <c r="G138" s="1121">
        <v>0</v>
      </c>
      <c r="H138" s="1112">
        <f t="shared" si="6"/>
        <v>0</v>
      </c>
      <c r="I138" s="1108"/>
    </row>
    <row r="139" spans="1:9" x14ac:dyDescent="0.2">
      <c r="A139" s="1144"/>
      <c r="B139" s="1144"/>
      <c r="C139" s="1145"/>
      <c r="D139" s="1121"/>
      <c r="E139" s="1121"/>
      <c r="F139" s="1789"/>
      <c r="G139" s="1121"/>
      <c r="H139" s="1112"/>
      <c r="I139" s="1108"/>
    </row>
    <row r="140" spans="1:9" ht="36" x14ac:dyDescent="0.2">
      <c r="A140" s="1147">
        <v>9</v>
      </c>
      <c r="B140" s="1111" t="s">
        <v>1720</v>
      </c>
      <c r="C140" s="1145"/>
      <c r="D140" s="1121"/>
      <c r="E140" s="1121"/>
      <c r="F140" s="1789"/>
      <c r="G140" s="1121"/>
      <c r="H140" s="1112"/>
      <c r="I140" s="1133"/>
    </row>
    <row r="141" spans="1:9" x14ac:dyDescent="0.2">
      <c r="A141" s="1144" t="s">
        <v>302</v>
      </c>
      <c r="B141" s="1144" t="s">
        <v>1721</v>
      </c>
      <c r="C141" s="1145">
        <v>0</v>
      </c>
      <c r="D141" s="1121">
        <v>0</v>
      </c>
      <c r="E141" s="1121">
        <v>400</v>
      </c>
      <c r="F141" s="1789">
        <v>2390</v>
      </c>
      <c r="G141" s="1121">
        <v>400</v>
      </c>
      <c r="H141" s="1112">
        <f t="shared" si="6"/>
        <v>570</v>
      </c>
      <c r="I141" s="1108"/>
    </row>
    <row r="142" spans="1:9" x14ac:dyDescent="0.2">
      <c r="A142" s="1144" t="s">
        <v>304</v>
      </c>
      <c r="B142" s="1144" t="s">
        <v>1722</v>
      </c>
      <c r="C142" s="1145">
        <v>0</v>
      </c>
      <c r="D142" s="1121">
        <v>0</v>
      </c>
      <c r="E142" s="1121">
        <v>200</v>
      </c>
      <c r="F142" s="1789">
        <v>2390</v>
      </c>
      <c r="G142" s="1121">
        <v>200</v>
      </c>
      <c r="H142" s="1112">
        <f t="shared" si="6"/>
        <v>285</v>
      </c>
      <c r="I142" s="1108"/>
    </row>
    <row r="143" spans="1:9" x14ac:dyDescent="0.2">
      <c r="A143" s="1144" t="s">
        <v>306</v>
      </c>
      <c r="B143" s="1144" t="s">
        <v>1723</v>
      </c>
      <c r="C143" s="1145">
        <v>0</v>
      </c>
      <c r="D143" s="1121">
        <v>0</v>
      </c>
      <c r="E143" s="1121">
        <v>150</v>
      </c>
      <c r="F143" s="1789">
        <v>2390</v>
      </c>
      <c r="G143" s="1121">
        <v>150</v>
      </c>
      <c r="H143" s="1112">
        <f t="shared" si="6"/>
        <v>214</v>
      </c>
      <c r="I143" s="1108"/>
    </row>
    <row r="144" spans="1:9" x14ac:dyDescent="0.2">
      <c r="A144" s="1144"/>
      <c r="B144" s="1144"/>
      <c r="C144" s="1145"/>
      <c r="D144" s="1121"/>
      <c r="E144" s="1121"/>
      <c r="F144" s="1789"/>
      <c r="G144" s="1121"/>
      <c r="H144" s="1112"/>
      <c r="I144" s="1108"/>
    </row>
    <row r="145" spans="1:9" x14ac:dyDescent="0.2">
      <c r="A145" s="1147">
        <v>10</v>
      </c>
      <c r="B145" s="1147" t="s">
        <v>1724</v>
      </c>
      <c r="C145" s="1145"/>
      <c r="D145" s="1121"/>
      <c r="E145" s="1121"/>
      <c r="F145" s="1789"/>
      <c r="G145" s="1121"/>
      <c r="H145" s="1112"/>
      <c r="I145" s="1133"/>
    </row>
    <row r="146" spans="1:9" x14ac:dyDescent="0.2">
      <c r="A146" s="1144" t="s">
        <v>180</v>
      </c>
      <c r="B146" s="1144" t="s">
        <v>1725</v>
      </c>
      <c r="C146" s="1145">
        <v>0</v>
      </c>
      <c r="D146" s="1121">
        <v>0</v>
      </c>
      <c r="E146" s="1121">
        <v>110</v>
      </c>
      <c r="F146" s="1789">
        <v>2279</v>
      </c>
      <c r="G146" s="1121">
        <v>110</v>
      </c>
      <c r="H146" s="1112">
        <f t="shared" si="6"/>
        <v>157</v>
      </c>
      <c r="I146" s="1108"/>
    </row>
    <row r="147" spans="1:9" x14ac:dyDescent="0.2">
      <c r="A147" s="1144" t="s">
        <v>182</v>
      </c>
      <c r="B147" s="1144" t="s">
        <v>1726</v>
      </c>
      <c r="C147" s="1145">
        <v>0</v>
      </c>
      <c r="D147" s="1121">
        <v>0</v>
      </c>
      <c r="E147" s="1121">
        <v>50</v>
      </c>
      <c r="F147" s="1789">
        <v>2390</v>
      </c>
      <c r="G147" s="1121">
        <v>50</v>
      </c>
      <c r="H147" s="1112">
        <f t="shared" si="6"/>
        <v>72</v>
      </c>
      <c r="I147" s="1108"/>
    </row>
    <row r="148" spans="1:9" x14ac:dyDescent="0.2">
      <c r="A148" s="1144" t="s">
        <v>183</v>
      </c>
      <c r="B148" s="1144" t="s">
        <v>1727</v>
      </c>
      <c r="C148" s="1145">
        <v>0</v>
      </c>
      <c r="D148" s="1121">
        <v>0</v>
      </c>
      <c r="E148" s="1121">
        <v>10</v>
      </c>
      <c r="F148" s="1789">
        <v>2390</v>
      </c>
      <c r="G148" s="1121">
        <v>10</v>
      </c>
      <c r="H148" s="1112">
        <f t="shared" si="6"/>
        <v>15</v>
      </c>
      <c r="I148" s="1108"/>
    </row>
    <row r="149" spans="1:9" ht="24" x14ac:dyDescent="0.2">
      <c r="A149" s="1147">
        <v>11</v>
      </c>
      <c r="B149" s="1147" t="s">
        <v>1728</v>
      </c>
      <c r="C149" s="1145"/>
      <c r="D149" s="1121"/>
      <c r="E149" s="1121"/>
      <c r="F149" s="1789"/>
      <c r="G149" s="1121"/>
      <c r="H149" s="1112"/>
      <c r="I149" s="1133"/>
    </row>
    <row r="150" spans="1:9" ht="24" x14ac:dyDescent="0.2">
      <c r="A150" s="1144" t="s">
        <v>327</v>
      </c>
      <c r="B150" s="1144" t="s">
        <v>1729</v>
      </c>
      <c r="C150" s="1148">
        <v>0</v>
      </c>
      <c r="D150" s="1121">
        <v>0</v>
      </c>
      <c r="E150" s="1121">
        <v>620</v>
      </c>
      <c r="F150" s="1789">
        <v>2279</v>
      </c>
      <c r="G150" s="1121">
        <v>620</v>
      </c>
      <c r="H150" s="1112">
        <f t="shared" si="6"/>
        <v>883</v>
      </c>
      <c r="I150" s="1108"/>
    </row>
    <row r="151" spans="1:9" x14ac:dyDescent="0.2">
      <c r="A151" s="1144" t="s">
        <v>330</v>
      </c>
      <c r="B151" s="1144" t="s">
        <v>1730</v>
      </c>
      <c r="C151" s="1145">
        <v>0</v>
      </c>
      <c r="D151" s="1121">
        <v>0</v>
      </c>
      <c r="E151" s="1121">
        <v>60</v>
      </c>
      <c r="F151" s="1789">
        <v>2390</v>
      </c>
      <c r="G151" s="1121">
        <v>60</v>
      </c>
      <c r="H151" s="1112">
        <f t="shared" si="6"/>
        <v>86</v>
      </c>
      <c r="I151" s="1108"/>
    </row>
    <row r="152" spans="1:9" x14ac:dyDescent="0.2">
      <c r="A152" s="1149">
        <v>12</v>
      </c>
      <c r="B152" s="1147" t="s">
        <v>1841</v>
      </c>
      <c r="C152" s="1145"/>
      <c r="D152" s="1121"/>
      <c r="E152" s="1121"/>
      <c r="F152" s="1789"/>
      <c r="G152" s="1121"/>
      <c r="H152" s="1112"/>
      <c r="I152" s="1108"/>
    </row>
    <row r="153" spans="1:9" x14ac:dyDescent="0.2">
      <c r="A153" s="1144" t="s">
        <v>339</v>
      </c>
      <c r="B153" s="1144" t="s">
        <v>1842</v>
      </c>
      <c r="C153" s="1145">
        <v>0</v>
      </c>
      <c r="D153" s="1121">
        <v>0</v>
      </c>
      <c r="E153" s="1121">
        <v>30</v>
      </c>
      <c r="F153" s="1789">
        <v>2390</v>
      </c>
      <c r="G153" s="1121">
        <v>30</v>
      </c>
      <c r="H153" s="1112">
        <f t="shared" si="6"/>
        <v>43</v>
      </c>
      <c r="I153" s="1108"/>
    </row>
    <row r="154" spans="1:9" x14ac:dyDescent="0.2">
      <c r="A154" s="1144" t="s">
        <v>1685</v>
      </c>
      <c r="B154" s="1144" t="s">
        <v>1843</v>
      </c>
      <c r="C154" s="1145">
        <v>0</v>
      </c>
      <c r="D154" s="1121">
        <v>0</v>
      </c>
      <c r="E154" s="1121">
        <v>50</v>
      </c>
      <c r="F154" s="1789">
        <v>2390</v>
      </c>
      <c r="G154" s="1121">
        <v>50</v>
      </c>
      <c r="H154" s="1112">
        <f t="shared" si="6"/>
        <v>72</v>
      </c>
      <c r="I154" s="1108"/>
    </row>
    <row r="155" spans="1:9" x14ac:dyDescent="0.2">
      <c r="A155" s="1144" t="s">
        <v>1686</v>
      </c>
      <c r="B155" s="1144" t="s">
        <v>1844</v>
      </c>
      <c r="C155" s="1145">
        <v>0</v>
      </c>
      <c r="D155" s="1121">
        <v>0</v>
      </c>
      <c r="E155" s="1121">
        <v>110</v>
      </c>
      <c r="F155" s="1789">
        <v>2390</v>
      </c>
      <c r="G155" s="1121">
        <v>110</v>
      </c>
      <c r="H155" s="1112">
        <f t="shared" ref="H155:H180" si="7">ROUNDUP(G155/0.702804,0)</f>
        <v>157</v>
      </c>
      <c r="I155" s="1108"/>
    </row>
    <row r="156" spans="1:9" ht="24" x14ac:dyDescent="0.2">
      <c r="A156" s="1147">
        <v>13</v>
      </c>
      <c r="B156" s="1147" t="s">
        <v>1845</v>
      </c>
      <c r="C156" s="1145"/>
      <c r="D156" s="1121"/>
      <c r="E156" s="1121"/>
      <c r="F156" s="1789"/>
      <c r="G156" s="1121"/>
      <c r="H156" s="1112"/>
      <c r="I156" s="1122"/>
    </row>
    <row r="157" spans="1:9" x14ac:dyDescent="0.2">
      <c r="A157" s="1144" t="s">
        <v>342</v>
      </c>
      <c r="B157" s="1144" t="s">
        <v>1842</v>
      </c>
      <c r="C157" s="1145">
        <v>385</v>
      </c>
      <c r="D157" s="1121">
        <v>385</v>
      </c>
      <c r="E157" s="1121">
        <v>252</v>
      </c>
      <c r="F157" s="1789">
        <v>2390</v>
      </c>
      <c r="G157" s="1121">
        <v>252</v>
      </c>
      <c r="H157" s="1112">
        <f t="shared" si="7"/>
        <v>359</v>
      </c>
      <c r="I157" s="1123" t="s">
        <v>1926</v>
      </c>
    </row>
    <row r="158" spans="1:9" x14ac:dyDescent="0.2">
      <c r="A158" s="1144" t="s">
        <v>1733</v>
      </c>
      <c r="B158" s="1144" t="s">
        <v>1843</v>
      </c>
      <c r="C158" s="1145">
        <v>460</v>
      </c>
      <c r="D158" s="1121">
        <v>460</v>
      </c>
      <c r="E158" s="1121">
        <v>360</v>
      </c>
      <c r="F158" s="1789">
        <v>2390</v>
      </c>
      <c r="G158" s="1121">
        <v>360</v>
      </c>
      <c r="H158" s="1112">
        <f t="shared" si="7"/>
        <v>513</v>
      </c>
      <c r="I158" s="1123" t="s">
        <v>1930</v>
      </c>
    </row>
    <row r="159" spans="1:9" x14ac:dyDescent="0.2">
      <c r="A159" s="1144" t="s">
        <v>1846</v>
      </c>
      <c r="B159" s="1144" t="s">
        <v>1931</v>
      </c>
      <c r="C159" s="1145">
        <v>406</v>
      </c>
      <c r="D159" s="1121">
        <v>406</v>
      </c>
      <c r="E159" s="1121">
        <v>297</v>
      </c>
      <c r="F159" s="1789">
        <v>2262</v>
      </c>
      <c r="G159" s="1121">
        <v>297</v>
      </c>
      <c r="H159" s="1112">
        <f t="shared" si="7"/>
        <v>423</v>
      </c>
      <c r="I159" s="1123" t="s">
        <v>1927</v>
      </c>
    </row>
    <row r="160" spans="1:9" x14ac:dyDescent="0.2">
      <c r="A160" s="1144" t="s">
        <v>1847</v>
      </c>
      <c r="B160" s="1144" t="s">
        <v>1932</v>
      </c>
      <c r="C160" s="1145">
        <v>230</v>
      </c>
      <c r="D160" s="1121">
        <v>230</v>
      </c>
      <c r="E160" s="1121">
        <v>231</v>
      </c>
      <c r="F160" s="1789">
        <v>2390</v>
      </c>
      <c r="G160" s="1121">
        <v>231</v>
      </c>
      <c r="H160" s="1112">
        <f t="shared" si="7"/>
        <v>329</v>
      </c>
      <c r="I160" s="1123" t="s">
        <v>1928</v>
      </c>
    </row>
    <row r="161" spans="1:9" x14ac:dyDescent="0.2">
      <c r="A161" s="1113" t="s">
        <v>1848</v>
      </c>
      <c r="B161" s="1113" t="s">
        <v>1933</v>
      </c>
      <c r="C161" s="1145">
        <v>115</v>
      </c>
      <c r="D161" s="1121">
        <v>115</v>
      </c>
      <c r="E161" s="1121">
        <v>210</v>
      </c>
      <c r="F161" s="1789">
        <v>2390</v>
      </c>
      <c r="G161" s="1121">
        <v>210</v>
      </c>
      <c r="H161" s="1112">
        <f t="shared" si="7"/>
        <v>299</v>
      </c>
      <c r="I161" s="1123" t="s">
        <v>1929</v>
      </c>
    </row>
    <row r="162" spans="1:9" x14ac:dyDescent="0.2">
      <c r="A162" s="1111">
        <v>14</v>
      </c>
      <c r="B162" s="1134" t="s">
        <v>1731</v>
      </c>
      <c r="C162" s="1145"/>
      <c r="D162" s="1121"/>
      <c r="E162" s="1121"/>
      <c r="F162" s="1789"/>
      <c r="G162" s="1121"/>
      <c r="H162" s="1112"/>
      <c r="I162" s="1122"/>
    </row>
    <row r="163" spans="1:9" x14ac:dyDescent="0.2">
      <c r="A163" s="1113" t="s">
        <v>345</v>
      </c>
      <c r="B163" s="1136" t="s">
        <v>1732</v>
      </c>
      <c r="C163" s="1145">
        <v>809</v>
      </c>
      <c r="D163" s="1121">
        <v>809</v>
      </c>
      <c r="E163" s="1121">
        <v>0</v>
      </c>
      <c r="F163" s="1789">
        <v>1150</v>
      </c>
      <c r="G163" s="1121">
        <v>0</v>
      </c>
      <c r="H163" s="1112">
        <f t="shared" si="7"/>
        <v>0</v>
      </c>
      <c r="I163" s="1108"/>
    </row>
    <row r="164" spans="1:9" x14ac:dyDescent="0.2">
      <c r="A164" s="1113" t="s">
        <v>1687</v>
      </c>
      <c r="B164" s="1136" t="s">
        <v>1734</v>
      </c>
      <c r="C164" s="1145">
        <v>0</v>
      </c>
      <c r="D164" s="1121">
        <v>0</v>
      </c>
      <c r="E164" s="1121">
        <v>800</v>
      </c>
      <c r="F164" s="1789">
        <v>2279</v>
      </c>
      <c r="G164" s="1121">
        <v>800</v>
      </c>
      <c r="H164" s="1112">
        <f t="shared" si="7"/>
        <v>1139</v>
      </c>
      <c r="I164" s="1108"/>
    </row>
    <row r="165" spans="1:9" ht="24" x14ac:dyDescent="0.2">
      <c r="A165" s="1111">
        <v>15</v>
      </c>
      <c r="B165" s="1150" t="s">
        <v>1735</v>
      </c>
      <c r="C165" s="1145"/>
      <c r="D165" s="1121"/>
      <c r="E165" s="1121"/>
      <c r="F165" s="1789"/>
      <c r="G165" s="1121"/>
      <c r="H165" s="1112"/>
      <c r="I165" s="1108"/>
    </row>
    <row r="166" spans="1:9" ht="24" x14ac:dyDescent="0.2">
      <c r="A166" s="1113" t="s">
        <v>348</v>
      </c>
      <c r="B166" s="1136" t="s">
        <v>1736</v>
      </c>
      <c r="C166" s="1148">
        <v>0</v>
      </c>
      <c r="D166" s="1121">
        <v>0</v>
      </c>
      <c r="E166" s="1121">
        <v>100</v>
      </c>
      <c r="F166" s="1789">
        <v>2279</v>
      </c>
      <c r="G166" s="1121">
        <v>100</v>
      </c>
      <c r="H166" s="1112">
        <f t="shared" si="7"/>
        <v>143</v>
      </c>
      <c r="I166" s="1133"/>
    </row>
    <row r="167" spans="1:9" ht="24" x14ac:dyDescent="0.2">
      <c r="A167" s="1144" t="s">
        <v>352</v>
      </c>
      <c r="B167" s="1151" t="s">
        <v>1737</v>
      </c>
      <c r="C167" s="1148">
        <v>44</v>
      </c>
      <c r="D167" s="1121">
        <v>44</v>
      </c>
      <c r="E167" s="1121">
        <v>0</v>
      </c>
      <c r="F167" s="1789">
        <v>2279</v>
      </c>
      <c r="G167" s="1121">
        <v>0</v>
      </c>
      <c r="H167" s="1112">
        <f t="shared" si="7"/>
        <v>0</v>
      </c>
      <c r="I167" s="1123"/>
    </row>
    <row r="168" spans="1:9" ht="24" x14ac:dyDescent="0.2">
      <c r="A168" s="1111">
        <v>16</v>
      </c>
      <c r="B168" s="1150" t="s">
        <v>1738</v>
      </c>
      <c r="C168" s="1145"/>
      <c r="D168" s="1121"/>
      <c r="E168" s="1121"/>
      <c r="F168" s="1789"/>
      <c r="G168" s="1121"/>
      <c r="H168" s="1112"/>
      <c r="I168" s="1152"/>
    </row>
    <row r="169" spans="1:9" ht="36" x14ac:dyDescent="0.2">
      <c r="A169" s="1140" t="s">
        <v>355</v>
      </c>
      <c r="B169" s="1136" t="s">
        <v>1739</v>
      </c>
      <c r="C169" s="1145">
        <v>400</v>
      </c>
      <c r="D169" s="1130">
        <v>400</v>
      </c>
      <c r="E169" s="1130">
        <v>250</v>
      </c>
      <c r="F169" s="1790">
        <v>2390</v>
      </c>
      <c r="G169" s="1130">
        <v>250</v>
      </c>
      <c r="H169" s="1112">
        <f t="shared" si="7"/>
        <v>356</v>
      </c>
      <c r="I169" s="1153"/>
    </row>
    <row r="170" spans="1:9" ht="36" x14ac:dyDescent="0.2">
      <c r="A170" s="1111">
        <v>17</v>
      </c>
      <c r="B170" s="1134" t="s">
        <v>1740</v>
      </c>
      <c r="C170" s="1145"/>
      <c r="D170" s="1130"/>
      <c r="E170" s="1121"/>
      <c r="F170" s="1790"/>
      <c r="G170" s="1121"/>
      <c r="H170" s="1112"/>
      <c r="I170" s="1123"/>
    </row>
    <row r="171" spans="1:9" x14ac:dyDescent="0.2">
      <c r="A171" s="1140" t="s">
        <v>363</v>
      </c>
      <c r="B171" s="1136" t="s">
        <v>1741</v>
      </c>
      <c r="C171" s="1145">
        <v>130</v>
      </c>
      <c r="D171" s="1130">
        <v>130</v>
      </c>
      <c r="E171" s="1121">
        <v>0</v>
      </c>
      <c r="F171" s="1790">
        <v>1150</v>
      </c>
      <c r="G171" s="1121">
        <v>0</v>
      </c>
      <c r="H171" s="1112">
        <f t="shared" si="7"/>
        <v>0</v>
      </c>
      <c r="I171" s="1108"/>
    </row>
    <row r="172" spans="1:9" x14ac:dyDescent="0.2">
      <c r="A172" s="1140" t="s">
        <v>365</v>
      </c>
      <c r="B172" s="1136" t="s">
        <v>1742</v>
      </c>
      <c r="C172" s="1145">
        <v>200</v>
      </c>
      <c r="D172" s="1130">
        <v>200</v>
      </c>
      <c r="E172" s="1121">
        <v>0</v>
      </c>
      <c r="F172" s="1790">
        <v>1150</v>
      </c>
      <c r="G172" s="1121">
        <v>0</v>
      </c>
      <c r="H172" s="1112">
        <f t="shared" si="7"/>
        <v>0</v>
      </c>
      <c r="I172" s="1108"/>
    </row>
    <row r="173" spans="1:9" x14ac:dyDescent="0.2">
      <c r="A173" s="1140" t="s">
        <v>367</v>
      </c>
      <c r="B173" s="1136" t="s">
        <v>1743</v>
      </c>
      <c r="C173" s="1145">
        <v>500</v>
      </c>
      <c r="D173" s="1130">
        <v>500</v>
      </c>
      <c r="E173" s="1121">
        <v>0</v>
      </c>
      <c r="F173" s="1790">
        <v>2390</v>
      </c>
      <c r="G173" s="1121">
        <v>0</v>
      </c>
      <c r="H173" s="1112">
        <f t="shared" si="7"/>
        <v>0</v>
      </c>
      <c r="I173" s="1108"/>
    </row>
    <row r="174" spans="1:9" x14ac:dyDescent="0.2">
      <c r="A174" s="1140"/>
      <c r="B174" s="1136"/>
      <c r="C174" s="1145"/>
      <c r="D174" s="1130"/>
      <c r="E174" s="1121"/>
      <c r="F174" s="1790"/>
      <c r="G174" s="1121"/>
      <c r="H174" s="1112"/>
      <c r="I174" s="1108"/>
    </row>
    <row r="175" spans="1:9" x14ac:dyDescent="0.2">
      <c r="A175" s="1111">
        <v>18</v>
      </c>
      <c r="B175" s="1111" t="s">
        <v>1745</v>
      </c>
      <c r="C175" s="1145"/>
      <c r="D175" s="1130"/>
      <c r="E175" s="1121"/>
      <c r="F175" s="1790"/>
      <c r="G175" s="1121"/>
      <c r="H175" s="1112"/>
      <c r="I175" s="1154"/>
    </row>
    <row r="176" spans="1:9" x14ac:dyDescent="0.2">
      <c r="A176" s="1113" t="s">
        <v>370</v>
      </c>
      <c r="B176" s="1113" t="s">
        <v>1746</v>
      </c>
      <c r="C176" s="1145">
        <v>0</v>
      </c>
      <c r="D176" s="1130">
        <v>0</v>
      </c>
      <c r="E176" s="1121">
        <v>200</v>
      </c>
      <c r="F176" s="1790">
        <v>1150</v>
      </c>
      <c r="G176" s="1121">
        <v>200</v>
      </c>
      <c r="H176" s="1112">
        <f t="shared" si="7"/>
        <v>285</v>
      </c>
      <c r="I176" s="1108"/>
    </row>
    <row r="177" spans="1:9" x14ac:dyDescent="0.2">
      <c r="A177" s="1113" t="s">
        <v>372</v>
      </c>
      <c r="B177" s="1155" t="s">
        <v>1935</v>
      </c>
      <c r="C177" s="1113">
        <v>0</v>
      </c>
      <c r="D177" s="1121">
        <v>0</v>
      </c>
      <c r="E177" s="1121">
        <v>450</v>
      </c>
      <c r="F177" s="1789">
        <v>2312</v>
      </c>
      <c r="G177" s="1121">
        <v>450</v>
      </c>
      <c r="H177" s="1112">
        <f t="shared" si="7"/>
        <v>641</v>
      </c>
      <c r="I177" s="1123" t="s">
        <v>1934</v>
      </c>
    </row>
    <row r="178" spans="1:9" ht="13.5" customHeight="1" x14ac:dyDescent="0.2">
      <c r="A178" s="1113" t="s">
        <v>374</v>
      </c>
      <c r="B178" s="1155" t="s">
        <v>1747</v>
      </c>
      <c r="C178" s="1113">
        <v>0</v>
      </c>
      <c r="D178" s="1121">
        <v>0</v>
      </c>
      <c r="E178" s="1121">
        <v>50</v>
      </c>
      <c r="F178" s="1789">
        <v>2390</v>
      </c>
      <c r="G178" s="1121">
        <v>50</v>
      </c>
      <c r="H178" s="1112">
        <f t="shared" si="7"/>
        <v>72</v>
      </c>
      <c r="I178" s="1108"/>
    </row>
    <row r="179" spans="1:9" ht="13.5" customHeight="1" x14ac:dyDescent="0.2">
      <c r="A179" s="1138">
        <v>19</v>
      </c>
      <c r="B179" s="1809" t="s">
        <v>1748</v>
      </c>
      <c r="C179" s="1810"/>
      <c r="D179" s="1143"/>
      <c r="E179" s="1143"/>
      <c r="F179" s="1791"/>
      <c r="G179" s="1143"/>
      <c r="H179" s="1811"/>
      <c r="I179" s="1812"/>
    </row>
    <row r="180" spans="1:9" ht="13.5" customHeight="1" x14ac:dyDescent="0.2">
      <c r="A180" s="1135" t="s">
        <v>381</v>
      </c>
      <c r="B180" s="1113" t="s">
        <v>1749</v>
      </c>
      <c r="C180" s="1112">
        <v>116</v>
      </c>
      <c r="D180" s="1112">
        <v>116</v>
      </c>
      <c r="E180" s="1130">
        <v>0</v>
      </c>
      <c r="F180" s="1785">
        <v>2279</v>
      </c>
      <c r="G180" s="1130">
        <v>0</v>
      </c>
      <c r="H180" s="1112">
        <f t="shared" si="7"/>
        <v>0</v>
      </c>
      <c r="I180" s="1108"/>
    </row>
    <row r="181" spans="1:9" x14ac:dyDescent="0.2">
      <c r="C181" s="1156"/>
      <c r="D181" s="1156"/>
      <c r="E181" s="1157"/>
      <c r="G181" s="1156"/>
      <c r="H181" s="1158"/>
    </row>
    <row r="182" spans="1:9" x14ac:dyDescent="0.2">
      <c r="A182" s="2440" t="s">
        <v>1750</v>
      </c>
      <c r="B182" s="2441"/>
      <c r="C182" s="1159">
        <f>SUM(C13,C59,C95)</f>
        <v>13059</v>
      </c>
      <c r="D182" s="1159">
        <f>SUM(D13,D59,D95)</f>
        <v>12637</v>
      </c>
      <c r="E182" s="1160">
        <f>SUM(E13,E59,E95)</f>
        <v>15785</v>
      </c>
      <c r="F182" s="1161"/>
      <c r="G182" s="1159">
        <f>SUM(G13,G59,G95)</f>
        <v>15785</v>
      </c>
      <c r="H182" s="1159">
        <f>SUM(H13,H59,H95)</f>
        <v>22504</v>
      </c>
      <c r="I182" s="1162"/>
    </row>
    <row r="183" spans="1:9" x14ac:dyDescent="0.2">
      <c r="E183" s="1163"/>
    </row>
    <row r="184" spans="1:9" x14ac:dyDescent="0.2">
      <c r="E184" s="1163"/>
    </row>
    <row r="185" spans="1:9" x14ac:dyDescent="0.2">
      <c r="E185" s="1163"/>
    </row>
    <row r="186" spans="1:9" x14ac:dyDescent="0.2">
      <c r="E186" s="1163"/>
    </row>
    <row r="187" spans="1:9" x14ac:dyDescent="0.2">
      <c r="E187" s="1163"/>
    </row>
    <row r="188" spans="1:9" x14ac:dyDescent="0.2">
      <c r="E188" s="1163"/>
    </row>
    <row r="189" spans="1:9" x14ac:dyDescent="0.2">
      <c r="E189" s="1163"/>
    </row>
    <row r="190" spans="1:9" x14ac:dyDescent="0.2">
      <c r="F190" s="1156"/>
      <c r="G190" s="1156"/>
    </row>
  </sheetData>
  <sheetProtection password="CA5B" sheet="1" objects="1" scenarios="1"/>
  <mergeCells count="13">
    <mergeCell ref="E1:I2"/>
    <mergeCell ref="A182:B182"/>
    <mergeCell ref="C6:F6"/>
    <mergeCell ref="C7:I7"/>
    <mergeCell ref="A8:I8"/>
    <mergeCell ref="C9:I9"/>
    <mergeCell ref="C10:F10"/>
    <mergeCell ref="C11:I11"/>
    <mergeCell ref="A13:B13"/>
    <mergeCell ref="C56:F56"/>
    <mergeCell ref="A59:B59"/>
    <mergeCell ref="C92:F92"/>
    <mergeCell ref="A95:B95"/>
  </mergeCells>
  <pageMargins left="0.98425196850393704" right="0.19685039370078741" top="0.39370078740157483" bottom="0.19685039370078741" header="0.51181102362204722" footer="0.51181102362204722"/>
  <pageSetup paperSize="9" scale="6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0"/>
  <sheetViews>
    <sheetView workbookViewId="0">
      <selection activeCell="J10" sqref="J10"/>
    </sheetView>
  </sheetViews>
  <sheetFormatPr defaultColWidth="9.140625" defaultRowHeight="12" x14ac:dyDescent="0.2"/>
  <cols>
    <col min="1" max="1" width="6.140625" style="947" customWidth="1"/>
    <col min="2" max="2" width="43.5703125" style="947" customWidth="1"/>
    <col min="3" max="3" width="11.85546875" style="947" customWidth="1"/>
    <col min="4" max="4" width="11.140625" style="947" customWidth="1"/>
    <col min="5" max="5" width="10.28515625" style="947" customWidth="1"/>
    <col min="6" max="6" width="10.5703125" style="947" customWidth="1"/>
    <col min="7" max="7" width="9.7109375" style="947" hidden="1" customWidth="1"/>
    <col min="8" max="8" width="9.7109375" style="947" customWidth="1"/>
    <col min="9" max="9" width="16.7109375" style="947" customWidth="1"/>
    <col min="10" max="16384" width="9.140625" style="947"/>
  </cols>
  <sheetData>
    <row r="1" spans="1:9" x14ac:dyDescent="0.2">
      <c r="E1" s="2450" t="s">
        <v>2208</v>
      </c>
      <c r="F1" s="2451"/>
      <c r="G1" s="2451"/>
      <c r="H1" s="2451"/>
      <c r="I1" s="2451"/>
    </row>
    <row r="2" spans="1:9" x14ac:dyDescent="0.2">
      <c r="E2" s="2451"/>
      <c r="F2" s="2451"/>
      <c r="G2" s="2451"/>
      <c r="H2" s="2451"/>
      <c r="I2" s="2451"/>
    </row>
    <row r="3" spans="1:9" x14ac:dyDescent="0.2">
      <c r="E3" s="2451"/>
      <c r="F3" s="2451"/>
      <c r="G3" s="2451"/>
      <c r="H3" s="2451"/>
      <c r="I3" s="2451"/>
    </row>
    <row r="4" spans="1:9" x14ac:dyDescent="0.2">
      <c r="E4" s="1894"/>
      <c r="F4" s="1894"/>
      <c r="G4" s="1894"/>
      <c r="H4" s="1894"/>
      <c r="I4" s="1894"/>
    </row>
    <row r="5" spans="1:9" x14ac:dyDescent="0.2">
      <c r="E5" s="1894"/>
      <c r="F5" s="1894"/>
      <c r="G5" s="1894"/>
      <c r="H5" s="1894"/>
      <c r="I5" s="1894"/>
    </row>
    <row r="6" spans="1:9" x14ac:dyDescent="0.2">
      <c r="E6" s="1894"/>
      <c r="F6" s="1894"/>
      <c r="G6" s="1894"/>
      <c r="H6" s="1894"/>
      <c r="I6" s="1894"/>
    </row>
    <row r="7" spans="1:9" x14ac:dyDescent="0.2">
      <c r="A7" s="948" t="s">
        <v>1751</v>
      </c>
      <c r="B7" s="957"/>
      <c r="C7" s="2457"/>
      <c r="D7" s="2457"/>
      <c r="E7" s="2457"/>
      <c r="F7" s="2457"/>
      <c r="G7" s="2457"/>
      <c r="H7" s="2457"/>
      <c r="I7" s="2457"/>
    </row>
    <row r="8" spans="1:9" x14ac:dyDescent="0.2">
      <c r="A8" s="948" t="s">
        <v>1752</v>
      </c>
      <c r="B8" s="957"/>
      <c r="C8" s="2458"/>
      <c r="D8" s="2458"/>
      <c r="E8" s="2458"/>
      <c r="F8" s="2458"/>
      <c r="G8" s="2458"/>
      <c r="H8" s="2458"/>
      <c r="I8" s="2458"/>
    </row>
    <row r="9" spans="1:9" ht="15.75" x14ac:dyDescent="0.25">
      <c r="A9" s="2459" t="s">
        <v>113</v>
      </c>
      <c r="B9" s="2459"/>
      <c r="C9" s="2459"/>
      <c r="D9" s="2459"/>
      <c r="E9" s="2459"/>
      <c r="F9" s="2459"/>
      <c r="G9" s="2459"/>
      <c r="H9" s="2459"/>
      <c r="I9" s="2459"/>
    </row>
    <row r="10" spans="1:9" x14ac:dyDescent="0.2">
      <c r="A10" s="948" t="s">
        <v>1753</v>
      </c>
      <c r="C10" s="2457"/>
      <c r="D10" s="2457"/>
      <c r="E10" s="2457"/>
      <c r="F10" s="2457"/>
      <c r="G10" s="2457"/>
      <c r="H10" s="2457"/>
      <c r="I10" s="2457"/>
    </row>
    <row r="11" spans="1:9" x14ac:dyDescent="0.2">
      <c r="A11" s="948" t="s">
        <v>1754</v>
      </c>
      <c r="C11" s="945"/>
      <c r="D11" s="945"/>
      <c r="E11" s="945"/>
      <c r="F11" s="945"/>
      <c r="G11" s="945"/>
      <c r="H11" s="945"/>
      <c r="I11" s="945"/>
    </row>
    <row r="12" spans="1:9" x14ac:dyDescent="0.2">
      <c r="A12" s="948" t="s">
        <v>1667</v>
      </c>
      <c r="C12" s="2452"/>
      <c r="D12" s="2452"/>
      <c r="E12" s="2452"/>
      <c r="F12" s="2452"/>
      <c r="G12" s="2452"/>
      <c r="H12" s="2452"/>
      <c r="I12" s="2452"/>
    </row>
    <row r="13" spans="1:9" ht="48" x14ac:dyDescent="0.2">
      <c r="A13" s="958" t="s">
        <v>47</v>
      </c>
      <c r="B13" s="958" t="s">
        <v>119</v>
      </c>
      <c r="C13" s="958" t="s">
        <v>120</v>
      </c>
      <c r="D13" s="958" t="s">
        <v>121</v>
      </c>
      <c r="E13" s="958" t="s">
        <v>122</v>
      </c>
      <c r="F13" s="958" t="s">
        <v>129</v>
      </c>
      <c r="G13" s="958" t="s">
        <v>124</v>
      </c>
      <c r="H13" s="958" t="s">
        <v>2165</v>
      </c>
      <c r="I13" s="958" t="s">
        <v>126</v>
      </c>
    </row>
    <row r="14" spans="1:9" x14ac:dyDescent="0.2">
      <c r="A14" s="2453" t="s">
        <v>130</v>
      </c>
      <c r="B14" s="2454"/>
      <c r="C14" s="966">
        <f>SUM(C15:C42)</f>
        <v>124020</v>
      </c>
      <c r="D14" s="966">
        <f t="shared" ref="D14:E14" si="0">SUM(D15:D42)</f>
        <v>124020</v>
      </c>
      <c r="E14" s="966">
        <f t="shared" si="0"/>
        <v>140000</v>
      </c>
      <c r="F14" s="959"/>
      <c r="G14" s="959">
        <f>SUM(G15:G42)</f>
        <v>124264.26334800001</v>
      </c>
      <c r="H14" s="959">
        <f>SUM(H15:H42)</f>
        <v>172161</v>
      </c>
      <c r="I14" s="952"/>
    </row>
    <row r="15" spans="1:9" x14ac:dyDescent="0.2">
      <c r="A15" s="952">
        <v>1</v>
      </c>
      <c r="B15" s="952" t="s">
        <v>1755</v>
      </c>
      <c r="C15" s="967">
        <v>3180</v>
      </c>
      <c r="D15" s="967">
        <v>3180</v>
      </c>
      <c r="E15" s="968">
        <v>0</v>
      </c>
      <c r="F15" s="1206">
        <v>2279</v>
      </c>
      <c r="G15" s="949"/>
      <c r="H15" s="949"/>
      <c r="I15" s="952"/>
    </row>
    <row r="16" spans="1:9" x14ac:dyDescent="0.2">
      <c r="A16" s="952">
        <v>2</v>
      </c>
      <c r="B16" s="952" t="s">
        <v>1756</v>
      </c>
      <c r="C16" s="967">
        <v>3180</v>
      </c>
      <c r="D16" s="967">
        <v>3180</v>
      </c>
      <c r="E16" s="967">
        <v>3500</v>
      </c>
      <c r="F16" s="1206">
        <v>2279</v>
      </c>
      <c r="G16" s="949">
        <f>H16*0.702804</f>
        <v>3270.1470119999999</v>
      </c>
      <c r="H16" s="949">
        <v>4653</v>
      </c>
      <c r="I16" s="952"/>
    </row>
    <row r="17" spans="1:9" x14ac:dyDescent="0.2">
      <c r="A17" s="952">
        <v>3</v>
      </c>
      <c r="B17" s="952" t="s">
        <v>1757</v>
      </c>
      <c r="C17" s="967">
        <v>3180</v>
      </c>
      <c r="D17" s="967">
        <v>3180</v>
      </c>
      <c r="E17" s="967">
        <v>3500</v>
      </c>
      <c r="F17" s="1206">
        <v>2279</v>
      </c>
      <c r="G17" s="949">
        <f>H17*0.702804</f>
        <v>3270.1470119999999</v>
      </c>
      <c r="H17" s="949">
        <v>4653</v>
      </c>
      <c r="I17" s="952"/>
    </row>
    <row r="18" spans="1:9" x14ac:dyDescent="0.2">
      <c r="A18" s="952">
        <v>4</v>
      </c>
      <c r="B18" s="952" t="s">
        <v>1758</v>
      </c>
      <c r="C18" s="967">
        <v>3180</v>
      </c>
      <c r="D18" s="967">
        <v>3180</v>
      </c>
      <c r="E18" s="968">
        <v>0</v>
      </c>
      <c r="F18" s="1206">
        <v>2279</v>
      </c>
      <c r="G18" s="949"/>
      <c r="H18" s="949">
        <f t="shared" ref="H18:H31" si="1">ROUNDUP(G18/0.702804,0)</f>
        <v>0</v>
      </c>
      <c r="I18" s="952"/>
    </row>
    <row r="19" spans="1:9" ht="24" x14ac:dyDescent="0.2">
      <c r="A19" s="1699">
        <v>5</v>
      </c>
      <c r="B19" s="1699" t="s">
        <v>1759</v>
      </c>
      <c r="C19" s="1700">
        <f>3180+3180</f>
        <v>6360</v>
      </c>
      <c r="D19" s="1700">
        <f>3180+3180</f>
        <v>6360</v>
      </c>
      <c r="E19" s="1701">
        <v>0</v>
      </c>
      <c r="F19" s="1206">
        <v>2279</v>
      </c>
      <c r="G19" s="1206"/>
      <c r="H19" s="1206">
        <f t="shared" si="1"/>
        <v>0</v>
      </c>
      <c r="I19" s="1699"/>
    </row>
    <row r="20" spans="1:9" x14ac:dyDescent="0.2">
      <c r="A20" s="1699">
        <v>6</v>
      </c>
      <c r="B20" s="1699" t="s">
        <v>1760</v>
      </c>
      <c r="C20" s="1700">
        <f>3180+3180+3180</f>
        <v>9540</v>
      </c>
      <c r="D20" s="1700">
        <f>3180+3180+3180</f>
        <v>9540</v>
      </c>
      <c r="E20" s="1701">
        <v>21000</v>
      </c>
      <c r="F20" s="1206">
        <v>2279</v>
      </c>
      <c r="G20" s="1206">
        <v>13080</v>
      </c>
      <c r="H20" s="1206">
        <v>27918</v>
      </c>
      <c r="I20" s="1699" t="s">
        <v>1989</v>
      </c>
    </row>
    <row r="21" spans="1:9" ht="24" x14ac:dyDescent="0.2">
      <c r="A21" s="952">
        <v>7</v>
      </c>
      <c r="B21" s="952" t="s">
        <v>1761</v>
      </c>
      <c r="C21" s="969">
        <v>22260</v>
      </c>
      <c r="D21" s="969">
        <v>22260</v>
      </c>
      <c r="E21" s="970">
        <v>24500</v>
      </c>
      <c r="F21" s="1206">
        <v>2279</v>
      </c>
      <c r="G21" s="949">
        <f>H21*0.702804</f>
        <v>22891.029083999998</v>
      </c>
      <c r="H21" s="949">
        <v>32571</v>
      </c>
      <c r="I21" s="960" t="s">
        <v>1762</v>
      </c>
    </row>
    <row r="22" spans="1:9" x14ac:dyDescent="0.2">
      <c r="A22" s="952">
        <v>8</v>
      </c>
      <c r="B22" s="961" t="s">
        <v>1763</v>
      </c>
      <c r="C22" s="971">
        <v>19080</v>
      </c>
      <c r="D22" s="971">
        <v>19080</v>
      </c>
      <c r="E22" s="972"/>
      <c r="F22" s="1206">
        <v>2279</v>
      </c>
      <c r="G22" s="949"/>
      <c r="H22" s="949">
        <f t="shared" si="1"/>
        <v>0</v>
      </c>
      <c r="I22" s="958"/>
    </row>
    <row r="23" spans="1:9" x14ac:dyDescent="0.2">
      <c r="A23" s="952">
        <v>9</v>
      </c>
      <c r="B23" s="952" t="s">
        <v>1764</v>
      </c>
      <c r="C23" s="967">
        <v>3180</v>
      </c>
      <c r="D23" s="967">
        <v>3180</v>
      </c>
      <c r="E23" s="967">
        <v>3500</v>
      </c>
      <c r="F23" s="1206">
        <v>2279</v>
      </c>
      <c r="G23" s="949">
        <f>H23*0.702804</f>
        <v>3270.1470119999999</v>
      </c>
      <c r="H23" s="949">
        <v>4653</v>
      </c>
      <c r="I23" s="952"/>
    </row>
    <row r="24" spans="1:9" ht="24" x14ac:dyDescent="0.2">
      <c r="A24" s="952">
        <v>10</v>
      </c>
      <c r="B24" s="952" t="s">
        <v>1765</v>
      </c>
      <c r="C24" s="967">
        <v>22260</v>
      </c>
      <c r="D24" s="967">
        <v>22260</v>
      </c>
      <c r="E24" s="968">
        <v>24500</v>
      </c>
      <c r="F24" s="949">
        <v>2279</v>
      </c>
      <c r="G24" s="949">
        <f>H24*0.702804</f>
        <v>22891.029083999998</v>
      </c>
      <c r="H24" s="949">
        <v>32571</v>
      </c>
      <c r="I24" s="952" t="s">
        <v>1766</v>
      </c>
    </row>
    <row r="25" spans="1:9" x14ac:dyDescent="0.2">
      <c r="A25" s="952">
        <v>11</v>
      </c>
      <c r="B25" s="952" t="s">
        <v>1767</v>
      </c>
      <c r="C25" s="967">
        <v>3180</v>
      </c>
      <c r="D25" s="967">
        <v>3180</v>
      </c>
      <c r="E25" s="968">
        <v>0</v>
      </c>
      <c r="F25" s="949">
        <v>2279</v>
      </c>
      <c r="G25" s="949"/>
      <c r="H25" s="949">
        <f t="shared" si="1"/>
        <v>0</v>
      </c>
      <c r="I25" s="952"/>
    </row>
    <row r="26" spans="1:9" ht="24" x14ac:dyDescent="0.2">
      <c r="A26" s="952">
        <v>12</v>
      </c>
      <c r="B26" s="952" t="s">
        <v>1768</v>
      </c>
      <c r="C26" s="967">
        <v>3180</v>
      </c>
      <c r="D26" s="967">
        <v>3180</v>
      </c>
      <c r="E26" s="968">
        <v>0</v>
      </c>
      <c r="F26" s="949">
        <v>2279</v>
      </c>
      <c r="G26" s="949"/>
      <c r="H26" s="949">
        <f t="shared" si="1"/>
        <v>0</v>
      </c>
      <c r="I26" s="952"/>
    </row>
    <row r="27" spans="1:9" ht="24" x14ac:dyDescent="0.2">
      <c r="A27" s="952">
        <v>13</v>
      </c>
      <c r="B27" s="952" t="s">
        <v>1769</v>
      </c>
      <c r="C27" s="967">
        <v>3180</v>
      </c>
      <c r="D27" s="967">
        <v>3180</v>
      </c>
      <c r="E27" s="968">
        <v>0</v>
      </c>
      <c r="F27" s="949">
        <v>2279</v>
      </c>
      <c r="G27" s="949"/>
      <c r="H27" s="949">
        <f t="shared" si="1"/>
        <v>0</v>
      </c>
      <c r="I27" s="952"/>
    </row>
    <row r="28" spans="1:9" x14ac:dyDescent="0.2">
      <c r="A28" s="952">
        <v>14</v>
      </c>
      <c r="B28" s="952" t="s">
        <v>1770</v>
      </c>
      <c r="C28" s="967">
        <v>6360</v>
      </c>
      <c r="D28" s="967">
        <v>6360</v>
      </c>
      <c r="E28" s="968">
        <v>0</v>
      </c>
      <c r="F28" s="949">
        <v>2279</v>
      </c>
      <c r="G28" s="949"/>
      <c r="H28" s="949">
        <f t="shared" si="1"/>
        <v>0</v>
      </c>
      <c r="I28" s="952"/>
    </row>
    <row r="29" spans="1:9" x14ac:dyDescent="0.2">
      <c r="A29" s="952">
        <v>15</v>
      </c>
      <c r="B29" s="952" t="s">
        <v>1771</v>
      </c>
      <c r="C29" s="967">
        <v>3180</v>
      </c>
      <c r="D29" s="967">
        <v>3180</v>
      </c>
      <c r="E29" s="967">
        <v>3500</v>
      </c>
      <c r="F29" s="949">
        <v>2279</v>
      </c>
      <c r="G29" s="949">
        <f>H29*0.702804</f>
        <v>3270.1470119999999</v>
      </c>
      <c r="H29" s="949">
        <v>4653</v>
      </c>
      <c r="I29" s="952"/>
    </row>
    <row r="30" spans="1:9" x14ac:dyDescent="0.2">
      <c r="A30" s="952">
        <v>16</v>
      </c>
      <c r="B30" s="952" t="s">
        <v>1772</v>
      </c>
      <c r="C30" s="967">
        <v>3180</v>
      </c>
      <c r="D30" s="967">
        <v>3180</v>
      </c>
      <c r="E30" s="968">
        <v>3500</v>
      </c>
      <c r="F30" s="949">
        <v>2279</v>
      </c>
      <c r="G30" s="949">
        <v>3270</v>
      </c>
      <c r="H30" s="949">
        <f t="shared" si="1"/>
        <v>4653</v>
      </c>
      <c r="I30" s="952"/>
    </row>
    <row r="31" spans="1:9" ht="24" x14ac:dyDescent="0.2">
      <c r="A31" s="952">
        <v>17</v>
      </c>
      <c r="B31" s="952" t="s">
        <v>1773</v>
      </c>
      <c r="C31" s="967">
        <v>3180</v>
      </c>
      <c r="D31" s="967">
        <v>3180</v>
      </c>
      <c r="E31" s="968"/>
      <c r="F31" s="949">
        <v>2279</v>
      </c>
      <c r="G31" s="949"/>
      <c r="H31" s="949">
        <f t="shared" si="1"/>
        <v>0</v>
      </c>
      <c r="I31" s="952"/>
    </row>
    <row r="32" spans="1:9" x14ac:dyDescent="0.2">
      <c r="A32" s="952">
        <v>18</v>
      </c>
      <c r="B32" s="952" t="s">
        <v>1774</v>
      </c>
      <c r="C32" s="968">
        <v>3180</v>
      </c>
      <c r="D32" s="968">
        <v>3180</v>
      </c>
      <c r="E32" s="967">
        <v>3500</v>
      </c>
      <c r="F32" s="949">
        <v>2279</v>
      </c>
      <c r="G32" s="1253">
        <f>H32*0.702804</f>
        <v>3270.1470119999999</v>
      </c>
      <c r="H32" s="949">
        <v>4653</v>
      </c>
      <c r="I32" s="952"/>
    </row>
    <row r="33" spans="1:9" x14ac:dyDescent="0.2">
      <c r="A33" s="952">
        <v>19</v>
      </c>
      <c r="B33" s="952" t="s">
        <v>1775</v>
      </c>
      <c r="C33" s="968">
        <v>0</v>
      </c>
      <c r="D33" s="968">
        <v>0</v>
      </c>
      <c r="E33" s="967">
        <v>3500</v>
      </c>
      <c r="F33" s="949">
        <v>2279</v>
      </c>
      <c r="G33" s="1253">
        <f t="shared" ref="G33:G41" si="2">H33*0.702804</f>
        <v>3270.1470119999999</v>
      </c>
      <c r="H33" s="949">
        <v>4653</v>
      </c>
      <c r="I33" s="952"/>
    </row>
    <row r="34" spans="1:9" x14ac:dyDescent="0.2">
      <c r="A34" s="952">
        <v>20</v>
      </c>
      <c r="B34" s="952" t="s">
        <v>1776</v>
      </c>
      <c r="C34" s="953">
        <v>0</v>
      </c>
      <c r="D34" s="953">
        <v>0</v>
      </c>
      <c r="E34" s="967">
        <v>3500</v>
      </c>
      <c r="F34" s="949">
        <v>2279</v>
      </c>
      <c r="G34" s="1253">
        <f t="shared" si="2"/>
        <v>3270.1470119999999</v>
      </c>
      <c r="H34" s="949">
        <v>4653</v>
      </c>
      <c r="I34" s="952"/>
    </row>
    <row r="35" spans="1:9" x14ac:dyDescent="0.2">
      <c r="A35" s="952">
        <v>21</v>
      </c>
      <c r="B35" s="952" t="s">
        <v>1777</v>
      </c>
      <c r="C35" s="953">
        <v>0</v>
      </c>
      <c r="D35" s="953">
        <v>0</v>
      </c>
      <c r="E35" s="967">
        <v>3500</v>
      </c>
      <c r="F35" s="949">
        <v>2279</v>
      </c>
      <c r="G35" s="1253">
        <f t="shared" si="2"/>
        <v>3270.1470119999999</v>
      </c>
      <c r="H35" s="949">
        <v>4653</v>
      </c>
      <c r="I35" s="952"/>
    </row>
    <row r="36" spans="1:9" x14ac:dyDescent="0.2">
      <c r="A36" s="952">
        <v>22</v>
      </c>
      <c r="B36" s="952" t="s">
        <v>1778</v>
      </c>
      <c r="C36" s="953">
        <v>0</v>
      </c>
      <c r="D36" s="953">
        <v>0</v>
      </c>
      <c r="E36" s="968">
        <v>7000</v>
      </c>
      <c r="F36" s="949">
        <v>2279</v>
      </c>
      <c r="G36" s="1253">
        <f t="shared" si="2"/>
        <v>6540.2940239999998</v>
      </c>
      <c r="H36" s="949">
        <v>9306</v>
      </c>
      <c r="I36" s="952" t="s">
        <v>1779</v>
      </c>
    </row>
    <row r="37" spans="1:9" x14ac:dyDescent="0.2">
      <c r="A37" s="952">
        <v>23</v>
      </c>
      <c r="B37" s="952" t="s">
        <v>1780</v>
      </c>
      <c r="C37" s="953">
        <v>0</v>
      </c>
      <c r="D37" s="953">
        <v>0</v>
      </c>
      <c r="E37" s="967">
        <v>3500</v>
      </c>
      <c r="F37" s="949">
        <v>2279</v>
      </c>
      <c r="G37" s="1253">
        <f t="shared" si="2"/>
        <v>3270.1470119999999</v>
      </c>
      <c r="H37" s="949">
        <v>4653</v>
      </c>
      <c r="I37" s="952"/>
    </row>
    <row r="38" spans="1:9" ht="24" x14ac:dyDescent="0.2">
      <c r="A38" s="952">
        <v>24</v>
      </c>
      <c r="B38" s="952" t="s">
        <v>1781</v>
      </c>
      <c r="C38" s="953">
        <v>0</v>
      </c>
      <c r="D38" s="953">
        <v>0</v>
      </c>
      <c r="E38" s="967">
        <v>3500</v>
      </c>
      <c r="F38" s="949">
        <v>2279</v>
      </c>
      <c r="G38" s="1253">
        <f>H38*0.702804</f>
        <v>3270.1470119999999</v>
      </c>
      <c r="H38" s="949">
        <v>4653</v>
      </c>
      <c r="I38" s="952"/>
    </row>
    <row r="39" spans="1:9" x14ac:dyDescent="0.2">
      <c r="A39" s="952">
        <v>25</v>
      </c>
      <c r="B39" s="947" t="s">
        <v>1782</v>
      </c>
      <c r="C39" s="955">
        <v>0</v>
      </c>
      <c r="D39" s="955">
        <v>0</v>
      </c>
      <c r="E39" s="967">
        <v>3500</v>
      </c>
      <c r="F39" s="964">
        <v>2279</v>
      </c>
      <c r="G39" s="1253">
        <f t="shared" si="2"/>
        <v>3270.1470119999999</v>
      </c>
      <c r="H39" s="949">
        <v>4653</v>
      </c>
      <c r="I39" s="954"/>
    </row>
    <row r="40" spans="1:9" x14ac:dyDescent="0.2">
      <c r="A40" s="952">
        <v>26</v>
      </c>
      <c r="B40" s="950" t="s">
        <v>1783</v>
      </c>
      <c r="C40" s="953">
        <v>0</v>
      </c>
      <c r="D40" s="953">
        <v>0</v>
      </c>
      <c r="E40" s="967">
        <v>3500</v>
      </c>
      <c r="F40" s="949">
        <v>2279</v>
      </c>
      <c r="G40" s="1253">
        <f t="shared" si="2"/>
        <v>3270.1470119999999</v>
      </c>
      <c r="H40" s="949">
        <v>4653</v>
      </c>
      <c r="I40" s="952"/>
    </row>
    <row r="41" spans="1:9" x14ac:dyDescent="0.2">
      <c r="A41" s="952">
        <v>27</v>
      </c>
      <c r="B41" s="950" t="s">
        <v>1784</v>
      </c>
      <c r="C41" s="953">
        <v>0</v>
      </c>
      <c r="D41" s="953">
        <v>0</v>
      </c>
      <c r="E41" s="967">
        <v>3500</v>
      </c>
      <c r="F41" s="949">
        <v>2279</v>
      </c>
      <c r="G41" s="1253">
        <f t="shared" si="2"/>
        <v>3270.1470119999999</v>
      </c>
      <c r="H41" s="949">
        <v>4653</v>
      </c>
      <c r="I41" s="952"/>
    </row>
    <row r="42" spans="1:9" x14ac:dyDescent="0.2">
      <c r="A42" s="952">
        <v>28</v>
      </c>
      <c r="B42" s="950" t="s">
        <v>1990</v>
      </c>
      <c r="C42" s="953">
        <v>0</v>
      </c>
      <c r="D42" s="953">
        <v>0</v>
      </c>
      <c r="E42" s="968">
        <v>14000</v>
      </c>
      <c r="F42" s="949">
        <v>2279</v>
      </c>
      <c r="G42" s="952">
        <v>13080</v>
      </c>
      <c r="H42" s="949">
        <v>4653</v>
      </c>
      <c r="I42" s="952" t="s">
        <v>1989</v>
      </c>
    </row>
    <row r="43" spans="1:9" x14ac:dyDescent="0.2">
      <c r="A43" s="962"/>
      <c r="C43" s="973"/>
      <c r="D43" s="973"/>
      <c r="E43" s="974"/>
      <c r="F43" s="963"/>
      <c r="G43" s="962"/>
      <c r="H43" s="962"/>
      <c r="I43" s="951"/>
    </row>
    <row r="44" spans="1:9" x14ac:dyDescent="0.2">
      <c r="A44" s="948" t="s">
        <v>1785</v>
      </c>
      <c r="C44" s="945"/>
      <c r="D44" s="945"/>
      <c r="E44" s="945"/>
      <c r="F44" s="945"/>
      <c r="G44" s="945"/>
      <c r="H44" s="945"/>
      <c r="I44" s="945"/>
    </row>
    <row r="45" spans="1:9" x14ac:dyDescent="0.2">
      <c r="A45" s="948" t="s">
        <v>1667</v>
      </c>
      <c r="C45" s="2452"/>
      <c r="D45" s="2452"/>
      <c r="E45" s="946"/>
      <c r="F45" s="946"/>
      <c r="G45" s="946"/>
      <c r="H45" s="946"/>
      <c r="I45" s="946"/>
    </row>
    <row r="46" spans="1:9" ht="48" x14ac:dyDescent="0.2">
      <c r="A46" s="958" t="s">
        <v>47</v>
      </c>
      <c r="B46" s="958" t="s">
        <v>119</v>
      </c>
      <c r="C46" s="958" t="s">
        <v>120</v>
      </c>
      <c r="D46" s="958" t="s">
        <v>121</v>
      </c>
      <c r="E46" s="958" t="s">
        <v>122</v>
      </c>
      <c r="F46" s="958" t="s">
        <v>129</v>
      </c>
      <c r="G46" s="958" t="s">
        <v>124</v>
      </c>
      <c r="H46" s="958" t="s">
        <v>2165</v>
      </c>
      <c r="I46" s="958" t="s">
        <v>126</v>
      </c>
    </row>
    <row r="47" spans="1:9" x14ac:dyDescent="0.2">
      <c r="A47" s="2453" t="s">
        <v>55</v>
      </c>
      <c r="B47" s="2454"/>
      <c r="C47" s="959">
        <f>SUM(C48:C48)</f>
        <v>0</v>
      </c>
      <c r="D47" s="959">
        <f>SUM(D48:D48)</f>
        <v>0</v>
      </c>
      <c r="E47" s="975">
        <f>SUM(E48:E48)</f>
        <v>10000</v>
      </c>
      <c r="F47" s="959"/>
      <c r="G47" s="959">
        <f>SUM(G48:G48)</f>
        <v>0</v>
      </c>
      <c r="H47" s="959">
        <f>SUM(H48:H48)</f>
        <v>0</v>
      </c>
      <c r="I47" s="952"/>
    </row>
    <row r="48" spans="1:9" x14ac:dyDescent="0.2">
      <c r="A48" s="952">
        <v>1</v>
      </c>
      <c r="B48" s="952" t="s">
        <v>1764</v>
      </c>
      <c r="C48" s="949">
        <v>0</v>
      </c>
      <c r="D48" s="949">
        <v>0</v>
      </c>
      <c r="E48" s="968">
        <v>10000</v>
      </c>
      <c r="F48" s="949">
        <v>2279</v>
      </c>
      <c r="G48" s="949"/>
      <c r="H48" s="949">
        <f t="shared" ref="H48" si="3">ROUNDUP(G48/0.702804,0)</f>
        <v>0</v>
      </c>
      <c r="I48" s="952"/>
    </row>
    <row r="49" spans="1:9" x14ac:dyDescent="0.2">
      <c r="A49" s="962"/>
      <c r="B49" s="962"/>
      <c r="C49" s="963"/>
      <c r="D49" s="963"/>
      <c r="E49" s="974"/>
      <c r="F49" s="963"/>
      <c r="G49" s="963"/>
      <c r="H49" s="963"/>
      <c r="I49" s="962"/>
    </row>
    <row r="50" spans="1:9" x14ac:dyDescent="0.2">
      <c r="A50" s="2455" t="s">
        <v>1750</v>
      </c>
      <c r="B50" s="2456"/>
      <c r="C50" s="976">
        <f>SUM(C14,C47,)</f>
        <v>124020</v>
      </c>
      <c r="D50" s="976">
        <f>SUM(D14,D47,)</f>
        <v>124020</v>
      </c>
      <c r="E50" s="976">
        <f>SUM(E14,E47,)</f>
        <v>150000</v>
      </c>
      <c r="F50" s="965"/>
      <c r="G50" s="965">
        <f>SUM(G14,G47,)</f>
        <v>124264.26334800001</v>
      </c>
      <c r="H50" s="965">
        <f>SUM(H14,H47,)</f>
        <v>172161</v>
      </c>
      <c r="I50" s="956"/>
    </row>
  </sheetData>
  <sheetProtection password="CA5B" sheet="1" objects="1" scenarios="1"/>
  <mergeCells count="10">
    <mergeCell ref="E1:I3"/>
    <mergeCell ref="C45:D45"/>
    <mergeCell ref="A47:B47"/>
    <mergeCell ref="A50:B50"/>
    <mergeCell ref="C7:I7"/>
    <mergeCell ref="C8:I8"/>
    <mergeCell ref="A9:I9"/>
    <mergeCell ref="C10:I10"/>
    <mergeCell ref="C12:I12"/>
    <mergeCell ref="A14:B14"/>
  </mergeCells>
  <pageMargins left="0.39370078740157483" right="0.19685039370078741" top="0.78740157480314965" bottom="0.78740157480314965" header="0.51181102362204722" footer="0.51181102362204722"/>
  <pageSetup paperSize="9" scale="75" orientation="portrait" horizontalDpi="4294967293" verticalDpi="4294967293" r:id="rId1"/>
  <headerFooter alignWithMargins="0">
    <oddFooter xml:space="preserve">&amp;R&amp;"Times New Roman,Regular"&amp;8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L41"/>
  <sheetViews>
    <sheetView workbookViewId="0">
      <selection activeCell="C6" sqref="C6"/>
    </sheetView>
  </sheetViews>
  <sheetFormatPr defaultRowHeight="12" x14ac:dyDescent="0.2"/>
  <cols>
    <col min="1" max="1" width="9.140625" style="215"/>
    <col min="2" max="2" width="6.140625" style="215" customWidth="1"/>
    <col min="3" max="3" width="34" style="215" customWidth="1"/>
    <col min="4" max="4" width="11.85546875" style="215" customWidth="1"/>
    <col min="5" max="5" width="11.140625" style="215" customWidth="1"/>
    <col min="6" max="6" width="10.28515625" style="215" customWidth="1"/>
    <col min="7" max="7" width="10.5703125" style="215" customWidth="1"/>
    <col min="8" max="8" width="9.7109375" style="215" hidden="1" customWidth="1"/>
    <col min="9" max="9" width="9.7109375" style="215" customWidth="1"/>
    <col min="10" max="10" width="16.7109375" style="215" customWidth="1"/>
    <col min="11" max="16384" width="9.140625" style="215"/>
  </cols>
  <sheetData>
    <row r="1" spans="2:10" x14ac:dyDescent="0.2">
      <c r="F1" s="1978" t="s">
        <v>2209</v>
      </c>
      <c r="G1" s="1979"/>
      <c r="H1" s="1979"/>
      <c r="I1" s="1979"/>
      <c r="J1" s="1979"/>
    </row>
    <row r="2" spans="2:10" x14ac:dyDescent="0.2">
      <c r="F2" s="1979"/>
      <c r="G2" s="1979"/>
      <c r="H2" s="1979"/>
      <c r="I2" s="1979"/>
      <c r="J2" s="1979"/>
    </row>
    <row r="3" spans="2:10" x14ac:dyDescent="0.2">
      <c r="F3" s="1979"/>
      <c r="G3" s="1979"/>
      <c r="H3" s="1979"/>
      <c r="I3" s="1979"/>
      <c r="J3" s="1979"/>
    </row>
    <row r="4" spans="2:10" x14ac:dyDescent="0.2">
      <c r="F4" s="1880"/>
      <c r="G4" s="1880"/>
      <c r="H4" s="1880"/>
      <c r="I4" s="1880"/>
      <c r="J4" s="1880"/>
    </row>
    <row r="5" spans="2:10" x14ac:dyDescent="0.2">
      <c r="F5" s="1880"/>
      <c r="G5" s="1880"/>
      <c r="H5" s="1880"/>
      <c r="I5" s="1880"/>
      <c r="J5" s="1880"/>
    </row>
    <row r="6" spans="2:10" x14ac:dyDescent="0.2">
      <c r="F6" s="1880"/>
      <c r="G6" s="1880"/>
      <c r="H6" s="1880"/>
      <c r="I6" s="1880"/>
      <c r="J6" s="1880"/>
    </row>
    <row r="7" spans="2:10" x14ac:dyDescent="0.2">
      <c r="F7" s="1880"/>
      <c r="G7" s="1880"/>
      <c r="H7" s="1880"/>
      <c r="I7" s="1880"/>
      <c r="J7" s="1880"/>
    </row>
    <row r="8" spans="2:10" x14ac:dyDescent="0.2">
      <c r="F8" s="1880"/>
      <c r="G8" s="1880"/>
      <c r="H8" s="1880"/>
      <c r="I8" s="1880"/>
      <c r="J8" s="1880"/>
    </row>
    <row r="9" spans="2:10" x14ac:dyDescent="0.2">
      <c r="C9" s="216"/>
      <c r="D9" s="2460"/>
      <c r="E9" s="2460"/>
      <c r="F9" s="2460"/>
      <c r="G9" s="2460"/>
      <c r="H9" s="2460"/>
      <c r="I9" s="2460"/>
      <c r="J9" s="2460"/>
    </row>
    <row r="10" spans="2:10" ht="30" customHeight="1" x14ac:dyDescent="0.2">
      <c r="B10" s="2461" t="s">
        <v>1822</v>
      </c>
      <c r="C10" s="2461"/>
      <c r="D10" s="2461"/>
      <c r="E10" s="2461"/>
      <c r="F10" s="2461"/>
      <c r="G10" s="2461"/>
      <c r="H10" s="2461"/>
      <c r="I10" s="2461"/>
      <c r="J10" s="2461"/>
    </row>
    <row r="11" spans="2:10" ht="15.75" x14ac:dyDescent="0.2">
      <c r="B11" s="1079"/>
      <c r="C11" s="1079"/>
      <c r="D11" s="1079"/>
      <c r="E11" s="1079"/>
      <c r="F11" s="1079"/>
      <c r="G11" s="1079"/>
      <c r="H11" s="1079"/>
      <c r="I11" s="1817"/>
      <c r="J11" s="1079"/>
    </row>
    <row r="12" spans="2:10" x14ac:dyDescent="0.2">
      <c r="B12" s="215" t="s">
        <v>1823</v>
      </c>
      <c r="D12" s="215" t="s">
        <v>1824</v>
      </c>
      <c r="E12" s="216"/>
      <c r="F12" s="216"/>
      <c r="G12" s="216"/>
      <c r="H12" s="216"/>
      <c r="I12" s="216"/>
      <c r="J12" s="216"/>
    </row>
    <row r="13" spans="2:10" x14ac:dyDescent="0.2">
      <c r="B13" s="2460" t="s">
        <v>1825</v>
      </c>
      <c r="C13" s="2460"/>
      <c r="D13" s="1076">
        <v>90000056357</v>
      </c>
      <c r="E13" s="216"/>
      <c r="F13" s="216"/>
      <c r="G13" s="216"/>
      <c r="H13" s="216"/>
      <c r="I13" s="216"/>
      <c r="J13" s="216"/>
    </row>
    <row r="14" spans="2:10" x14ac:dyDescent="0.2">
      <c r="B14" s="215" t="s">
        <v>1826</v>
      </c>
      <c r="D14" s="216" t="s">
        <v>1827</v>
      </c>
      <c r="E14" s="216"/>
      <c r="F14" s="216"/>
      <c r="G14" s="216"/>
      <c r="H14" s="216"/>
      <c r="I14" s="216"/>
      <c r="J14" s="216"/>
    </row>
    <row r="15" spans="2:10" x14ac:dyDescent="0.2">
      <c r="D15" s="1076"/>
      <c r="E15" s="1076"/>
      <c r="F15" s="1076"/>
      <c r="G15" s="1076"/>
      <c r="H15" s="1076"/>
      <c r="I15" s="1815"/>
      <c r="J15" s="1076"/>
    </row>
    <row r="16" spans="2:10" x14ac:dyDescent="0.2">
      <c r="B16" s="215" t="s">
        <v>1828</v>
      </c>
      <c r="D16" s="1076" t="s">
        <v>1804</v>
      </c>
      <c r="E16" s="1076"/>
      <c r="F16" s="1076"/>
      <c r="G16" s="1076"/>
      <c r="H16" s="1076"/>
      <c r="I16" s="1815"/>
      <c r="J16" s="1076"/>
    </row>
    <row r="17" spans="2:12" ht="12" customHeight="1" x14ac:dyDescent="0.2">
      <c r="B17" s="215" t="s">
        <v>1829</v>
      </c>
      <c r="D17" s="1080" t="s">
        <v>1331</v>
      </c>
      <c r="E17" s="1081"/>
      <c r="F17" s="1081"/>
      <c r="G17" s="1081"/>
      <c r="H17" s="1081"/>
      <c r="I17" s="1081"/>
      <c r="J17" s="1081"/>
    </row>
    <row r="18" spans="2:12" ht="48" x14ac:dyDescent="0.2">
      <c r="B18" s="1078" t="s">
        <v>47</v>
      </c>
      <c r="C18" s="1078" t="s">
        <v>1830</v>
      </c>
      <c r="D18" s="1078" t="s">
        <v>120</v>
      </c>
      <c r="E18" s="1078" t="s">
        <v>121</v>
      </c>
      <c r="F18" s="1078" t="s">
        <v>122</v>
      </c>
      <c r="G18" s="1078" t="s">
        <v>129</v>
      </c>
      <c r="H18" s="1078" t="s">
        <v>124</v>
      </c>
      <c r="I18" s="1816" t="s">
        <v>2165</v>
      </c>
      <c r="J18" s="1078" t="s">
        <v>126</v>
      </c>
    </row>
    <row r="19" spans="2:12" x14ac:dyDescent="0.2">
      <c r="B19" s="2097" t="s">
        <v>1532</v>
      </c>
      <c r="C19" s="2098"/>
      <c r="D19" s="1082">
        <f>D20</f>
        <v>850</v>
      </c>
      <c r="E19" s="1082">
        <f t="shared" ref="E19" si="0">E20</f>
        <v>0</v>
      </c>
      <c r="F19" s="1082">
        <f>F20</f>
        <v>850</v>
      </c>
      <c r="G19" s="222"/>
      <c r="H19" s="222">
        <f>SUM(H20)</f>
        <v>850</v>
      </c>
      <c r="I19" s="222">
        <f>SUM(I20)</f>
        <v>1209</v>
      </c>
      <c r="J19" s="223"/>
      <c r="L19" s="938"/>
    </row>
    <row r="20" spans="2:12" s="225" customFormat="1" ht="12.75" x14ac:dyDescent="0.2">
      <c r="B20" s="1083">
        <v>1</v>
      </c>
      <c r="C20" s="1084" t="s">
        <v>1831</v>
      </c>
      <c r="D20" s="1085">
        <f>SUM(D21:D22)</f>
        <v>850</v>
      </c>
      <c r="E20" s="1085">
        <f>SUM(E21:E22)</f>
        <v>0</v>
      </c>
      <c r="F20" s="1085">
        <f>SUM(F21:F22)</f>
        <v>850</v>
      </c>
      <c r="G20" s="1086"/>
      <c r="H20" s="1085">
        <f>SUM(H21:H22)</f>
        <v>850</v>
      </c>
      <c r="I20" s="1085">
        <f>SUM(I21:I22)</f>
        <v>1209</v>
      </c>
      <c r="J20" s="1087"/>
    </row>
    <row r="21" spans="2:12" x14ac:dyDescent="0.2">
      <c r="B21" s="220" t="s">
        <v>206</v>
      </c>
      <c r="C21" s="1993" t="s">
        <v>1832</v>
      </c>
      <c r="D21" s="321">
        <v>850</v>
      </c>
      <c r="E21" s="321">
        <v>0</v>
      </c>
      <c r="F21" s="411">
        <v>850</v>
      </c>
      <c r="G21" s="321">
        <v>5239</v>
      </c>
      <c r="H21" s="224">
        <v>850</v>
      </c>
      <c r="I21" s="224">
        <v>1209</v>
      </c>
      <c r="J21" s="223"/>
    </row>
    <row r="22" spans="2:12" x14ac:dyDescent="0.2">
      <c r="B22" s="220" t="s">
        <v>570</v>
      </c>
      <c r="C22" s="1995"/>
      <c r="D22" s="321">
        <v>0</v>
      </c>
      <c r="E22" s="321">
        <v>0</v>
      </c>
      <c r="F22" s="411">
        <v>0</v>
      </c>
      <c r="G22" s="321">
        <v>5239</v>
      </c>
      <c r="H22" s="224">
        <v>0</v>
      </c>
      <c r="I22" s="224">
        <v>0</v>
      </c>
      <c r="J22" s="223"/>
    </row>
    <row r="23" spans="2:12" x14ac:dyDescent="0.2">
      <c r="B23" s="443"/>
      <c r="C23" s="443"/>
      <c r="D23" s="1088"/>
      <c r="E23" s="1088"/>
      <c r="F23" s="467"/>
      <c r="G23" s="467"/>
      <c r="H23" s="467"/>
      <c r="I23" s="467"/>
      <c r="J23" s="443"/>
    </row>
    <row r="24" spans="2:12" x14ac:dyDescent="0.2">
      <c r="B24" s="443"/>
      <c r="C24" s="443"/>
      <c r="D24" s="1088"/>
      <c r="E24" s="1088"/>
      <c r="F24" s="467"/>
      <c r="G24" s="467"/>
      <c r="H24" s="467"/>
      <c r="I24" s="467"/>
      <c r="J24" s="443"/>
    </row>
    <row r="25" spans="2:12" x14ac:dyDescent="0.2">
      <c r="B25" s="215" t="s">
        <v>1828</v>
      </c>
      <c r="D25" s="1076" t="s">
        <v>1833</v>
      </c>
      <c r="E25" s="1076"/>
      <c r="F25" s="1076"/>
      <c r="G25" s="1076"/>
      <c r="H25" s="1076"/>
      <c r="I25" s="1815"/>
      <c r="J25" s="1076"/>
    </row>
    <row r="26" spans="2:12" x14ac:dyDescent="0.2">
      <c r="B26" s="215" t="s">
        <v>1829</v>
      </c>
      <c r="D26" s="1080" t="s">
        <v>1331</v>
      </c>
      <c r="E26" s="1081"/>
      <c r="F26" s="1081"/>
      <c r="G26" s="1081"/>
      <c r="H26" s="1081"/>
      <c r="I26" s="1081"/>
      <c r="J26" s="1081"/>
    </row>
    <row r="27" spans="2:12" ht="48" x14ac:dyDescent="0.2">
      <c r="B27" s="1078" t="s">
        <v>47</v>
      </c>
      <c r="C27" s="1078" t="s">
        <v>1830</v>
      </c>
      <c r="D27" s="1816" t="s">
        <v>120</v>
      </c>
      <c r="E27" s="1816" t="s">
        <v>121</v>
      </c>
      <c r="F27" s="1816" t="s">
        <v>122</v>
      </c>
      <c r="G27" s="1816" t="s">
        <v>129</v>
      </c>
      <c r="H27" s="1816" t="s">
        <v>124</v>
      </c>
      <c r="I27" s="1816" t="s">
        <v>2165</v>
      </c>
      <c r="J27" s="1078" t="s">
        <v>126</v>
      </c>
    </row>
    <row r="28" spans="2:12" x14ac:dyDescent="0.2">
      <c r="B28" s="2097" t="s">
        <v>1532</v>
      </c>
      <c r="C28" s="2098"/>
      <c r="D28" s="1082">
        <f>D29+D34</f>
        <v>657797</v>
      </c>
      <c r="E28" s="1082">
        <f>E29+E34</f>
        <v>19917</v>
      </c>
      <c r="F28" s="1082">
        <f>F29+F34</f>
        <v>1906869</v>
      </c>
      <c r="G28" s="222"/>
      <c r="H28" s="222">
        <f>SUM(H29,H34)</f>
        <v>3016257</v>
      </c>
      <c r="I28" s="222">
        <f>SUM(I29,I34)</f>
        <v>4291748.3518306669</v>
      </c>
      <c r="J28" s="223"/>
    </row>
    <row r="29" spans="2:12" ht="12.75" x14ac:dyDescent="0.2">
      <c r="B29" s="1083">
        <v>1</v>
      </c>
      <c r="C29" s="1084" t="s">
        <v>1831</v>
      </c>
      <c r="D29" s="1085">
        <f>SUM(D30:D33)</f>
        <v>647572</v>
      </c>
      <c r="E29" s="1085">
        <f>SUM(E30:E33)</f>
        <v>9878</v>
      </c>
      <c r="F29" s="1168">
        <f>SUM(F30:F33)</f>
        <v>1906869</v>
      </c>
      <c r="G29" s="1086"/>
      <c r="H29" s="1168">
        <f>SUM(H30:H33)</f>
        <v>1906868</v>
      </c>
      <c r="I29" s="1168">
        <f>SUM(I30:I33)</f>
        <v>2713230.0167045151</v>
      </c>
      <c r="J29" s="1087"/>
    </row>
    <row r="30" spans="2:12" x14ac:dyDescent="0.2">
      <c r="B30" s="220" t="s">
        <v>199</v>
      </c>
      <c r="C30" s="1077" t="s">
        <v>1834</v>
      </c>
      <c r="D30" s="321">
        <v>10330</v>
      </c>
      <c r="E30" s="321">
        <v>9878</v>
      </c>
      <c r="F30" s="224">
        <v>0</v>
      </c>
      <c r="G30" s="321">
        <v>5250</v>
      </c>
      <c r="H30" s="224"/>
      <c r="I30" s="224"/>
      <c r="J30" s="306"/>
    </row>
    <row r="31" spans="2:12" x14ac:dyDescent="0.2">
      <c r="B31" s="220" t="s">
        <v>206</v>
      </c>
      <c r="C31" s="1077" t="s">
        <v>2181</v>
      </c>
      <c r="D31" s="321">
        <v>637242</v>
      </c>
      <c r="E31" s="321">
        <v>0</v>
      </c>
      <c r="F31" s="411">
        <f>634286+351395+451395+451123</f>
        <v>1888199</v>
      </c>
      <c r="G31" s="321">
        <v>5250</v>
      </c>
      <c r="H31" s="224">
        <v>1888198</v>
      </c>
      <c r="I31" s="224">
        <v>2686665</v>
      </c>
      <c r="J31" s="223"/>
    </row>
    <row r="32" spans="2:12" x14ac:dyDescent="0.2">
      <c r="B32" s="220" t="s">
        <v>570</v>
      </c>
      <c r="C32" s="1077" t="s">
        <v>1835</v>
      </c>
      <c r="D32" s="321">
        <v>0</v>
      </c>
      <c r="E32" s="321">
        <v>0</v>
      </c>
      <c r="F32" s="411">
        <f>1766+5298+5298+5299</f>
        <v>17661</v>
      </c>
      <c r="G32" s="321">
        <v>5250</v>
      </c>
      <c r="H32" s="224">
        <v>17661</v>
      </c>
      <c r="I32" s="224">
        <f>H32/0.702804</f>
        <v>25129.339047586527</v>
      </c>
      <c r="J32" s="223"/>
    </row>
    <row r="33" spans="2:10" x14ac:dyDescent="0.2">
      <c r="B33" s="220" t="s">
        <v>1628</v>
      </c>
      <c r="C33" s="1077" t="s">
        <v>1836</v>
      </c>
      <c r="D33" s="321">
        <v>0</v>
      </c>
      <c r="E33" s="321">
        <v>0</v>
      </c>
      <c r="F33" s="411">
        <f>101+302+303+303</f>
        <v>1009</v>
      </c>
      <c r="G33" s="321">
        <v>5250</v>
      </c>
      <c r="H33" s="224">
        <v>1009</v>
      </c>
      <c r="I33" s="224">
        <f>H33/0.702804</f>
        <v>1435.6776569285321</v>
      </c>
      <c r="J33" s="223"/>
    </row>
    <row r="34" spans="2:10" ht="12.75" customHeight="1" x14ac:dyDescent="0.2">
      <c r="B34" s="1089">
        <v>2</v>
      </c>
      <c r="C34" s="1084" t="s">
        <v>1837</v>
      </c>
      <c r="D34" s="1090">
        <f>SUM(D35:D37)</f>
        <v>10225</v>
      </c>
      <c r="E34" s="1090">
        <f>SUM(E35:E37)</f>
        <v>10039</v>
      </c>
      <c r="F34" s="1169">
        <f>SUM(F35:F37)</f>
        <v>0</v>
      </c>
      <c r="G34" s="1090"/>
      <c r="H34" s="1169">
        <f>SUM(H35:H37)</f>
        <v>1109389</v>
      </c>
      <c r="I34" s="1169">
        <f>SUM(I35:I37)</f>
        <v>1578518.3351261518</v>
      </c>
      <c r="J34" s="1091"/>
    </row>
    <row r="35" spans="2:10" x14ac:dyDescent="0.2">
      <c r="B35" s="1092" t="s">
        <v>211</v>
      </c>
      <c r="C35" s="1993" t="s">
        <v>1834</v>
      </c>
      <c r="D35" s="322">
        <v>3630</v>
      </c>
      <c r="E35" s="322">
        <v>3445</v>
      </c>
      <c r="F35" s="322">
        <v>0</v>
      </c>
      <c r="G35" s="322">
        <v>5250</v>
      </c>
      <c r="H35" s="1093"/>
      <c r="I35" s="1093"/>
      <c r="J35" s="306"/>
    </row>
    <row r="36" spans="2:10" x14ac:dyDescent="0.2">
      <c r="B36" s="1078" t="s">
        <v>216</v>
      </c>
      <c r="C36" s="1995"/>
      <c r="D36" s="321">
        <v>6595</v>
      </c>
      <c r="E36" s="321">
        <f>6595-1</f>
        <v>6594</v>
      </c>
      <c r="F36" s="322">
        <v>0</v>
      </c>
      <c r="G36" s="321">
        <v>5250</v>
      </c>
      <c r="H36" s="1094"/>
      <c r="I36" s="1094"/>
      <c r="J36" s="1077"/>
    </row>
    <row r="37" spans="2:10" x14ac:dyDescent="0.2">
      <c r="B37" s="1849" t="s">
        <v>219</v>
      </c>
      <c r="C37" s="453" t="s">
        <v>2181</v>
      </c>
      <c r="D37" s="1095"/>
      <c r="E37" s="1095"/>
      <c r="F37" s="455">
        <v>0</v>
      </c>
      <c r="G37" s="455">
        <v>5250</v>
      </c>
      <c r="H37" s="455">
        <v>1109389</v>
      </c>
      <c r="I37" s="455">
        <f>H37/0.702804</f>
        <v>1578518.3351261518</v>
      </c>
      <c r="J37" s="453"/>
    </row>
    <row r="38" spans="2:10" x14ac:dyDescent="0.2">
      <c r="B38" s="327"/>
      <c r="C38" s="1096" t="s">
        <v>2170</v>
      </c>
      <c r="D38" s="1097">
        <f>SUM(D19,D28)</f>
        <v>658647</v>
      </c>
      <c r="E38" s="1097">
        <f t="shared" ref="E38:I38" si="1">SUM(E19,E28)</f>
        <v>19917</v>
      </c>
      <c r="F38" s="1097">
        <f t="shared" si="1"/>
        <v>1907719</v>
      </c>
      <c r="G38" s="1098"/>
      <c r="H38" s="1097">
        <f t="shared" si="1"/>
        <v>3017107</v>
      </c>
      <c r="I38" s="1097">
        <f t="shared" si="1"/>
        <v>4292957.3518306669</v>
      </c>
      <c r="J38" s="327"/>
    </row>
    <row r="39" spans="2:10" x14ac:dyDescent="0.2">
      <c r="B39" s="443"/>
      <c r="C39" s="443"/>
      <c r="D39" s="1088"/>
      <c r="E39" s="1088"/>
      <c r="F39" s="467"/>
      <c r="G39" s="467"/>
      <c r="H39" s="467"/>
      <c r="I39" s="467"/>
      <c r="J39" s="443"/>
    </row>
    <row r="40" spans="2:10" x14ac:dyDescent="0.2">
      <c r="B40" s="443"/>
      <c r="C40" s="443"/>
      <c r="D40" s="1088"/>
      <c r="E40" s="1088"/>
      <c r="F40" s="467"/>
      <c r="G40" s="467"/>
      <c r="H40" s="467"/>
      <c r="I40" s="467"/>
      <c r="J40" s="443"/>
    </row>
    <row r="41" spans="2:10" x14ac:dyDescent="0.2">
      <c r="B41" s="443"/>
      <c r="C41" s="443"/>
      <c r="D41" s="443"/>
      <c r="E41" s="443"/>
      <c r="F41" s="443"/>
      <c r="G41" s="443"/>
      <c r="H41" s="443"/>
      <c r="I41" s="443"/>
      <c r="J41" s="443"/>
    </row>
  </sheetData>
  <sheetProtection password="CA5B" sheet="1" objects="1" scenarios="1"/>
  <mergeCells count="8">
    <mergeCell ref="F1:J3"/>
    <mergeCell ref="C35:C36"/>
    <mergeCell ref="D9:J9"/>
    <mergeCell ref="B10:J10"/>
    <mergeCell ref="B13:C13"/>
    <mergeCell ref="B19:C19"/>
    <mergeCell ref="C21:C22"/>
    <mergeCell ref="B28:C28"/>
  </mergeCells>
  <pageMargins left="0.78740157480314965" right="0.39370078740157483" top="0.74803149606299213" bottom="0.74803149606299213" header="0.31496062992125984" footer="0.31496062992125984"/>
  <pageSetup paperSize="9" scale="7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68"/>
  <sheetViews>
    <sheetView zoomScaleNormal="100" workbookViewId="0">
      <selection activeCell="B5" sqref="B5"/>
    </sheetView>
  </sheetViews>
  <sheetFormatPr defaultRowHeight="12" x14ac:dyDescent="0.2"/>
  <cols>
    <col min="1" max="1" width="6.140625" style="1704" customWidth="1"/>
    <col min="2" max="2" width="44.85546875" style="1704" customWidth="1"/>
    <col min="3" max="3" width="10.85546875" style="1704" customWidth="1"/>
    <col min="4" max="4" width="11.140625" style="1704" customWidth="1"/>
    <col min="5" max="5" width="10.28515625" style="1704" customWidth="1"/>
    <col min="6" max="6" width="10.5703125" style="1704" customWidth="1"/>
    <col min="7" max="7" width="9.7109375" style="1704" hidden="1" customWidth="1"/>
    <col min="8" max="8" width="9.7109375" style="1704" customWidth="1"/>
    <col min="9" max="9" width="21" style="1704" customWidth="1"/>
    <col min="10" max="16384" width="9.140625" style="1704"/>
  </cols>
  <sheetData>
    <row r="1" spans="1:9" x14ac:dyDescent="0.2">
      <c r="F1" s="2468" t="s">
        <v>2210</v>
      </c>
      <c r="G1" s="2469"/>
      <c r="H1" s="2469"/>
      <c r="I1" s="2469"/>
    </row>
    <row r="2" spans="1:9" x14ac:dyDescent="0.2">
      <c r="F2" s="2469"/>
      <c r="G2" s="2469"/>
      <c r="H2" s="2469"/>
      <c r="I2" s="2469"/>
    </row>
    <row r="3" spans="1:9" x14ac:dyDescent="0.2">
      <c r="F3" s="2469"/>
      <c r="G3" s="2469"/>
      <c r="H3" s="2469"/>
      <c r="I3" s="2469"/>
    </row>
    <row r="4" spans="1:9" x14ac:dyDescent="0.2">
      <c r="F4" s="1882"/>
      <c r="G4" s="1882"/>
      <c r="H4" s="1882"/>
      <c r="I4" s="1882"/>
    </row>
    <row r="5" spans="1:9" x14ac:dyDescent="0.2">
      <c r="F5" s="1882"/>
      <c r="G5" s="1882"/>
      <c r="H5" s="1882"/>
      <c r="I5" s="1882"/>
    </row>
    <row r="7" spans="1:9" ht="12.75" x14ac:dyDescent="0.2">
      <c r="A7" s="1704" t="s">
        <v>1395</v>
      </c>
      <c r="B7" s="1705"/>
      <c r="C7" s="2470" t="s">
        <v>1814</v>
      </c>
      <c r="D7" s="2470"/>
      <c r="E7" s="2470"/>
      <c r="F7" s="2470"/>
      <c r="G7" s="2470"/>
      <c r="H7" s="2470"/>
      <c r="I7" s="2470"/>
    </row>
    <row r="8" spans="1:9" ht="12.75" x14ac:dyDescent="0.2">
      <c r="A8" s="1704" t="s">
        <v>1397</v>
      </c>
      <c r="B8" s="1705"/>
      <c r="C8" s="2470">
        <v>90001067517</v>
      </c>
      <c r="D8" s="2470"/>
      <c r="E8" s="2470"/>
      <c r="F8" s="2470"/>
      <c r="G8" s="2470"/>
      <c r="H8" s="2470"/>
      <c r="I8" s="2470"/>
    </row>
    <row r="9" spans="1:9" ht="15.75" x14ac:dyDescent="0.25">
      <c r="A9" s="2471" t="s">
        <v>113</v>
      </c>
      <c r="B9" s="2471"/>
      <c r="C9" s="2471"/>
      <c r="D9" s="2471"/>
      <c r="E9" s="2471"/>
      <c r="F9" s="2471"/>
      <c r="G9" s="2471"/>
      <c r="H9" s="2471"/>
      <c r="I9" s="2471"/>
    </row>
    <row r="10" spans="1:9" x14ac:dyDescent="0.2">
      <c r="A10" s="1704" t="s">
        <v>114</v>
      </c>
      <c r="C10" s="2472" t="s">
        <v>1991</v>
      </c>
      <c r="D10" s="2472"/>
      <c r="E10" s="2472"/>
      <c r="F10" s="2472"/>
      <c r="G10" s="2472"/>
      <c r="H10" s="2472"/>
      <c r="I10" s="2472"/>
    </row>
    <row r="11" spans="1:9" x14ac:dyDescent="0.2">
      <c r="A11" s="1704" t="s">
        <v>1394</v>
      </c>
      <c r="C11" s="2464" t="s">
        <v>1992</v>
      </c>
      <c r="D11" s="2464"/>
      <c r="E11" s="2464"/>
      <c r="F11" s="2464"/>
      <c r="G11" s="2464"/>
      <c r="H11" s="2464"/>
      <c r="I11" s="2464"/>
    </row>
    <row r="12" spans="1:9" x14ac:dyDescent="0.2">
      <c r="A12" s="1704" t="s">
        <v>1305</v>
      </c>
      <c r="C12" s="2465" t="s">
        <v>1993</v>
      </c>
      <c r="D12" s="2465"/>
      <c r="E12" s="2465"/>
      <c r="F12" s="2465"/>
      <c r="G12" s="2465"/>
      <c r="H12" s="2465"/>
      <c r="I12" s="2465"/>
    </row>
    <row r="13" spans="1:9" ht="48" x14ac:dyDescent="0.2">
      <c r="A13" s="1706" t="s">
        <v>47</v>
      </c>
      <c r="B13" s="1706" t="s">
        <v>119</v>
      </c>
      <c r="C13" s="1706" t="s">
        <v>120</v>
      </c>
      <c r="D13" s="1706" t="s">
        <v>121</v>
      </c>
      <c r="E13" s="1706" t="s">
        <v>122</v>
      </c>
      <c r="F13" s="1706" t="s">
        <v>129</v>
      </c>
      <c r="G13" s="1706" t="s">
        <v>124</v>
      </c>
      <c r="H13" s="1706" t="s">
        <v>2165</v>
      </c>
      <c r="I13" s="1706" t="s">
        <v>126</v>
      </c>
    </row>
    <row r="14" spans="1:9" x14ac:dyDescent="0.2">
      <c r="A14" s="2462" t="s">
        <v>130</v>
      </c>
      <c r="B14" s="2463"/>
      <c r="C14" s="1707">
        <f>SUM(C16:C30)</f>
        <v>0</v>
      </c>
      <c r="D14" s="1707">
        <f>SUM(D16:D30)</f>
        <v>0</v>
      </c>
      <c r="E14" s="1707">
        <f>SUM(E16:E30)</f>
        <v>4047</v>
      </c>
      <c r="F14" s="1707"/>
      <c r="G14" s="1707">
        <f>SUM(G16:G30)</f>
        <v>4047</v>
      </c>
      <c r="H14" s="1707">
        <f>SUM(H16:H30)</f>
        <v>5758.3622176310882</v>
      </c>
      <c r="I14" s="1708"/>
    </row>
    <row r="15" spans="1:9" x14ac:dyDescent="0.2">
      <c r="A15" s="1709"/>
      <c r="B15" s="1710" t="s">
        <v>1994</v>
      </c>
      <c r="C15" s="1707"/>
      <c r="D15" s="1707"/>
      <c r="E15" s="1707"/>
      <c r="F15" s="1707"/>
      <c r="G15" s="1707"/>
      <c r="H15" s="1707"/>
      <c r="I15" s="1708"/>
    </row>
    <row r="16" spans="1:9" x14ac:dyDescent="0.2">
      <c r="A16" s="1708">
        <v>1</v>
      </c>
      <c r="B16" s="1708" t="s">
        <v>1995</v>
      </c>
      <c r="C16" s="1711"/>
      <c r="D16" s="1711"/>
      <c r="E16" s="1711"/>
      <c r="F16" s="1711"/>
      <c r="G16" s="1712"/>
      <c r="H16" s="1711"/>
      <c r="I16" s="1708"/>
    </row>
    <row r="17" spans="1:11" x14ac:dyDescent="0.2">
      <c r="A17" s="1708"/>
      <c r="B17" s="1708"/>
      <c r="C17" s="1711"/>
      <c r="D17" s="1711"/>
      <c r="E17" s="1711">
        <v>250</v>
      </c>
      <c r="F17" s="1711">
        <v>2370</v>
      </c>
      <c r="G17" s="1712">
        <v>250</v>
      </c>
      <c r="H17" s="1711">
        <f>G17/0.702804</f>
        <v>355.71795265820913</v>
      </c>
      <c r="I17" s="1708" t="s">
        <v>1996</v>
      </c>
    </row>
    <row r="18" spans="1:11" x14ac:dyDescent="0.2">
      <c r="A18" s="1708"/>
      <c r="B18" s="1708" t="s">
        <v>1997</v>
      </c>
      <c r="C18" s="1711"/>
      <c r="D18" s="1711"/>
      <c r="E18" s="1711">
        <v>815</v>
      </c>
      <c r="F18" s="1711">
        <v>2390</v>
      </c>
      <c r="G18" s="1712">
        <v>815</v>
      </c>
      <c r="H18" s="1711">
        <f t="shared" ref="H18:H29" si="0">G18/0.702804</f>
        <v>1159.6405256657617</v>
      </c>
      <c r="I18" s="1708" t="s">
        <v>1998</v>
      </c>
    </row>
    <row r="19" spans="1:11" x14ac:dyDescent="0.2">
      <c r="A19" s="1708"/>
      <c r="B19" s="1708" t="s">
        <v>1999</v>
      </c>
      <c r="C19" s="1711"/>
      <c r="D19" s="1711"/>
      <c r="E19" s="1711">
        <v>100</v>
      </c>
      <c r="F19" s="1711">
        <v>2262</v>
      </c>
      <c r="G19" s="1712">
        <v>100</v>
      </c>
      <c r="H19" s="1711">
        <f t="shared" si="0"/>
        <v>142.28718106328364</v>
      </c>
      <c r="I19" s="1708" t="s">
        <v>2000</v>
      </c>
    </row>
    <row r="20" spans="1:11" x14ac:dyDescent="0.2">
      <c r="A20" s="1708"/>
      <c r="B20" s="1708" t="s">
        <v>2001</v>
      </c>
      <c r="C20" s="1711"/>
      <c r="D20" s="1711"/>
      <c r="E20" s="1711">
        <v>285</v>
      </c>
      <c r="F20" s="1711">
        <v>2261</v>
      </c>
      <c r="G20" s="1712">
        <v>285</v>
      </c>
      <c r="H20" s="1711">
        <f t="shared" si="0"/>
        <v>405.51846603035841</v>
      </c>
      <c r="I20" s="1708" t="s">
        <v>2002</v>
      </c>
    </row>
    <row r="21" spans="1:11" x14ac:dyDescent="0.2">
      <c r="A21" s="1708"/>
      <c r="B21" s="1708" t="s">
        <v>2003</v>
      </c>
      <c r="C21" s="1711"/>
      <c r="D21" s="1711"/>
      <c r="E21" s="1711">
        <v>30</v>
      </c>
      <c r="F21" s="1711">
        <v>2341</v>
      </c>
      <c r="G21" s="1712">
        <v>30</v>
      </c>
      <c r="H21" s="1711">
        <f t="shared" si="0"/>
        <v>42.686154318985096</v>
      </c>
      <c r="I21" s="1708" t="s">
        <v>1889</v>
      </c>
    </row>
    <row r="22" spans="1:11" x14ac:dyDescent="0.2">
      <c r="A22" s="1708"/>
      <c r="B22" s="1708" t="s">
        <v>2004</v>
      </c>
      <c r="C22" s="1711"/>
      <c r="D22" s="1711"/>
      <c r="E22" s="1711">
        <v>500</v>
      </c>
      <c r="F22" s="1711">
        <v>2239</v>
      </c>
      <c r="G22" s="1712">
        <v>500</v>
      </c>
      <c r="H22" s="1711">
        <f t="shared" si="0"/>
        <v>711.43590531641826</v>
      </c>
      <c r="I22" s="1708" t="s">
        <v>2005</v>
      </c>
    </row>
    <row r="23" spans="1:11" x14ac:dyDescent="0.2">
      <c r="A23" s="1708"/>
      <c r="B23" s="1708"/>
      <c r="C23" s="1711"/>
      <c r="D23" s="1711"/>
      <c r="E23" s="1711">
        <v>20</v>
      </c>
      <c r="F23" s="1711">
        <v>2214</v>
      </c>
      <c r="G23" s="1712">
        <v>20</v>
      </c>
      <c r="H23" s="1711">
        <f t="shared" si="0"/>
        <v>28.457436212656731</v>
      </c>
      <c r="I23" s="1708" t="s">
        <v>2006</v>
      </c>
    </row>
    <row r="24" spans="1:11" x14ac:dyDescent="0.2">
      <c r="A24" s="1713">
        <v>2</v>
      </c>
      <c r="B24" s="1714" t="s">
        <v>2007</v>
      </c>
      <c r="C24" s="1715"/>
      <c r="D24" s="1715"/>
      <c r="E24" s="1715"/>
      <c r="F24" s="1716"/>
      <c r="G24" s="1712"/>
      <c r="H24" s="1711">
        <f t="shared" si="0"/>
        <v>0</v>
      </c>
      <c r="I24" s="1717"/>
    </row>
    <row r="25" spans="1:11" x14ac:dyDescent="0.2">
      <c r="A25" s="1713"/>
      <c r="B25" s="1708" t="s">
        <v>1999</v>
      </c>
      <c r="C25" s="1715"/>
      <c r="D25" s="1715"/>
      <c r="E25" s="1715">
        <v>854</v>
      </c>
      <c r="F25" s="1716">
        <v>2262</v>
      </c>
      <c r="G25" s="1711">
        <v>854</v>
      </c>
      <c r="H25" s="1711">
        <f t="shared" si="0"/>
        <v>1215.1325262804423</v>
      </c>
      <c r="I25" s="1717" t="s">
        <v>2000</v>
      </c>
    </row>
    <row r="26" spans="1:11" x14ac:dyDescent="0.2">
      <c r="A26" s="1713"/>
      <c r="B26" s="1708" t="s">
        <v>152</v>
      </c>
      <c r="C26" s="1715"/>
      <c r="D26" s="1715"/>
      <c r="E26" s="1715">
        <v>300</v>
      </c>
      <c r="F26" s="1716">
        <v>2279</v>
      </c>
      <c r="G26" s="1711">
        <v>300</v>
      </c>
      <c r="H26" s="1711">
        <f t="shared" si="0"/>
        <v>426.86154318985098</v>
      </c>
      <c r="I26" s="1717" t="s">
        <v>152</v>
      </c>
    </row>
    <row r="27" spans="1:11" x14ac:dyDescent="0.2">
      <c r="A27" s="1713">
        <v>3</v>
      </c>
      <c r="B27" s="1714" t="s">
        <v>2008</v>
      </c>
      <c r="C27" s="1715"/>
      <c r="D27" s="1715"/>
      <c r="E27" s="1715"/>
      <c r="F27" s="1716"/>
      <c r="G27" s="1711"/>
      <c r="H27" s="1711">
        <f t="shared" si="0"/>
        <v>0</v>
      </c>
      <c r="I27" s="1717"/>
    </row>
    <row r="28" spans="1:11" x14ac:dyDescent="0.2">
      <c r="A28" s="1713"/>
      <c r="B28" s="1708" t="s">
        <v>1999</v>
      </c>
      <c r="C28" s="1715"/>
      <c r="D28" s="1715"/>
      <c r="E28" s="1715">
        <v>187</v>
      </c>
      <c r="F28" s="1716">
        <v>2262</v>
      </c>
      <c r="G28" s="1711">
        <v>187</v>
      </c>
      <c r="H28" s="1711">
        <f t="shared" si="0"/>
        <v>266.0770285883404</v>
      </c>
      <c r="I28" s="1717" t="s">
        <v>2000</v>
      </c>
    </row>
    <row r="29" spans="1:11" x14ac:dyDescent="0.2">
      <c r="A29" s="1713">
        <v>4</v>
      </c>
      <c r="B29" s="1714" t="s">
        <v>2009</v>
      </c>
      <c r="C29" s="1715"/>
      <c r="D29" s="1715"/>
      <c r="E29" s="1715">
        <v>706</v>
      </c>
      <c r="F29" s="1716">
        <v>2361</v>
      </c>
      <c r="G29" s="1711">
        <v>706</v>
      </c>
      <c r="H29" s="1711">
        <f t="shared" si="0"/>
        <v>1004.5474983067826</v>
      </c>
      <c r="I29" s="1717" t="s">
        <v>2010</v>
      </c>
    </row>
    <row r="30" spans="1:11" x14ac:dyDescent="0.2">
      <c r="A30" s="1713"/>
      <c r="B30" s="1714"/>
      <c r="C30" s="1715"/>
      <c r="D30" s="1715"/>
      <c r="E30" s="1715"/>
      <c r="F30" s="1716"/>
      <c r="G30" s="1711"/>
      <c r="H30" s="1711"/>
      <c r="I30" s="1717"/>
      <c r="K30" s="1718"/>
    </row>
    <row r="31" spans="1:11" x14ac:dyDescent="0.2">
      <c r="A31" s="1719"/>
      <c r="B31" s="1719"/>
      <c r="C31" s="1719"/>
      <c r="D31" s="1719"/>
      <c r="E31" s="1719"/>
      <c r="F31" s="1719"/>
      <c r="G31" s="1719"/>
      <c r="H31" s="1719"/>
      <c r="I31" s="1719"/>
    </row>
    <row r="32" spans="1:11" x14ac:dyDescent="0.2">
      <c r="A32" s="1704" t="s">
        <v>1394</v>
      </c>
      <c r="C32" s="2464" t="s">
        <v>2011</v>
      </c>
      <c r="D32" s="2464"/>
      <c r="E32" s="2464"/>
      <c r="F32" s="2464"/>
      <c r="G32" s="2464"/>
      <c r="H32" s="2464"/>
      <c r="I32" s="2464"/>
    </row>
    <row r="33" spans="1:9" x14ac:dyDescent="0.2">
      <c r="A33" s="1704" t="s">
        <v>1305</v>
      </c>
      <c r="C33" s="2465" t="s">
        <v>2012</v>
      </c>
      <c r="D33" s="2465"/>
      <c r="E33" s="1720"/>
      <c r="F33" s="1720"/>
      <c r="G33" s="1720"/>
      <c r="H33" s="1720"/>
      <c r="I33" s="1720"/>
    </row>
    <row r="34" spans="1:9" ht="48" x14ac:dyDescent="0.2">
      <c r="A34" s="1706" t="s">
        <v>47</v>
      </c>
      <c r="B34" s="1706" t="s">
        <v>119</v>
      </c>
      <c r="C34" s="1706" t="s">
        <v>120</v>
      </c>
      <c r="D34" s="1706" t="s">
        <v>121</v>
      </c>
      <c r="E34" s="1706" t="s">
        <v>122</v>
      </c>
      <c r="F34" s="1706" t="s">
        <v>129</v>
      </c>
      <c r="G34" s="1706" t="s">
        <v>124</v>
      </c>
      <c r="H34" s="1706" t="s">
        <v>2165</v>
      </c>
      <c r="I34" s="1706" t="s">
        <v>126</v>
      </c>
    </row>
    <row r="35" spans="1:9" x14ac:dyDescent="0.2">
      <c r="A35" s="2462" t="s">
        <v>55</v>
      </c>
      <c r="B35" s="2463"/>
      <c r="C35" s="1707">
        <f>SUM(C36:C48)</f>
        <v>0</v>
      </c>
      <c r="D35" s="1707">
        <f>SUM(D36:D48)</f>
        <v>0</v>
      </c>
      <c r="E35" s="1707">
        <f>SUM(E36:E48)</f>
        <v>13631</v>
      </c>
      <c r="F35" s="1707"/>
      <c r="G35" s="1707">
        <f>SUM(G36:G48)</f>
        <v>13631</v>
      </c>
      <c r="H35" s="1707">
        <f>SUM(H36:H48)</f>
        <v>19399.052908065409</v>
      </c>
      <c r="I35" s="1708"/>
    </row>
    <row r="36" spans="1:9" x14ac:dyDescent="0.2">
      <c r="A36" s="1708"/>
      <c r="B36" s="1710" t="s">
        <v>2013</v>
      </c>
      <c r="C36" s="1711"/>
      <c r="D36" s="1711"/>
      <c r="E36" s="1711"/>
      <c r="F36" s="1711"/>
      <c r="G36" s="1711"/>
      <c r="H36" s="1711"/>
      <c r="I36" s="1708"/>
    </row>
    <row r="37" spans="1:9" x14ac:dyDescent="0.2">
      <c r="A37" s="1708">
        <v>1</v>
      </c>
      <c r="B37" s="1708" t="s">
        <v>2014</v>
      </c>
      <c r="C37" s="1711"/>
      <c r="D37" s="1711"/>
      <c r="E37" s="1711"/>
      <c r="F37" s="1711"/>
      <c r="G37" s="1711"/>
      <c r="H37" s="1711"/>
      <c r="I37" s="1708"/>
    </row>
    <row r="38" spans="1:9" x14ac:dyDescent="0.2">
      <c r="A38" s="1708"/>
      <c r="B38" s="1708" t="s">
        <v>1999</v>
      </c>
      <c r="C38" s="1711"/>
      <c r="D38" s="1711"/>
      <c r="E38" s="1711">
        <v>545</v>
      </c>
      <c r="F38" s="1711">
        <v>2262</v>
      </c>
      <c r="G38" s="1711">
        <v>545</v>
      </c>
      <c r="H38" s="1711">
        <f>G38/0.702804</f>
        <v>775.4651367948959</v>
      </c>
      <c r="I38" s="1708" t="s">
        <v>2000</v>
      </c>
    </row>
    <row r="39" spans="1:9" x14ac:dyDescent="0.2">
      <c r="A39" s="1708"/>
      <c r="B39" s="1708" t="s">
        <v>152</v>
      </c>
      <c r="C39" s="1711"/>
      <c r="D39" s="1711"/>
      <c r="E39" s="1711">
        <v>916</v>
      </c>
      <c r="F39" s="1711">
        <v>2279</v>
      </c>
      <c r="G39" s="1711">
        <v>916</v>
      </c>
      <c r="H39" s="1711">
        <f t="shared" ref="H39:H47" si="1">G39/0.702804</f>
        <v>1303.3505785396783</v>
      </c>
      <c r="I39" s="1708" t="s">
        <v>152</v>
      </c>
    </row>
    <row r="40" spans="1:9" x14ac:dyDescent="0.2">
      <c r="A40" s="1708">
        <v>2</v>
      </c>
      <c r="B40" s="1708" t="s">
        <v>2015</v>
      </c>
      <c r="C40" s="1711"/>
      <c r="D40" s="1711"/>
      <c r="E40" s="1711"/>
      <c r="F40" s="1711"/>
      <c r="G40" s="1711"/>
      <c r="H40" s="1711"/>
      <c r="I40" s="1708"/>
    </row>
    <row r="41" spans="1:9" x14ac:dyDescent="0.2">
      <c r="A41" s="1708"/>
      <c r="B41" s="1708" t="s">
        <v>1999</v>
      </c>
      <c r="C41" s="1711"/>
      <c r="D41" s="1711"/>
      <c r="E41" s="1711">
        <v>2838</v>
      </c>
      <c r="F41" s="1711">
        <v>2262</v>
      </c>
      <c r="G41" s="1711">
        <v>2838</v>
      </c>
      <c r="H41" s="1711">
        <v>4040</v>
      </c>
      <c r="I41" s="1708" t="s">
        <v>2000</v>
      </c>
    </row>
    <row r="42" spans="1:9" ht="14.25" customHeight="1" x14ac:dyDescent="0.2">
      <c r="A42" s="1708"/>
      <c r="B42" s="1708" t="s">
        <v>152</v>
      </c>
      <c r="C42" s="1711"/>
      <c r="D42" s="1711"/>
      <c r="E42" s="1711">
        <v>2308</v>
      </c>
      <c r="F42" s="1711">
        <v>2279</v>
      </c>
      <c r="G42" s="1711">
        <v>2308</v>
      </c>
      <c r="H42" s="1711">
        <f t="shared" si="1"/>
        <v>3283.9881389405869</v>
      </c>
      <c r="I42" s="1708" t="s">
        <v>2016</v>
      </c>
    </row>
    <row r="43" spans="1:9" x14ac:dyDescent="0.2">
      <c r="A43" s="1708">
        <v>3</v>
      </c>
      <c r="B43" s="1708" t="s">
        <v>2017</v>
      </c>
      <c r="C43" s="1711"/>
      <c r="D43" s="1711"/>
      <c r="E43" s="1711"/>
      <c r="F43" s="1711"/>
      <c r="G43" s="1711"/>
      <c r="H43" s="1711"/>
      <c r="I43" s="1708"/>
    </row>
    <row r="44" spans="1:9" x14ac:dyDescent="0.2">
      <c r="A44" s="1708"/>
      <c r="B44" s="1708" t="s">
        <v>152</v>
      </c>
      <c r="C44" s="1711"/>
      <c r="D44" s="1711"/>
      <c r="E44" s="1711">
        <v>256</v>
      </c>
      <c r="F44" s="1711">
        <v>2279</v>
      </c>
      <c r="G44" s="1711">
        <v>256</v>
      </c>
      <c r="H44" s="1711">
        <f t="shared" si="1"/>
        <v>364.25518352200612</v>
      </c>
      <c r="I44" s="1708" t="s">
        <v>2016</v>
      </c>
    </row>
    <row r="45" spans="1:9" ht="15.75" customHeight="1" x14ac:dyDescent="0.2">
      <c r="A45" s="1708">
        <v>4</v>
      </c>
      <c r="B45" s="1708" t="s">
        <v>2018</v>
      </c>
      <c r="C45" s="1711"/>
      <c r="D45" s="1711"/>
      <c r="E45" s="1711"/>
      <c r="F45" s="1711"/>
      <c r="G45" s="1711"/>
      <c r="H45" s="1711"/>
      <c r="I45" s="1708"/>
    </row>
    <row r="46" spans="1:9" ht="15.75" customHeight="1" x14ac:dyDescent="0.2">
      <c r="A46" s="1708"/>
      <c r="B46" s="1708" t="s">
        <v>1999</v>
      </c>
      <c r="C46" s="1711"/>
      <c r="D46" s="1711"/>
      <c r="E46" s="1711">
        <v>910</v>
      </c>
      <c r="F46" s="1711">
        <v>2262</v>
      </c>
      <c r="G46" s="1711">
        <v>910</v>
      </c>
      <c r="H46" s="1711">
        <f t="shared" si="1"/>
        <v>1294.8133476758812</v>
      </c>
      <c r="I46" s="1708" t="s">
        <v>2000</v>
      </c>
    </row>
    <row r="47" spans="1:9" x14ac:dyDescent="0.2">
      <c r="A47" s="1708"/>
      <c r="B47" s="1708" t="s">
        <v>152</v>
      </c>
      <c r="C47" s="1711"/>
      <c r="D47" s="1711"/>
      <c r="E47" s="1711">
        <v>620</v>
      </c>
      <c r="F47" s="1711">
        <v>2279</v>
      </c>
      <c r="G47" s="1711">
        <v>620</v>
      </c>
      <c r="H47" s="1711">
        <f t="shared" si="1"/>
        <v>882.18052259235867</v>
      </c>
      <c r="I47" s="1708" t="s">
        <v>2016</v>
      </c>
    </row>
    <row r="48" spans="1:9" ht="15.75" customHeight="1" x14ac:dyDescent="0.2">
      <c r="A48" s="1708">
        <v>5</v>
      </c>
      <c r="B48" s="1708" t="s">
        <v>2009</v>
      </c>
      <c r="C48" s="1711"/>
      <c r="D48" s="1711"/>
      <c r="E48" s="1711">
        <v>5238</v>
      </c>
      <c r="F48" s="1711">
        <v>2361</v>
      </c>
      <c r="G48" s="1711">
        <v>5238</v>
      </c>
      <c r="H48" s="1711">
        <v>7455</v>
      </c>
      <c r="I48" s="1708" t="s">
        <v>2010</v>
      </c>
    </row>
    <row r="49" spans="1:11" x14ac:dyDescent="0.2">
      <c r="A49" s="1719"/>
      <c r="B49" s="1719"/>
      <c r="C49" s="1719"/>
      <c r="D49" s="1719"/>
      <c r="E49" s="1719"/>
      <c r="F49" s="1719"/>
      <c r="G49" s="1721"/>
      <c r="H49" s="1721"/>
      <c r="I49" s="1719"/>
    </row>
    <row r="50" spans="1:11" x14ac:dyDescent="0.2">
      <c r="A50" s="1704" t="s">
        <v>1394</v>
      </c>
      <c r="C50" s="2464" t="s">
        <v>2019</v>
      </c>
      <c r="D50" s="2464"/>
      <c r="E50" s="2464"/>
      <c r="F50" s="2464"/>
      <c r="G50" s="2464"/>
      <c r="H50" s="2464"/>
      <c r="I50" s="2464"/>
    </row>
    <row r="51" spans="1:11" x14ac:dyDescent="0.2">
      <c r="A51" s="1704" t="s">
        <v>1305</v>
      </c>
      <c r="C51" s="2465" t="s">
        <v>1993</v>
      </c>
      <c r="D51" s="2465"/>
      <c r="E51" s="1720"/>
      <c r="F51" s="1720"/>
      <c r="G51" s="1720"/>
      <c r="H51" s="1720"/>
      <c r="I51" s="1720"/>
    </row>
    <row r="52" spans="1:11" ht="48" x14ac:dyDescent="0.2">
      <c r="A52" s="1706" t="s">
        <v>47</v>
      </c>
      <c r="B52" s="1706" t="s">
        <v>119</v>
      </c>
      <c r="C52" s="1706" t="s">
        <v>120</v>
      </c>
      <c r="D52" s="1706" t="s">
        <v>121</v>
      </c>
      <c r="E52" s="1706" t="s">
        <v>122</v>
      </c>
      <c r="F52" s="1706" t="s">
        <v>129</v>
      </c>
      <c r="G52" s="1706" t="s">
        <v>124</v>
      </c>
      <c r="H52" s="1706" t="s">
        <v>2165</v>
      </c>
      <c r="I52" s="1706" t="s">
        <v>126</v>
      </c>
    </row>
    <row r="53" spans="1:11" x14ac:dyDescent="0.2">
      <c r="A53" s="2462" t="s">
        <v>55</v>
      </c>
      <c r="B53" s="2463"/>
      <c r="C53" s="1707">
        <f>SUM(C54:C61)</f>
        <v>0</v>
      </c>
      <c r="D53" s="1707">
        <f>SUM(D54:D61)</f>
        <v>0</v>
      </c>
      <c r="E53" s="1707">
        <f>SUM(E54:E61)</f>
        <v>6495</v>
      </c>
      <c r="F53" s="1707"/>
      <c r="G53" s="1707">
        <f>SUM(G54:G61)</f>
        <v>6495</v>
      </c>
      <c r="H53" s="1707">
        <f>SUM(H54:H61)</f>
        <v>9241.5524100602725</v>
      </c>
      <c r="I53" s="1708"/>
    </row>
    <row r="54" spans="1:11" x14ac:dyDescent="0.2">
      <c r="A54" s="1708"/>
      <c r="B54" s="1710" t="s">
        <v>2020</v>
      </c>
      <c r="C54" s="1711"/>
      <c r="D54" s="1711"/>
      <c r="E54" s="1711"/>
      <c r="F54" s="1711"/>
      <c r="G54" s="1711"/>
      <c r="H54" s="1711"/>
      <c r="I54" s="1708"/>
    </row>
    <row r="55" spans="1:11" x14ac:dyDescent="0.2">
      <c r="A55" s="1708">
        <v>1</v>
      </c>
      <c r="B55" s="1708" t="s">
        <v>2021</v>
      </c>
      <c r="C55" s="1711"/>
      <c r="D55" s="1711"/>
      <c r="E55" s="1711"/>
      <c r="F55" s="1711"/>
      <c r="G55" s="1711"/>
      <c r="H55" s="1711"/>
      <c r="I55" s="1708"/>
    </row>
    <row r="56" spans="1:11" x14ac:dyDescent="0.2">
      <c r="A56" s="1708"/>
      <c r="B56" s="1708" t="s">
        <v>1999</v>
      </c>
      <c r="C56" s="1711"/>
      <c r="D56" s="1711"/>
      <c r="E56" s="1711">
        <v>2392</v>
      </c>
      <c r="F56" s="1711">
        <v>2262</v>
      </c>
      <c r="G56" s="1711">
        <v>2392</v>
      </c>
      <c r="H56" s="1711">
        <f>G56/0.702804</f>
        <v>3403.5093710337451</v>
      </c>
      <c r="I56" s="1708" t="s">
        <v>2000</v>
      </c>
    </row>
    <row r="57" spans="1:11" x14ac:dyDescent="0.2">
      <c r="A57" s="1708"/>
      <c r="B57" s="1708" t="s">
        <v>152</v>
      </c>
      <c r="C57" s="1711"/>
      <c r="D57" s="1711"/>
      <c r="E57" s="1711">
        <v>405</v>
      </c>
      <c r="F57" s="1711">
        <v>2279</v>
      </c>
      <c r="G57" s="1711">
        <v>405</v>
      </c>
      <c r="H57" s="1711">
        <f t="shared" ref="H57:H61" si="2">G57/0.702804</f>
        <v>576.26308330629877</v>
      </c>
      <c r="I57" s="1708" t="s">
        <v>2016</v>
      </c>
    </row>
    <row r="58" spans="1:11" x14ac:dyDescent="0.2">
      <c r="A58" s="1708">
        <v>2</v>
      </c>
      <c r="B58" s="1708" t="s">
        <v>2022</v>
      </c>
      <c r="C58" s="1711"/>
      <c r="D58" s="1711"/>
      <c r="E58" s="1711"/>
      <c r="F58" s="1711"/>
      <c r="G58" s="1711"/>
      <c r="H58" s="1711"/>
      <c r="I58" s="1708"/>
    </row>
    <row r="59" spans="1:11" x14ac:dyDescent="0.2">
      <c r="A59" s="1708"/>
      <c r="B59" s="1708" t="s">
        <v>1999</v>
      </c>
      <c r="C59" s="1711"/>
      <c r="D59" s="1711"/>
      <c r="E59" s="1711">
        <v>550</v>
      </c>
      <c r="F59" s="1711">
        <v>2262</v>
      </c>
      <c r="G59" s="1711">
        <v>550</v>
      </c>
      <c r="H59" s="1711">
        <f t="shared" si="2"/>
        <v>782.57949584806011</v>
      </c>
      <c r="I59" s="1708" t="s">
        <v>2000</v>
      </c>
    </row>
    <row r="60" spans="1:11" x14ac:dyDescent="0.2">
      <c r="A60" s="1708"/>
      <c r="B60" s="1708" t="s">
        <v>152</v>
      </c>
      <c r="C60" s="1711"/>
      <c r="D60" s="1711"/>
      <c r="E60" s="1711">
        <v>322</v>
      </c>
      <c r="F60" s="1711">
        <v>2279</v>
      </c>
      <c r="G60" s="1711">
        <v>322</v>
      </c>
      <c r="H60" s="1711">
        <f t="shared" si="2"/>
        <v>458.16472302377338</v>
      </c>
      <c r="I60" s="1708" t="s">
        <v>2016</v>
      </c>
      <c r="K60" s="1718"/>
    </row>
    <row r="61" spans="1:11" x14ac:dyDescent="0.2">
      <c r="A61" s="1708">
        <v>3</v>
      </c>
      <c r="B61" s="1708" t="s">
        <v>2009</v>
      </c>
      <c r="C61" s="1711"/>
      <c r="D61" s="1711"/>
      <c r="E61" s="1711">
        <v>2826</v>
      </c>
      <c r="F61" s="1711">
        <v>2361</v>
      </c>
      <c r="G61" s="1711">
        <v>2826</v>
      </c>
      <c r="H61" s="1711">
        <f t="shared" si="2"/>
        <v>4021.035736848396</v>
      </c>
      <c r="I61" s="1708" t="s">
        <v>2010</v>
      </c>
    </row>
    <row r="62" spans="1:11" x14ac:dyDescent="0.2">
      <c r="A62" s="1704" t="s">
        <v>1394</v>
      </c>
      <c r="C62" s="2464" t="s">
        <v>2023</v>
      </c>
      <c r="D62" s="2464"/>
      <c r="E62" s="2464"/>
      <c r="F62" s="2464"/>
      <c r="G62" s="2464"/>
      <c r="H62" s="2464"/>
      <c r="I62" s="2464"/>
    </row>
    <row r="63" spans="1:11" x14ac:dyDescent="0.2">
      <c r="A63" s="1704" t="s">
        <v>1305</v>
      </c>
      <c r="C63" s="2465" t="s">
        <v>1993</v>
      </c>
      <c r="D63" s="2465"/>
      <c r="E63" s="1720"/>
      <c r="F63" s="1720"/>
      <c r="G63" s="1720"/>
      <c r="H63" s="1720"/>
      <c r="I63" s="1720"/>
    </row>
    <row r="64" spans="1:11" ht="48" x14ac:dyDescent="0.2">
      <c r="A64" s="1706" t="s">
        <v>47</v>
      </c>
      <c r="B64" s="1706" t="s">
        <v>119</v>
      </c>
      <c r="C64" s="1706" t="s">
        <v>120</v>
      </c>
      <c r="D64" s="1706" t="s">
        <v>121</v>
      </c>
      <c r="E64" s="1706" t="s">
        <v>122</v>
      </c>
      <c r="F64" s="1706" t="s">
        <v>129</v>
      </c>
      <c r="G64" s="1706" t="s">
        <v>124</v>
      </c>
      <c r="H64" s="1706" t="s">
        <v>2165</v>
      </c>
      <c r="I64" s="1706" t="s">
        <v>126</v>
      </c>
    </row>
    <row r="65" spans="1:9" x14ac:dyDescent="0.2">
      <c r="A65" s="2462" t="s">
        <v>55</v>
      </c>
      <c r="B65" s="2463"/>
      <c r="C65" s="1707">
        <f>SUM(C66:C69)</f>
        <v>0</v>
      </c>
      <c r="D65" s="1707">
        <f>SUM(D66:D69)</f>
        <v>0</v>
      </c>
      <c r="E65" s="1707">
        <f>SUM(E66:E66)</f>
        <v>15680</v>
      </c>
      <c r="F65" s="1707">
        <f>SUM(F66:F66)</f>
        <v>2275</v>
      </c>
      <c r="G65" s="1707">
        <f>SUM(G66:G66)</f>
        <v>15680</v>
      </c>
      <c r="H65" s="1707">
        <f>SUM(H66:H67)</f>
        <v>22310.629990722875</v>
      </c>
      <c r="I65" s="1708"/>
    </row>
    <row r="66" spans="1:9" x14ac:dyDescent="0.2">
      <c r="A66" s="1708"/>
      <c r="B66" s="1710" t="s">
        <v>2024</v>
      </c>
      <c r="C66" s="1711"/>
      <c r="D66" s="1711"/>
      <c r="E66" s="1711">
        <v>15680</v>
      </c>
      <c r="F66" s="1711">
        <v>2275</v>
      </c>
      <c r="G66" s="1711">
        <v>15680</v>
      </c>
      <c r="H66" s="1711">
        <f>G66/0.702804</f>
        <v>22310.629990722875</v>
      </c>
      <c r="I66" s="1708"/>
    </row>
    <row r="67" spans="1:9" x14ac:dyDescent="0.2">
      <c r="A67" s="1708"/>
      <c r="B67" s="1708"/>
      <c r="C67" s="1711"/>
      <c r="D67" s="1711"/>
      <c r="E67" s="1711"/>
      <c r="F67" s="1711"/>
      <c r="G67" s="1711"/>
      <c r="H67" s="1711"/>
      <c r="I67" s="1708"/>
    </row>
    <row r="68" spans="1:9" x14ac:dyDescent="0.2">
      <c r="A68" s="2466" t="s">
        <v>2170</v>
      </c>
      <c r="B68" s="2467"/>
      <c r="C68" s="1722">
        <f>SUM(C14,C35,C53)</f>
        <v>0</v>
      </c>
      <c r="D68" s="1722">
        <f>SUM(D14,D35,D53)</f>
        <v>0</v>
      </c>
      <c r="E68" s="1722">
        <f>SUM(E14,E35,E53,E65)</f>
        <v>39853</v>
      </c>
      <c r="F68" s="1723"/>
      <c r="G68" s="1722">
        <f>SUM(G14,G35,G53,G65)</f>
        <v>39853</v>
      </c>
      <c r="H68" s="1722">
        <f>SUM(H14,H35,H53,H65)</f>
        <v>56709.597526479643</v>
      </c>
      <c r="I68" s="1724"/>
    </row>
  </sheetData>
  <sheetProtection password="CA5B" sheet="1" objects="1" scenarios="1"/>
  <mergeCells count="18">
    <mergeCell ref="F1:I3"/>
    <mergeCell ref="C51:D51"/>
    <mergeCell ref="C7:I7"/>
    <mergeCell ref="C8:I8"/>
    <mergeCell ref="A9:I9"/>
    <mergeCell ref="C10:I10"/>
    <mergeCell ref="C11:I11"/>
    <mergeCell ref="C12:I12"/>
    <mergeCell ref="A14:B14"/>
    <mergeCell ref="C32:I32"/>
    <mergeCell ref="C33:D33"/>
    <mergeCell ref="A35:B35"/>
    <mergeCell ref="C50:I50"/>
    <mergeCell ref="A53:B53"/>
    <mergeCell ref="C62:I62"/>
    <mergeCell ref="C63:D63"/>
    <mergeCell ref="A65:B65"/>
    <mergeCell ref="A68:B68"/>
  </mergeCells>
  <pageMargins left="0.59055118110236227" right="0.19685039370078741" top="0.39370078740157483" bottom="0.78740157480314965" header="0.51181102362204722" footer="0.51181102362204722"/>
  <pageSetup paperSize="9" scale="75" orientation="portrait" r:id="rId1"/>
  <headerFooter alignWithMargins="0">
    <oddFooter xml:space="preserve">&amp;R&amp;"Times New Roman,Regular"&amp;8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26"/>
  <sheetViews>
    <sheetView topLeftCell="A7" zoomScaleNormal="100" workbookViewId="0">
      <selection activeCell="L5" sqref="L5"/>
    </sheetView>
  </sheetViews>
  <sheetFormatPr defaultRowHeight="12" x14ac:dyDescent="0.2"/>
  <cols>
    <col min="1" max="1" width="6.140625" style="1704" customWidth="1"/>
    <col min="2" max="2" width="44.85546875" style="1704" customWidth="1"/>
    <col min="3" max="3" width="10.7109375" style="1704" customWidth="1"/>
    <col min="4" max="4" width="11.140625" style="1704" customWidth="1"/>
    <col min="5" max="5" width="10.28515625" style="1704" customWidth="1"/>
    <col min="6" max="6" width="10.5703125" style="1704" customWidth="1"/>
    <col min="7" max="7" width="9.7109375" style="1704" hidden="1" customWidth="1"/>
    <col min="8" max="8" width="9.7109375" style="1704" customWidth="1"/>
    <col min="9" max="9" width="16.7109375" style="1704" customWidth="1"/>
    <col min="10" max="16384" width="9.140625" style="1704"/>
  </cols>
  <sheetData>
    <row r="1" spans="1:14" x14ac:dyDescent="0.2">
      <c r="E1" s="2468" t="s">
        <v>2211</v>
      </c>
      <c r="F1" s="2469"/>
      <c r="G1" s="2469"/>
      <c r="H1" s="2469"/>
      <c r="I1" s="2469"/>
    </row>
    <row r="2" spans="1:14" ht="26.25" customHeight="1" x14ac:dyDescent="0.2">
      <c r="E2" s="2469"/>
      <c r="F2" s="2469"/>
      <c r="G2" s="2469"/>
      <c r="H2" s="2469"/>
      <c r="I2" s="2469"/>
    </row>
    <row r="3" spans="1:14" ht="26.25" customHeight="1" x14ac:dyDescent="0.2">
      <c r="E3" s="1882"/>
      <c r="F3" s="1882"/>
      <c r="G3" s="1882"/>
      <c r="H3" s="1882"/>
      <c r="I3" s="1882"/>
    </row>
    <row r="4" spans="1:14" ht="26.25" customHeight="1" x14ac:dyDescent="0.2">
      <c r="E4" s="1882"/>
      <c r="F4" s="1882"/>
      <c r="G4" s="1882"/>
      <c r="H4" s="1882"/>
      <c r="I4" s="1882"/>
    </row>
    <row r="5" spans="1:14" x14ac:dyDescent="0.2">
      <c r="A5" s="1704" t="s">
        <v>1395</v>
      </c>
      <c r="B5" s="1705"/>
      <c r="C5" s="2472" t="s">
        <v>2025</v>
      </c>
      <c r="D5" s="2472"/>
      <c r="E5" s="2472"/>
      <c r="F5" s="2472"/>
      <c r="G5" s="2472"/>
      <c r="H5" s="2472"/>
      <c r="I5" s="2472"/>
    </row>
    <row r="6" spans="1:14" x14ac:dyDescent="0.2">
      <c r="A6" s="1704" t="s">
        <v>1397</v>
      </c>
      <c r="B6" s="1705"/>
      <c r="C6" s="2472">
        <v>90009249367</v>
      </c>
      <c r="D6" s="2472"/>
      <c r="E6" s="2472"/>
      <c r="F6" s="2472"/>
      <c r="G6" s="2472"/>
      <c r="H6" s="2472"/>
      <c r="I6" s="2472"/>
    </row>
    <row r="7" spans="1:14" ht="15.75" x14ac:dyDescent="0.25">
      <c r="A7" s="2471" t="s">
        <v>113</v>
      </c>
      <c r="B7" s="2471"/>
      <c r="C7" s="2471"/>
      <c r="D7" s="2471"/>
      <c r="E7" s="2471"/>
      <c r="F7" s="2471"/>
      <c r="G7" s="2471"/>
      <c r="H7" s="2471"/>
      <c r="I7" s="2471"/>
    </row>
    <row r="8" spans="1:14" x14ac:dyDescent="0.2">
      <c r="A8" s="1704" t="s">
        <v>114</v>
      </c>
      <c r="C8" s="2472"/>
      <c r="D8" s="2472"/>
      <c r="E8" s="2472"/>
      <c r="F8" s="2472"/>
      <c r="G8" s="2472"/>
      <c r="H8" s="2472"/>
      <c r="I8" s="2472"/>
    </row>
    <row r="9" spans="1:14" x14ac:dyDescent="0.2">
      <c r="A9" s="1704" t="s">
        <v>1394</v>
      </c>
      <c r="C9" s="2464" t="s">
        <v>2172</v>
      </c>
      <c r="D9" s="2464"/>
      <c r="E9" s="2464"/>
      <c r="F9" s="2464"/>
      <c r="G9" s="2464"/>
      <c r="H9" s="2464"/>
      <c r="I9" s="2464"/>
    </row>
    <row r="10" spans="1:14" x14ac:dyDescent="0.2">
      <c r="A10" s="1704" t="s">
        <v>1305</v>
      </c>
      <c r="C10" s="2465" t="s">
        <v>762</v>
      </c>
      <c r="D10" s="2465"/>
      <c r="E10" s="2465"/>
      <c r="F10" s="2465"/>
      <c r="G10" s="2465"/>
      <c r="H10" s="2465"/>
      <c r="I10" s="2465"/>
    </row>
    <row r="11" spans="1:14" ht="48" x14ac:dyDescent="0.2">
      <c r="A11" s="1706" t="s">
        <v>47</v>
      </c>
      <c r="B11" s="1706" t="s">
        <v>119</v>
      </c>
      <c r="C11" s="1706" t="s">
        <v>120</v>
      </c>
      <c r="D11" s="1706" t="s">
        <v>121</v>
      </c>
      <c r="E11" s="1706" t="s">
        <v>122</v>
      </c>
      <c r="F11" s="1706" t="s">
        <v>129</v>
      </c>
      <c r="G11" s="1706" t="s">
        <v>124</v>
      </c>
      <c r="H11" s="1706" t="s">
        <v>2165</v>
      </c>
      <c r="I11" s="1706" t="s">
        <v>126</v>
      </c>
    </row>
    <row r="12" spans="1:14" x14ac:dyDescent="0.2">
      <c r="A12" s="2462" t="s">
        <v>130</v>
      </c>
      <c r="B12" s="2463"/>
      <c r="C12" s="1707">
        <f>C13+C29+C38+C56+C67+C80+C87+C105+C109+C122+C72</f>
        <v>0</v>
      </c>
      <c r="D12" s="1707">
        <f>D13+D29+D38+D56+D67+D80+D87+D105+D109+D122+D72</f>
        <v>0</v>
      </c>
      <c r="E12" s="1707">
        <f>E13+E29+E38+E56+E67+E80+E87+E105+E109+E122+E72</f>
        <v>129140</v>
      </c>
      <c r="F12" s="1707"/>
      <c r="G12" s="1707">
        <f>G13+G29+G38+G56+G67+G80+G87+G105+G109+G122+G72</f>
        <v>104090</v>
      </c>
      <c r="H12" s="1707">
        <f>H13+H29+H38+H56+H67+H80+H87+H105+H109+H122+H72</f>
        <v>148114.14028377755</v>
      </c>
      <c r="I12" s="1708"/>
    </row>
    <row r="13" spans="1:14" s="1707" customFormat="1" ht="24" x14ac:dyDescent="0.2">
      <c r="A13" s="1707" t="s">
        <v>1789</v>
      </c>
      <c r="B13" s="1707" t="s">
        <v>2026</v>
      </c>
      <c r="E13" s="1707">
        <f>SUM(E14:E28)</f>
        <v>14847</v>
      </c>
      <c r="G13" s="1707">
        <f t="shared" ref="G13:H13" si="0">SUM(G14:G28)</f>
        <v>14667</v>
      </c>
      <c r="H13" s="1707">
        <f t="shared" si="0"/>
        <v>20871.981189634662</v>
      </c>
      <c r="I13" s="1708"/>
      <c r="J13" s="1704"/>
      <c r="K13" s="1704"/>
      <c r="L13" s="1704"/>
      <c r="M13" s="1704"/>
      <c r="N13" s="1704"/>
    </row>
    <row r="14" spans="1:14" s="1711" customFormat="1" x14ac:dyDescent="0.2">
      <c r="A14" s="1711" t="s">
        <v>199</v>
      </c>
      <c r="B14" s="1711" t="s">
        <v>2027</v>
      </c>
      <c r="E14" s="1711">
        <v>180</v>
      </c>
      <c r="F14" s="1711">
        <v>2370</v>
      </c>
      <c r="G14" s="1711">
        <v>180</v>
      </c>
      <c r="H14" s="1711">
        <f t="shared" ref="H14:H57" si="1">G14/0.702804</f>
        <v>256.11692591391056</v>
      </c>
      <c r="I14" s="1708" t="s">
        <v>2028</v>
      </c>
      <c r="J14" s="1704"/>
      <c r="K14" s="1704"/>
      <c r="L14" s="1704"/>
      <c r="M14" s="1704"/>
      <c r="N14" s="1704"/>
    </row>
    <row r="15" spans="1:14" s="1711" customFormat="1" ht="36" x14ac:dyDescent="0.2">
      <c r="A15" s="1711" t="s">
        <v>2029</v>
      </c>
      <c r="B15" s="1711" t="s">
        <v>152</v>
      </c>
      <c r="E15" s="1711">
        <v>460</v>
      </c>
      <c r="F15" s="1711">
        <v>2279</v>
      </c>
      <c r="G15" s="1711">
        <v>460</v>
      </c>
      <c r="H15" s="1711">
        <f t="shared" si="1"/>
        <v>654.52103289110482</v>
      </c>
      <c r="I15" s="1708" t="s">
        <v>2030</v>
      </c>
      <c r="J15" s="1704"/>
      <c r="K15" s="1704"/>
      <c r="L15" s="1704"/>
      <c r="M15" s="1704"/>
      <c r="N15" s="1704"/>
    </row>
    <row r="16" spans="1:14" s="1711" customFormat="1" x14ac:dyDescent="0.2">
      <c r="A16" s="1711" t="s">
        <v>570</v>
      </c>
      <c r="B16" s="1711" t="s">
        <v>2031</v>
      </c>
      <c r="E16" s="1711">
        <v>1800</v>
      </c>
      <c r="F16" s="1711">
        <v>2363</v>
      </c>
      <c r="G16" s="1711">
        <v>1800</v>
      </c>
      <c r="H16" s="1711">
        <f t="shared" si="1"/>
        <v>2561.1692591391056</v>
      </c>
      <c r="I16" s="1708" t="s">
        <v>2032</v>
      </c>
      <c r="J16" s="1704"/>
      <c r="K16" s="1704"/>
      <c r="L16" s="1704"/>
      <c r="M16" s="1704"/>
      <c r="N16" s="1704"/>
    </row>
    <row r="17" spans="1:14" s="1711" customFormat="1" x14ac:dyDescent="0.2">
      <c r="E17" s="1711">
        <v>2160</v>
      </c>
      <c r="F17" s="1711">
        <v>2261</v>
      </c>
      <c r="G17" s="1711">
        <v>2160</v>
      </c>
      <c r="H17" s="1711">
        <f t="shared" si="1"/>
        <v>3073.4031109669268</v>
      </c>
      <c r="I17" s="1708"/>
      <c r="J17" s="1704"/>
      <c r="K17" s="1704"/>
      <c r="L17" s="1704"/>
      <c r="M17" s="1704"/>
      <c r="N17" s="1704"/>
    </row>
    <row r="18" spans="1:14" s="1711" customFormat="1" x14ac:dyDescent="0.2">
      <c r="E18" s="1711">
        <v>180</v>
      </c>
      <c r="F18" s="1711">
        <v>2370</v>
      </c>
      <c r="H18" s="1711">
        <f t="shared" si="1"/>
        <v>0</v>
      </c>
      <c r="I18" s="1708"/>
      <c r="J18" s="1704"/>
      <c r="K18" s="1704"/>
      <c r="L18" s="1704"/>
      <c r="M18" s="1704"/>
      <c r="N18" s="1704"/>
    </row>
    <row r="19" spans="1:14" s="1711" customFormat="1" x14ac:dyDescent="0.2">
      <c r="E19" s="1711">
        <v>90</v>
      </c>
      <c r="F19" s="1711">
        <v>2341</v>
      </c>
      <c r="G19" s="1711">
        <v>90</v>
      </c>
      <c r="H19" s="1711">
        <f t="shared" si="1"/>
        <v>128.05846295695528</v>
      </c>
      <c r="I19" s="1708"/>
      <c r="J19" s="1704"/>
      <c r="K19" s="1704"/>
      <c r="L19" s="1704"/>
      <c r="M19" s="1704"/>
      <c r="N19" s="1704"/>
    </row>
    <row r="20" spans="1:14" s="1711" customFormat="1" x14ac:dyDescent="0.2">
      <c r="E20" s="1711">
        <v>152</v>
      </c>
      <c r="F20" s="1711">
        <v>2322</v>
      </c>
      <c r="G20" s="1711">
        <v>152</v>
      </c>
      <c r="H20" s="1711">
        <v>217</v>
      </c>
      <c r="I20" s="1708"/>
      <c r="J20" s="1704"/>
      <c r="K20" s="1704"/>
      <c r="L20" s="1704"/>
      <c r="M20" s="1704"/>
      <c r="N20" s="1704"/>
    </row>
    <row r="21" spans="1:14" s="1711" customFormat="1" x14ac:dyDescent="0.2">
      <c r="A21" s="1711" t="s">
        <v>1628</v>
      </c>
      <c r="B21" s="1711" t="s">
        <v>2033</v>
      </c>
      <c r="E21" s="1711">
        <v>1110</v>
      </c>
      <c r="F21" s="1711">
        <v>2262</v>
      </c>
      <c r="G21" s="1711">
        <v>1110</v>
      </c>
      <c r="H21" s="1711">
        <v>1580</v>
      </c>
      <c r="I21" s="1725" t="s">
        <v>2034</v>
      </c>
      <c r="J21" s="1704"/>
      <c r="K21" s="1704"/>
      <c r="L21" s="1704"/>
      <c r="M21" s="1704"/>
      <c r="N21" s="1704"/>
    </row>
    <row r="22" spans="1:14" s="1711" customFormat="1" x14ac:dyDescent="0.2">
      <c r="A22" s="1711" t="s">
        <v>2035</v>
      </c>
      <c r="B22" s="1711" t="s">
        <v>2036</v>
      </c>
      <c r="H22" s="1711">
        <f t="shared" si="1"/>
        <v>0</v>
      </c>
      <c r="I22" s="1708" t="s">
        <v>2037</v>
      </c>
      <c r="J22" s="1704"/>
      <c r="K22" s="1704"/>
      <c r="L22" s="1704"/>
      <c r="M22" s="1704"/>
      <c r="N22" s="1704"/>
    </row>
    <row r="23" spans="1:14" s="1711" customFormat="1" ht="24" x14ac:dyDescent="0.2">
      <c r="A23" s="1711" t="s">
        <v>1632</v>
      </c>
      <c r="B23" s="1711" t="s">
        <v>2038</v>
      </c>
      <c r="C23" s="1712"/>
      <c r="D23" s="1712"/>
      <c r="E23" s="1712">
        <v>375</v>
      </c>
      <c r="F23" s="1712">
        <v>2361</v>
      </c>
      <c r="G23" s="1712">
        <v>375</v>
      </c>
      <c r="H23" s="1712">
        <f t="shared" si="1"/>
        <v>533.57692898731364</v>
      </c>
      <c r="I23" s="1726" t="s">
        <v>2039</v>
      </c>
      <c r="J23" s="1704"/>
      <c r="K23" s="1704"/>
      <c r="L23" s="1704"/>
      <c r="M23" s="1704"/>
      <c r="N23" s="1704"/>
    </row>
    <row r="24" spans="1:14" s="1711" customFormat="1" x14ac:dyDescent="0.2">
      <c r="A24" s="1711" t="s">
        <v>1634</v>
      </c>
      <c r="B24" s="1711" t="s">
        <v>2031</v>
      </c>
      <c r="C24" s="1712"/>
      <c r="D24" s="1712"/>
      <c r="E24" s="1712">
        <v>1000</v>
      </c>
      <c r="F24" s="1712">
        <v>2262</v>
      </c>
      <c r="G24" s="1712">
        <v>1000</v>
      </c>
      <c r="H24" s="1712">
        <f t="shared" si="1"/>
        <v>1422.8718106328365</v>
      </c>
      <c r="I24" s="1726" t="s">
        <v>2033</v>
      </c>
      <c r="J24" s="1704"/>
      <c r="K24" s="1704"/>
      <c r="L24" s="1704"/>
      <c r="M24" s="1704"/>
      <c r="N24" s="1704"/>
    </row>
    <row r="25" spans="1:14" s="1711" customFormat="1" ht="24" x14ac:dyDescent="0.2">
      <c r="C25" s="1712"/>
      <c r="D25" s="1712"/>
      <c r="E25" s="1712">
        <v>2800</v>
      </c>
      <c r="F25" s="1712">
        <v>2363</v>
      </c>
      <c r="G25" s="1712">
        <v>2800</v>
      </c>
      <c r="H25" s="1712">
        <f t="shared" si="1"/>
        <v>3984.0410697719421</v>
      </c>
      <c r="I25" s="1726" t="s">
        <v>2040</v>
      </c>
      <c r="J25" s="1704"/>
      <c r="K25" s="1704"/>
      <c r="L25" s="1704"/>
      <c r="M25" s="1704"/>
      <c r="N25" s="1704"/>
    </row>
    <row r="26" spans="1:14" s="1711" customFormat="1" x14ac:dyDescent="0.2">
      <c r="C26" s="1712"/>
      <c r="D26" s="1712"/>
      <c r="E26" s="1712">
        <v>1540</v>
      </c>
      <c r="F26" s="1712">
        <v>2261</v>
      </c>
      <c r="G26" s="1712">
        <v>1540</v>
      </c>
      <c r="H26" s="1712">
        <f t="shared" si="1"/>
        <v>2191.2225883745682</v>
      </c>
      <c r="I26" s="1726" t="s">
        <v>1349</v>
      </c>
      <c r="J26" s="1704"/>
      <c r="K26" s="1704"/>
      <c r="L26" s="1704"/>
      <c r="M26" s="1704"/>
      <c r="N26" s="1704"/>
    </row>
    <row r="27" spans="1:14" s="1711" customFormat="1" ht="24" x14ac:dyDescent="0.2">
      <c r="A27" s="1711" t="s">
        <v>1636</v>
      </c>
      <c r="B27" s="1711" t="s">
        <v>2041</v>
      </c>
      <c r="C27" s="1712"/>
      <c r="D27" s="1712"/>
      <c r="E27" s="1712">
        <v>1000</v>
      </c>
      <c r="F27" s="1712">
        <v>2279</v>
      </c>
      <c r="G27" s="1712">
        <v>1000</v>
      </c>
      <c r="H27" s="1712">
        <v>1424</v>
      </c>
      <c r="I27" s="1726" t="s">
        <v>2042</v>
      </c>
      <c r="J27" s="1704"/>
      <c r="K27" s="1704"/>
      <c r="L27" s="1704"/>
      <c r="M27" s="1704"/>
      <c r="N27" s="1704"/>
    </row>
    <row r="28" spans="1:14" s="1711" customFormat="1" x14ac:dyDescent="0.2">
      <c r="C28" s="1712"/>
      <c r="D28" s="1712"/>
      <c r="E28" s="1712">
        <v>2000</v>
      </c>
      <c r="F28" s="1712">
        <v>2262</v>
      </c>
      <c r="G28" s="1712">
        <v>2000</v>
      </c>
      <c r="H28" s="1712">
        <v>2846</v>
      </c>
      <c r="I28" s="1726" t="s">
        <v>2043</v>
      </c>
      <c r="J28" s="1704"/>
      <c r="K28" s="1704"/>
      <c r="L28" s="1704"/>
      <c r="M28" s="1704"/>
      <c r="N28" s="1704"/>
    </row>
    <row r="29" spans="1:14" s="1707" customFormat="1" ht="24" x14ac:dyDescent="0.2">
      <c r="A29" s="1707" t="s">
        <v>1791</v>
      </c>
      <c r="B29" s="1707" t="s">
        <v>2044</v>
      </c>
      <c r="C29" s="1727"/>
      <c r="D29" s="1727"/>
      <c r="E29" s="1727">
        <f>SUM(E30:E37)</f>
        <v>4362</v>
      </c>
      <c r="F29" s="1727"/>
      <c r="G29" s="1727">
        <f t="shared" ref="G29:H29" si="2">SUM(G30:G37)</f>
        <v>4242</v>
      </c>
      <c r="H29" s="1727">
        <f t="shared" si="2"/>
        <v>6036.7637577475371</v>
      </c>
      <c r="I29" s="1726"/>
      <c r="J29" s="1704"/>
      <c r="K29" s="1704"/>
      <c r="L29" s="1704"/>
      <c r="M29" s="1704"/>
      <c r="N29" s="1704"/>
    </row>
    <row r="30" spans="1:14" s="1711" customFormat="1" ht="36" x14ac:dyDescent="0.2">
      <c r="A30" s="1711" t="s">
        <v>211</v>
      </c>
      <c r="B30" s="1711" t="s">
        <v>2016</v>
      </c>
      <c r="C30" s="1712"/>
      <c r="D30" s="1712"/>
      <c r="E30" s="1712">
        <v>400</v>
      </c>
      <c r="F30" s="1712">
        <v>2279</v>
      </c>
      <c r="G30" s="1712">
        <v>400</v>
      </c>
      <c r="H30" s="1712">
        <f t="shared" si="1"/>
        <v>569.14872425313456</v>
      </c>
      <c r="I30" s="1726" t="s">
        <v>2030</v>
      </c>
      <c r="J30" s="1704"/>
      <c r="K30" s="1704"/>
      <c r="L30" s="1704"/>
      <c r="M30" s="1704"/>
      <c r="N30" s="1704"/>
    </row>
    <row r="31" spans="1:14" s="1711" customFormat="1" x14ac:dyDescent="0.2">
      <c r="A31" s="1711" t="s">
        <v>216</v>
      </c>
      <c r="B31" s="1711" t="s">
        <v>2045</v>
      </c>
      <c r="E31" s="1711">
        <v>120</v>
      </c>
      <c r="F31" s="1711">
        <v>2370</v>
      </c>
      <c r="H31" s="1711">
        <f t="shared" si="1"/>
        <v>0</v>
      </c>
      <c r="I31" s="1708" t="s">
        <v>2046</v>
      </c>
      <c r="J31" s="1704"/>
      <c r="K31" s="1704"/>
      <c r="L31" s="1704"/>
      <c r="M31" s="1704"/>
      <c r="N31" s="1704"/>
    </row>
    <row r="32" spans="1:14" s="1711" customFormat="1" x14ac:dyDescent="0.2">
      <c r="A32" s="1711" t="s">
        <v>219</v>
      </c>
      <c r="B32" s="1711" t="s">
        <v>2047</v>
      </c>
      <c r="E32" s="1711">
        <v>1500</v>
      </c>
      <c r="F32" s="1711">
        <v>2363</v>
      </c>
      <c r="G32" s="1711">
        <v>1500</v>
      </c>
      <c r="H32" s="1711">
        <f t="shared" si="1"/>
        <v>2134.3077159492545</v>
      </c>
      <c r="I32" s="1708" t="s">
        <v>2048</v>
      </c>
      <c r="J32" s="1704"/>
      <c r="K32" s="1704"/>
      <c r="L32" s="1704"/>
      <c r="M32" s="1704"/>
      <c r="N32" s="1704"/>
    </row>
    <row r="33" spans="1:14" s="1711" customFormat="1" x14ac:dyDescent="0.2">
      <c r="E33" s="1711">
        <v>1622</v>
      </c>
      <c r="F33" s="1711">
        <v>2261</v>
      </c>
      <c r="G33" s="1711">
        <v>1622</v>
      </c>
      <c r="H33" s="1711">
        <f t="shared" si="1"/>
        <v>2307.8980768464608</v>
      </c>
      <c r="I33" s="1708"/>
      <c r="J33" s="1704"/>
      <c r="K33" s="1704"/>
      <c r="L33" s="1704"/>
      <c r="M33" s="1704"/>
      <c r="N33" s="1704"/>
    </row>
    <row r="34" spans="1:14" s="1711" customFormat="1" x14ac:dyDescent="0.2">
      <c r="E34" s="1711">
        <v>90</v>
      </c>
      <c r="F34" s="1711">
        <v>2341</v>
      </c>
      <c r="G34" s="1711">
        <v>90</v>
      </c>
      <c r="H34" s="1711">
        <f t="shared" si="1"/>
        <v>128.05846295695528</v>
      </c>
      <c r="I34" s="1708"/>
      <c r="J34" s="1704"/>
      <c r="K34" s="1704"/>
      <c r="L34" s="1704"/>
      <c r="M34" s="1704"/>
      <c r="N34" s="1704"/>
    </row>
    <row r="35" spans="1:14" s="1711" customFormat="1" x14ac:dyDescent="0.2">
      <c r="E35" s="1711">
        <v>90</v>
      </c>
      <c r="F35" s="1711">
        <v>2322</v>
      </c>
      <c r="G35" s="1711">
        <v>90</v>
      </c>
      <c r="H35" s="1711">
        <v>129</v>
      </c>
      <c r="I35" s="1708"/>
      <c r="J35" s="1704"/>
      <c r="K35" s="1704"/>
      <c r="L35" s="1704"/>
      <c r="M35" s="1704"/>
      <c r="N35" s="1704"/>
    </row>
    <row r="36" spans="1:14" s="1711" customFormat="1" x14ac:dyDescent="0.2">
      <c r="A36" s="1711" t="s">
        <v>1640</v>
      </c>
      <c r="B36" s="1711" t="s">
        <v>2033</v>
      </c>
      <c r="E36" s="1711">
        <v>540</v>
      </c>
      <c r="F36" s="1711">
        <v>2262</v>
      </c>
      <c r="G36" s="1711">
        <v>540</v>
      </c>
      <c r="H36" s="1711">
        <f t="shared" si="1"/>
        <v>768.35077774173169</v>
      </c>
      <c r="I36" s="1708" t="s">
        <v>2049</v>
      </c>
      <c r="J36" s="1704"/>
      <c r="K36" s="1704"/>
      <c r="L36" s="1704"/>
      <c r="M36" s="1704"/>
      <c r="N36" s="1704"/>
    </row>
    <row r="37" spans="1:14" s="1711" customFormat="1" x14ac:dyDescent="0.2">
      <c r="A37" s="1711" t="s">
        <v>1642</v>
      </c>
      <c r="B37" s="1711" t="s">
        <v>2050</v>
      </c>
      <c r="H37" s="1711">
        <f t="shared" si="1"/>
        <v>0</v>
      </c>
      <c r="I37" s="1708" t="s">
        <v>2051</v>
      </c>
      <c r="J37" s="1704"/>
      <c r="K37" s="1704"/>
      <c r="L37" s="1704"/>
      <c r="M37" s="1704"/>
      <c r="N37" s="1704"/>
    </row>
    <row r="38" spans="1:14" s="1707" customFormat="1" ht="24" x14ac:dyDescent="0.2">
      <c r="A38" s="1707" t="s">
        <v>2052</v>
      </c>
      <c r="B38" s="1707" t="s">
        <v>2053</v>
      </c>
      <c r="E38" s="1707">
        <f>SUM(E39:E55)</f>
        <v>15985</v>
      </c>
      <c r="G38" s="1707">
        <f>SUM(G39:G55)</f>
        <v>16233</v>
      </c>
      <c r="H38" s="1707">
        <f>SUM(H39:H55)</f>
        <v>23098.862670104321</v>
      </c>
      <c r="I38" s="1710"/>
      <c r="J38" s="1728"/>
      <c r="K38" s="1728"/>
      <c r="L38" s="1728"/>
      <c r="M38" s="1728"/>
      <c r="N38" s="1728"/>
    </row>
    <row r="39" spans="1:14" s="1711" customFormat="1" ht="24" x14ac:dyDescent="0.2">
      <c r="A39" s="1711" t="s">
        <v>222</v>
      </c>
      <c r="B39" s="1711" t="s">
        <v>2054</v>
      </c>
      <c r="E39" s="1711">
        <v>400</v>
      </c>
      <c r="F39" s="1711">
        <v>2279</v>
      </c>
      <c r="G39" s="1711">
        <v>400</v>
      </c>
      <c r="H39" s="1711">
        <f t="shared" si="1"/>
        <v>569.14872425313456</v>
      </c>
      <c r="I39" s="1708" t="s">
        <v>2055</v>
      </c>
      <c r="J39" s="1704"/>
      <c r="K39" s="1704"/>
      <c r="L39" s="1704"/>
      <c r="M39" s="1704"/>
      <c r="N39" s="1704"/>
    </row>
    <row r="40" spans="1:14" s="1711" customFormat="1" x14ac:dyDescent="0.2">
      <c r="A40" s="1711" t="s">
        <v>227</v>
      </c>
      <c r="B40" s="1711" t="s">
        <v>2027</v>
      </c>
      <c r="E40" s="1711">
        <v>130</v>
      </c>
      <c r="F40" s="1711">
        <v>2370</v>
      </c>
      <c r="H40" s="1711">
        <f t="shared" si="1"/>
        <v>0</v>
      </c>
      <c r="I40" s="1708" t="s">
        <v>2056</v>
      </c>
      <c r="J40" s="1704"/>
      <c r="K40" s="1704"/>
      <c r="L40" s="1704"/>
      <c r="M40" s="1704"/>
      <c r="N40" s="1704"/>
    </row>
    <row r="41" spans="1:14" s="1711" customFormat="1" ht="84" x14ac:dyDescent="0.2">
      <c r="A41" s="1711" t="s">
        <v>581</v>
      </c>
      <c r="B41" s="1711" t="s">
        <v>1349</v>
      </c>
      <c r="E41" s="1711">
        <v>625</v>
      </c>
      <c r="F41" s="1711">
        <v>2261</v>
      </c>
      <c r="G41" s="1711">
        <v>625</v>
      </c>
      <c r="H41" s="1711">
        <f t="shared" si="1"/>
        <v>889.29488164552276</v>
      </c>
      <c r="I41" s="1708" t="s">
        <v>2171</v>
      </c>
      <c r="J41" s="1704"/>
      <c r="K41" s="1704"/>
      <c r="L41" s="1704"/>
      <c r="M41" s="1704"/>
      <c r="N41" s="1704"/>
    </row>
    <row r="42" spans="1:14" s="1711" customFormat="1" x14ac:dyDescent="0.2">
      <c r="A42" s="1711" t="s">
        <v>584</v>
      </c>
      <c r="B42" s="1711" t="s">
        <v>2057</v>
      </c>
      <c r="E42" s="1711">
        <v>3000</v>
      </c>
      <c r="F42" s="1711">
        <v>2363</v>
      </c>
      <c r="G42" s="1711">
        <v>3000</v>
      </c>
      <c r="H42" s="1711">
        <v>4270</v>
      </c>
      <c r="I42" s="1708" t="s">
        <v>2058</v>
      </c>
      <c r="J42" s="1704"/>
      <c r="K42" s="1704"/>
      <c r="L42" s="1704"/>
      <c r="M42" s="1704"/>
      <c r="N42" s="1704"/>
    </row>
    <row r="43" spans="1:14" s="1711" customFormat="1" x14ac:dyDescent="0.2">
      <c r="E43" s="1711">
        <v>3240</v>
      </c>
      <c r="F43" s="1711">
        <v>2261</v>
      </c>
      <c r="G43" s="1711">
        <v>3618</v>
      </c>
      <c r="H43" s="1711">
        <f t="shared" si="1"/>
        <v>5147.9502108696024</v>
      </c>
      <c r="I43" s="1708"/>
      <c r="J43" s="1704"/>
      <c r="K43" s="1704"/>
      <c r="L43" s="1704"/>
      <c r="M43" s="1704"/>
      <c r="N43" s="1704"/>
    </row>
    <row r="44" spans="1:14" s="1711" customFormat="1" x14ac:dyDescent="0.2">
      <c r="E44" s="1711">
        <v>180</v>
      </c>
      <c r="F44" s="1711">
        <v>2370</v>
      </c>
      <c r="G44" s="1711">
        <v>180</v>
      </c>
      <c r="H44" s="1711">
        <f t="shared" si="1"/>
        <v>256.11692591391056</v>
      </c>
      <c r="I44" s="1708"/>
      <c r="J44" s="1704"/>
      <c r="K44" s="1704"/>
      <c r="L44" s="1704"/>
      <c r="M44" s="1704"/>
      <c r="N44" s="1704"/>
    </row>
    <row r="45" spans="1:14" s="1711" customFormat="1" x14ac:dyDescent="0.2">
      <c r="E45" s="1711">
        <v>110</v>
      </c>
      <c r="F45" s="1711">
        <v>2322</v>
      </c>
      <c r="G45" s="1711">
        <v>110</v>
      </c>
      <c r="H45" s="1711">
        <f t="shared" si="1"/>
        <v>156.51589916961203</v>
      </c>
      <c r="I45" s="1708"/>
      <c r="J45" s="1704"/>
      <c r="K45" s="1704"/>
      <c r="L45" s="1704"/>
      <c r="M45" s="1704"/>
      <c r="N45" s="1704"/>
    </row>
    <row r="46" spans="1:14" s="1711" customFormat="1" ht="24" x14ac:dyDescent="0.2">
      <c r="A46" s="1712" t="s">
        <v>586</v>
      </c>
      <c r="B46" s="1712" t="s">
        <v>2033</v>
      </c>
      <c r="C46" s="1712"/>
      <c r="D46" s="1712"/>
      <c r="E46" s="1712">
        <v>420</v>
      </c>
      <c r="F46" s="1712">
        <v>2262</v>
      </c>
      <c r="G46" s="1712">
        <v>420</v>
      </c>
      <c r="H46" s="1712">
        <f t="shared" si="1"/>
        <v>597.60616046579128</v>
      </c>
      <c r="I46" s="1726" t="s">
        <v>2059</v>
      </c>
      <c r="J46" s="1704"/>
      <c r="K46" s="1704"/>
      <c r="L46" s="1704"/>
      <c r="M46" s="1704"/>
      <c r="N46" s="1704"/>
    </row>
    <row r="47" spans="1:14" s="1711" customFormat="1" x14ac:dyDescent="0.2">
      <c r="A47" s="1712" t="s">
        <v>2060</v>
      </c>
      <c r="B47" s="1712" t="s">
        <v>2050</v>
      </c>
      <c r="C47" s="1712"/>
      <c r="D47" s="1712"/>
      <c r="E47" s="1712"/>
      <c r="F47" s="1712"/>
      <c r="G47" s="1712"/>
      <c r="H47" s="1712">
        <f t="shared" si="1"/>
        <v>0</v>
      </c>
      <c r="I47" s="1726" t="s">
        <v>2061</v>
      </c>
      <c r="J47" s="1704"/>
      <c r="K47" s="1704"/>
      <c r="L47" s="1704"/>
      <c r="M47" s="1704"/>
      <c r="N47" s="1704"/>
    </row>
    <row r="48" spans="1:14" s="1711" customFormat="1" x14ac:dyDescent="0.2">
      <c r="A48" s="1712" t="s">
        <v>2062</v>
      </c>
      <c r="B48" s="1712" t="s">
        <v>2010</v>
      </c>
      <c r="C48" s="1712"/>
      <c r="D48" s="1712"/>
      <c r="E48" s="1712">
        <v>840</v>
      </c>
      <c r="F48" s="1712">
        <v>2361</v>
      </c>
      <c r="G48" s="1712">
        <v>840</v>
      </c>
      <c r="H48" s="1712">
        <f t="shared" si="1"/>
        <v>1195.2123209315826</v>
      </c>
      <c r="I48" s="1726" t="s">
        <v>2063</v>
      </c>
      <c r="J48" s="1704"/>
      <c r="K48" s="1704"/>
      <c r="L48" s="1704"/>
      <c r="M48" s="1704"/>
      <c r="N48" s="1704"/>
    </row>
    <row r="49" spans="1:14" s="1711" customFormat="1" ht="48" x14ac:dyDescent="0.2">
      <c r="A49" s="1726" t="s">
        <v>2064</v>
      </c>
      <c r="B49" s="1726" t="s">
        <v>2065</v>
      </c>
      <c r="C49" s="1712"/>
      <c r="D49" s="1712"/>
      <c r="E49" s="1712">
        <v>1142</v>
      </c>
      <c r="F49" s="1712">
        <v>2279</v>
      </c>
      <c r="G49" s="1712">
        <v>1142</v>
      </c>
      <c r="H49" s="1712">
        <f t="shared" si="1"/>
        <v>1624.9196077426993</v>
      </c>
      <c r="I49" s="1726" t="s">
        <v>2066</v>
      </c>
      <c r="J49" s="1704"/>
      <c r="K49" s="1704"/>
      <c r="L49" s="1704"/>
      <c r="M49" s="1704"/>
      <c r="N49" s="1704"/>
    </row>
    <row r="50" spans="1:14" s="1711" customFormat="1" ht="24" x14ac:dyDescent="0.2">
      <c r="A50" s="1726"/>
      <c r="B50" s="1726" t="s">
        <v>2067</v>
      </c>
      <c r="C50" s="1712"/>
      <c r="D50" s="1712"/>
      <c r="E50" s="1712">
        <v>210</v>
      </c>
      <c r="F50" s="1712">
        <v>2279</v>
      </c>
      <c r="G50" s="1712">
        <v>210</v>
      </c>
      <c r="H50" s="1712">
        <f t="shared" si="1"/>
        <v>298.80308023289564</v>
      </c>
      <c r="I50" s="1726" t="s">
        <v>152</v>
      </c>
      <c r="J50" s="1704"/>
      <c r="K50" s="1704"/>
      <c r="L50" s="1704"/>
      <c r="M50" s="1704"/>
      <c r="N50" s="1704"/>
    </row>
    <row r="51" spans="1:14" s="1711" customFormat="1" ht="24" x14ac:dyDescent="0.2">
      <c r="A51" s="1726"/>
      <c r="B51" s="1726"/>
      <c r="C51" s="1712"/>
      <c r="D51" s="1712"/>
      <c r="E51" s="1712">
        <v>700</v>
      </c>
      <c r="F51" s="1712">
        <v>2361</v>
      </c>
      <c r="G51" s="1712">
        <v>700</v>
      </c>
      <c r="H51" s="1712">
        <f t="shared" si="1"/>
        <v>996.01026744298554</v>
      </c>
      <c r="I51" s="1726" t="s">
        <v>2068</v>
      </c>
      <c r="J51" s="1704"/>
      <c r="K51" s="1704"/>
      <c r="L51" s="1704"/>
      <c r="M51" s="1704"/>
      <c r="N51" s="1704"/>
    </row>
    <row r="52" spans="1:14" s="1711" customFormat="1" ht="36" x14ac:dyDescent="0.2">
      <c r="A52" s="1726"/>
      <c r="B52" s="1726" t="s">
        <v>2069</v>
      </c>
      <c r="C52" s="1712"/>
      <c r="D52" s="1712"/>
      <c r="E52" s="1712">
        <v>700</v>
      </c>
      <c r="F52" s="1712">
        <v>2279</v>
      </c>
      <c r="G52" s="1712">
        <v>700</v>
      </c>
      <c r="H52" s="1712">
        <f t="shared" si="1"/>
        <v>996.01026744298554</v>
      </c>
      <c r="I52" s="1726" t="s">
        <v>2070</v>
      </c>
      <c r="J52" s="1704"/>
      <c r="K52" s="1704"/>
      <c r="L52" s="1704"/>
      <c r="M52" s="1704"/>
      <c r="N52" s="1704"/>
    </row>
    <row r="53" spans="1:14" s="1711" customFormat="1" ht="60" x14ac:dyDescent="0.2">
      <c r="A53" s="1726"/>
      <c r="B53" s="1726"/>
      <c r="C53" s="1712"/>
      <c r="D53" s="1712"/>
      <c r="E53" s="1712">
        <v>2720</v>
      </c>
      <c r="F53" s="1712">
        <v>2279</v>
      </c>
      <c r="G53" s="1712">
        <v>2720</v>
      </c>
      <c r="H53" s="1712">
        <f t="shared" si="1"/>
        <v>3870.2113249213153</v>
      </c>
      <c r="I53" s="1726" t="s">
        <v>2071</v>
      </c>
      <c r="J53" s="1704"/>
      <c r="K53" s="1704"/>
      <c r="L53" s="1704"/>
      <c r="M53" s="1704"/>
      <c r="N53" s="1704"/>
    </row>
    <row r="54" spans="1:14" s="1711" customFormat="1" x14ac:dyDescent="0.2">
      <c r="A54" s="1711" t="s">
        <v>2072</v>
      </c>
      <c r="B54" s="1711" t="s">
        <v>2033</v>
      </c>
      <c r="E54" s="1711">
        <v>1176</v>
      </c>
      <c r="F54" s="1711">
        <v>2262</v>
      </c>
      <c r="G54" s="1711">
        <v>1176</v>
      </c>
      <c r="H54" s="1711">
        <f t="shared" si="1"/>
        <v>1673.2972493042157</v>
      </c>
      <c r="I54" s="1708"/>
      <c r="J54" s="1704"/>
      <c r="K54" s="1704"/>
      <c r="L54" s="1704"/>
      <c r="M54" s="1704"/>
      <c r="N54" s="1704"/>
    </row>
    <row r="55" spans="1:14" s="1711" customFormat="1" x14ac:dyDescent="0.2">
      <c r="B55" s="1711" t="s">
        <v>2073</v>
      </c>
      <c r="E55" s="1711">
        <v>392</v>
      </c>
      <c r="F55" s="1711">
        <v>2279</v>
      </c>
      <c r="G55" s="1711">
        <v>392</v>
      </c>
      <c r="H55" s="1711">
        <f t="shared" si="1"/>
        <v>557.76574976807194</v>
      </c>
      <c r="I55" s="1708" t="s">
        <v>2074</v>
      </c>
      <c r="J55" s="1704"/>
      <c r="K55" s="1704"/>
      <c r="L55" s="1704"/>
      <c r="M55" s="1704"/>
      <c r="N55" s="1704"/>
    </row>
    <row r="56" spans="1:14" s="1707" customFormat="1" ht="24" x14ac:dyDescent="0.2">
      <c r="A56" s="1707" t="s">
        <v>2075</v>
      </c>
      <c r="B56" s="1707" t="s">
        <v>2076</v>
      </c>
      <c r="E56" s="1707">
        <f>SUM(E57:E66)</f>
        <v>8759</v>
      </c>
      <c r="G56" s="1707">
        <f t="shared" ref="G56:H56" si="3">SUM(G57:G66)</f>
        <v>7269</v>
      </c>
      <c r="H56" s="1707">
        <f t="shared" si="3"/>
        <v>10342.855191490089</v>
      </c>
      <c r="I56" s="1710"/>
      <c r="J56" s="1728"/>
      <c r="K56" s="1728"/>
      <c r="L56" s="1728"/>
      <c r="M56" s="1728"/>
      <c r="N56" s="1728"/>
    </row>
    <row r="57" spans="1:14" s="1711" customFormat="1" x14ac:dyDescent="0.2">
      <c r="A57" s="1711" t="s">
        <v>231</v>
      </c>
      <c r="B57" s="1711" t="s">
        <v>152</v>
      </c>
      <c r="E57" s="1711">
        <v>475</v>
      </c>
      <c r="F57" s="1711">
        <v>2279</v>
      </c>
      <c r="G57" s="1711">
        <v>475</v>
      </c>
      <c r="H57" s="1711">
        <f t="shared" si="1"/>
        <v>675.86411005059733</v>
      </c>
      <c r="I57" s="1708" t="s">
        <v>2077</v>
      </c>
      <c r="J57" s="1704"/>
      <c r="K57" s="1704"/>
      <c r="L57" s="1704"/>
      <c r="M57" s="1704"/>
      <c r="N57" s="1704"/>
    </row>
    <row r="58" spans="1:14" s="1711" customFormat="1" x14ac:dyDescent="0.2">
      <c r="A58" s="1711" t="s">
        <v>234</v>
      </c>
      <c r="B58" s="1711" t="s">
        <v>2027</v>
      </c>
      <c r="E58" s="1711">
        <v>110</v>
      </c>
      <c r="F58" s="1711">
        <v>2370</v>
      </c>
      <c r="I58" s="1708" t="s">
        <v>2078</v>
      </c>
      <c r="J58" s="1704"/>
      <c r="K58" s="1704"/>
      <c r="L58" s="1704"/>
      <c r="M58" s="1704"/>
      <c r="N58" s="1704"/>
    </row>
    <row r="59" spans="1:14" s="1711" customFormat="1" x14ac:dyDescent="0.2">
      <c r="A59" s="1711" t="s">
        <v>1651</v>
      </c>
      <c r="B59" s="1711" t="s">
        <v>2010</v>
      </c>
      <c r="E59" s="1711">
        <v>750</v>
      </c>
      <c r="F59" s="1711">
        <v>2361</v>
      </c>
      <c r="G59" s="1711">
        <v>320</v>
      </c>
      <c r="H59" s="1711">
        <f t="shared" ref="H59:H71" si="4">G59/0.702804</f>
        <v>455.31897940250769</v>
      </c>
      <c r="I59" s="1708" t="s">
        <v>2079</v>
      </c>
      <c r="J59" s="1704"/>
      <c r="K59" s="1704"/>
      <c r="L59" s="1704"/>
      <c r="M59" s="1704"/>
      <c r="N59" s="1704"/>
    </row>
    <row r="60" spans="1:14" s="1711" customFormat="1" ht="36" x14ac:dyDescent="0.2">
      <c r="A60" s="1711" t="s">
        <v>1653</v>
      </c>
      <c r="B60" s="1711" t="s">
        <v>2080</v>
      </c>
      <c r="E60" s="1711">
        <v>480</v>
      </c>
      <c r="F60" s="1711">
        <v>2261</v>
      </c>
      <c r="G60" s="1711">
        <v>480</v>
      </c>
      <c r="H60" s="1711">
        <f t="shared" si="4"/>
        <v>682.97846910376154</v>
      </c>
      <c r="I60" s="1708" t="s">
        <v>2081</v>
      </c>
      <c r="J60" s="1704"/>
      <c r="K60" s="1704"/>
      <c r="L60" s="1704"/>
      <c r="M60" s="1704"/>
      <c r="N60" s="1704"/>
    </row>
    <row r="61" spans="1:14" s="1711" customFormat="1" x14ac:dyDescent="0.2">
      <c r="A61" s="1711" t="s">
        <v>1655</v>
      </c>
      <c r="B61" s="1711" t="s">
        <v>2031</v>
      </c>
      <c r="E61" s="1711">
        <v>3000</v>
      </c>
      <c r="F61" s="1711">
        <v>2363</v>
      </c>
      <c r="G61" s="1711">
        <v>2050</v>
      </c>
      <c r="H61" s="1711">
        <f t="shared" si="4"/>
        <v>2916.8872117973146</v>
      </c>
      <c r="I61" s="1708" t="s">
        <v>2082</v>
      </c>
      <c r="J61" s="1704"/>
      <c r="K61" s="1704"/>
      <c r="L61" s="1704"/>
      <c r="M61" s="1704"/>
      <c r="N61" s="1704"/>
    </row>
    <row r="62" spans="1:14" s="1711" customFormat="1" x14ac:dyDescent="0.2">
      <c r="E62" s="1711">
        <v>3240</v>
      </c>
      <c r="F62" s="1711">
        <v>2261</v>
      </c>
      <c r="G62" s="1711">
        <v>3240</v>
      </c>
      <c r="H62" s="1711">
        <f t="shared" si="4"/>
        <v>4610.1046664503901</v>
      </c>
      <c r="I62" s="1708"/>
      <c r="J62" s="1704"/>
      <c r="K62" s="1704"/>
      <c r="L62" s="1704"/>
      <c r="M62" s="1704"/>
      <c r="N62" s="1704"/>
    </row>
    <row r="63" spans="1:14" s="1711" customFormat="1" x14ac:dyDescent="0.2">
      <c r="E63" s="1711">
        <v>360</v>
      </c>
      <c r="F63" s="1711">
        <v>2370</v>
      </c>
      <c r="G63" s="1711">
        <v>360</v>
      </c>
      <c r="H63" s="1711">
        <f t="shared" si="4"/>
        <v>512.23385182782113</v>
      </c>
      <c r="I63" s="1708"/>
      <c r="J63" s="1704"/>
      <c r="K63" s="1704"/>
      <c r="L63" s="1704"/>
      <c r="M63" s="1704"/>
      <c r="N63" s="1704"/>
    </row>
    <row r="64" spans="1:14" s="1711" customFormat="1" x14ac:dyDescent="0.2">
      <c r="E64" s="1711">
        <v>104</v>
      </c>
      <c r="F64" s="1711">
        <v>2322</v>
      </c>
      <c r="G64" s="1711">
        <v>104</v>
      </c>
      <c r="H64" s="1711">
        <f t="shared" si="4"/>
        <v>147.97866830581501</v>
      </c>
      <c r="I64" s="1708"/>
      <c r="J64" s="1704"/>
      <c r="K64" s="1704"/>
      <c r="L64" s="1704"/>
      <c r="M64" s="1704"/>
      <c r="N64" s="1704"/>
    </row>
    <row r="65" spans="1:14" s="1711" customFormat="1" ht="24" x14ac:dyDescent="0.2">
      <c r="A65" s="1711" t="s">
        <v>2083</v>
      </c>
      <c r="B65" s="1711" t="s">
        <v>2084</v>
      </c>
      <c r="E65" s="1711">
        <v>240</v>
      </c>
      <c r="F65" s="1711">
        <v>2262</v>
      </c>
      <c r="G65" s="1711">
        <v>240</v>
      </c>
      <c r="H65" s="1711">
        <f t="shared" si="4"/>
        <v>341.48923455188077</v>
      </c>
      <c r="I65" s="1708" t="s">
        <v>2085</v>
      </c>
      <c r="J65" s="1704"/>
      <c r="K65" s="1704"/>
      <c r="L65" s="1704"/>
      <c r="M65" s="1704"/>
      <c r="N65" s="1704"/>
    </row>
    <row r="66" spans="1:14" s="1711" customFormat="1" x14ac:dyDescent="0.2">
      <c r="A66" s="1711" t="s">
        <v>2086</v>
      </c>
      <c r="B66" s="1711" t="s">
        <v>2087</v>
      </c>
      <c r="H66" s="1711">
        <f t="shared" si="4"/>
        <v>0</v>
      </c>
      <c r="I66" s="1708" t="s">
        <v>2088</v>
      </c>
      <c r="J66" s="1704"/>
      <c r="K66" s="1704"/>
      <c r="L66" s="1704"/>
      <c r="M66" s="1704"/>
      <c r="N66" s="1704"/>
    </row>
    <row r="67" spans="1:14" s="1707" customFormat="1" ht="24" x14ac:dyDescent="0.2">
      <c r="A67" s="1707" t="s">
        <v>2089</v>
      </c>
      <c r="B67" s="1707" t="s">
        <v>2090</v>
      </c>
      <c r="E67" s="1707">
        <f>SUM(E68:E71)</f>
        <v>3000</v>
      </c>
      <c r="G67" s="1707">
        <f>SUM(G68:G71)</f>
        <v>3000</v>
      </c>
      <c r="H67" s="1707">
        <f>SUM(H68:H71)</f>
        <v>4268.6154318985091</v>
      </c>
      <c r="I67" s="1710"/>
      <c r="J67" s="1728"/>
      <c r="K67" s="1728"/>
      <c r="L67" s="1728"/>
      <c r="M67" s="1728"/>
      <c r="N67" s="1728"/>
    </row>
    <row r="68" spans="1:14" s="1711" customFormat="1" x14ac:dyDescent="0.2">
      <c r="A68" s="1711" t="s">
        <v>237</v>
      </c>
      <c r="B68" s="1711" t="s">
        <v>2091</v>
      </c>
      <c r="E68" s="1711">
        <v>2200</v>
      </c>
      <c r="F68" s="1711">
        <v>5239</v>
      </c>
      <c r="G68" s="1711">
        <v>2200</v>
      </c>
      <c r="H68" s="1711">
        <f t="shared" si="4"/>
        <v>3130.3179833922404</v>
      </c>
      <c r="I68" s="1708" t="s">
        <v>2092</v>
      </c>
      <c r="J68" s="1704"/>
      <c r="K68" s="1704"/>
      <c r="L68" s="1704"/>
      <c r="M68" s="1704"/>
      <c r="N68" s="1704"/>
    </row>
    <row r="69" spans="1:14" s="1711" customFormat="1" ht="24" x14ac:dyDescent="0.2">
      <c r="A69" s="1711" t="s">
        <v>240</v>
      </c>
      <c r="B69" s="1711" t="s">
        <v>2027</v>
      </c>
      <c r="E69" s="1711">
        <v>350</v>
      </c>
      <c r="F69" s="1711">
        <v>2361</v>
      </c>
      <c r="G69" s="1711">
        <v>350</v>
      </c>
      <c r="H69" s="1711">
        <f t="shared" si="4"/>
        <v>498.00513372149277</v>
      </c>
      <c r="I69" s="1708" t="s">
        <v>2093</v>
      </c>
      <c r="J69" s="1704"/>
      <c r="K69" s="1704"/>
      <c r="L69" s="1704"/>
      <c r="M69" s="1704"/>
      <c r="N69" s="1704"/>
    </row>
    <row r="70" spans="1:14" s="1711" customFormat="1" ht="24" x14ac:dyDescent="0.2">
      <c r="E70" s="1711">
        <v>350</v>
      </c>
      <c r="F70" s="1711">
        <v>2312</v>
      </c>
      <c r="G70" s="1711">
        <v>350</v>
      </c>
      <c r="H70" s="1711">
        <f t="shared" si="4"/>
        <v>498.00513372149277</v>
      </c>
      <c r="I70" s="1708" t="s">
        <v>2094</v>
      </c>
      <c r="J70" s="1704"/>
      <c r="K70" s="1704"/>
      <c r="L70" s="1704"/>
      <c r="M70" s="1704"/>
      <c r="N70" s="1704"/>
    </row>
    <row r="71" spans="1:14" s="1711" customFormat="1" ht="36" x14ac:dyDescent="0.2">
      <c r="A71" s="1711" t="s">
        <v>242</v>
      </c>
      <c r="B71" s="1711" t="s">
        <v>152</v>
      </c>
      <c r="E71" s="1711">
        <v>100</v>
      </c>
      <c r="F71" s="1711">
        <v>2279</v>
      </c>
      <c r="G71" s="1711">
        <v>100</v>
      </c>
      <c r="H71" s="1711">
        <f t="shared" si="4"/>
        <v>142.28718106328364</v>
      </c>
      <c r="I71" s="1708" t="s">
        <v>2030</v>
      </c>
      <c r="J71" s="1704"/>
      <c r="K71" s="1704"/>
      <c r="L71" s="1704"/>
      <c r="M71" s="1704"/>
      <c r="N71" s="1704"/>
    </row>
    <row r="72" spans="1:14" s="1707" customFormat="1" ht="24" x14ac:dyDescent="0.2">
      <c r="A72" s="1707" t="s">
        <v>2095</v>
      </c>
      <c r="B72" s="1707" t="s">
        <v>2096</v>
      </c>
      <c r="E72" s="1707">
        <f>SUM(E73:E79)</f>
        <v>4271</v>
      </c>
      <c r="G72" s="1707">
        <f t="shared" ref="G72:H72" si="5">SUM(G73:G79)</f>
        <v>3480</v>
      </c>
      <c r="H72" s="1707">
        <f t="shared" si="5"/>
        <v>4951.5939010022703</v>
      </c>
      <c r="I72" s="1710"/>
      <c r="J72" s="1728"/>
      <c r="K72" s="1728"/>
      <c r="L72" s="1728"/>
      <c r="M72" s="1728"/>
      <c r="N72" s="1728"/>
    </row>
    <row r="73" spans="1:14" s="1711" customFormat="1" ht="36" x14ac:dyDescent="0.2">
      <c r="A73" s="1711" t="s">
        <v>247</v>
      </c>
      <c r="B73" s="1711" t="s">
        <v>2016</v>
      </c>
      <c r="E73" s="1711">
        <v>170</v>
      </c>
      <c r="F73" s="1711">
        <v>2279</v>
      </c>
      <c r="G73" s="1711">
        <v>170</v>
      </c>
      <c r="H73" s="1711">
        <f t="shared" ref="H73:H126" si="6">G73/0.702804</f>
        <v>241.88820780758221</v>
      </c>
      <c r="I73" s="1708" t="s">
        <v>2030</v>
      </c>
      <c r="J73" s="1704"/>
      <c r="K73" s="1704"/>
      <c r="L73" s="1704"/>
      <c r="M73" s="1704"/>
      <c r="N73" s="1704"/>
    </row>
    <row r="74" spans="1:14" s="1711" customFormat="1" x14ac:dyDescent="0.2">
      <c r="A74" s="1711" t="s">
        <v>249</v>
      </c>
      <c r="B74" s="1711" t="s">
        <v>2097</v>
      </c>
      <c r="E74" s="1711">
        <v>120</v>
      </c>
      <c r="F74" s="1711">
        <v>2370</v>
      </c>
      <c r="H74" s="1711">
        <f t="shared" si="6"/>
        <v>0</v>
      </c>
      <c r="I74" s="1708" t="s">
        <v>2098</v>
      </c>
      <c r="J74" s="1704"/>
      <c r="K74" s="1704"/>
      <c r="L74" s="1704"/>
      <c r="M74" s="1704"/>
      <c r="N74" s="1704"/>
    </row>
    <row r="75" spans="1:14" s="1711" customFormat="1" x14ac:dyDescent="0.2">
      <c r="A75" s="1711" t="s">
        <v>251</v>
      </c>
      <c r="B75" s="1711" t="s">
        <v>39</v>
      </c>
      <c r="E75" s="1711">
        <v>1076</v>
      </c>
      <c r="F75" s="1711">
        <v>2361</v>
      </c>
      <c r="G75" s="1711">
        <v>405</v>
      </c>
      <c r="H75" s="1711">
        <f t="shared" si="6"/>
        <v>576.26308330629877</v>
      </c>
      <c r="I75" s="1708" t="s">
        <v>2079</v>
      </c>
      <c r="J75" s="1704"/>
      <c r="K75" s="1704"/>
      <c r="L75" s="1704"/>
      <c r="M75" s="1704"/>
      <c r="N75" s="1704"/>
    </row>
    <row r="76" spans="1:14" s="1711" customFormat="1" ht="24" x14ac:dyDescent="0.2">
      <c r="A76" s="1711" t="s">
        <v>253</v>
      </c>
      <c r="B76" s="1711" t="s">
        <v>2099</v>
      </c>
      <c r="E76" s="1711">
        <v>625</v>
      </c>
      <c r="F76" s="1711">
        <v>2363</v>
      </c>
      <c r="G76" s="1711">
        <v>625</v>
      </c>
      <c r="H76" s="1711">
        <f t="shared" si="6"/>
        <v>889.29488164552276</v>
      </c>
      <c r="I76" s="1708" t="s">
        <v>2100</v>
      </c>
      <c r="J76" s="1704"/>
      <c r="K76" s="1704"/>
      <c r="L76" s="1704"/>
      <c r="M76" s="1704"/>
      <c r="N76" s="1704"/>
    </row>
    <row r="77" spans="1:14" s="1711" customFormat="1" x14ac:dyDescent="0.2">
      <c r="E77" s="1711">
        <v>90</v>
      </c>
      <c r="F77" s="1711">
        <v>2279</v>
      </c>
      <c r="G77" s="1711">
        <v>90</v>
      </c>
      <c r="H77" s="1711">
        <f t="shared" si="6"/>
        <v>128.05846295695528</v>
      </c>
      <c r="I77" s="1708"/>
      <c r="J77" s="1704"/>
      <c r="K77" s="1704"/>
      <c r="L77" s="1704"/>
      <c r="M77" s="1704"/>
      <c r="N77" s="1704"/>
    </row>
    <row r="78" spans="1:14" s="1711" customFormat="1" x14ac:dyDescent="0.2">
      <c r="E78" s="1711">
        <v>60</v>
      </c>
      <c r="F78" s="1711">
        <v>2322</v>
      </c>
      <c r="G78" s="1711">
        <v>60</v>
      </c>
      <c r="H78" s="1711">
        <f t="shared" si="6"/>
        <v>85.372308637970193</v>
      </c>
      <c r="I78" s="1708"/>
      <c r="J78" s="1704"/>
      <c r="K78" s="1704"/>
      <c r="L78" s="1704"/>
      <c r="M78" s="1704"/>
      <c r="N78" s="1704"/>
    </row>
    <row r="79" spans="1:14" s="1711" customFormat="1" ht="24" x14ac:dyDescent="0.2">
      <c r="A79" s="1711" t="s">
        <v>1063</v>
      </c>
      <c r="B79" s="1711" t="s">
        <v>2033</v>
      </c>
      <c r="E79" s="1711">
        <v>2130</v>
      </c>
      <c r="F79" s="1711">
        <v>2262</v>
      </c>
      <c r="G79" s="1711">
        <v>2130</v>
      </c>
      <c r="H79" s="1711">
        <f t="shared" si="6"/>
        <v>3030.7169566479415</v>
      </c>
      <c r="I79" s="1708" t="s">
        <v>2101</v>
      </c>
      <c r="J79" s="1704"/>
      <c r="K79" s="1704"/>
      <c r="L79" s="1704"/>
      <c r="M79" s="1704"/>
      <c r="N79" s="1704"/>
    </row>
    <row r="80" spans="1:14" s="1707" customFormat="1" ht="24" x14ac:dyDescent="0.2">
      <c r="A80" s="1729">
        <v>7</v>
      </c>
      <c r="B80" s="1707" t="s">
        <v>2102</v>
      </c>
      <c r="E80" s="1707">
        <f>SUM(E81:E86)</f>
        <v>45455</v>
      </c>
      <c r="G80" s="1707">
        <f t="shared" ref="G80" si="7">SUM(G81:G86)</f>
        <v>25855</v>
      </c>
      <c r="H80" s="1707">
        <f>SUM(H81:H86)</f>
        <v>36789.914451255259</v>
      </c>
      <c r="I80" s="1710"/>
      <c r="J80" s="1728"/>
      <c r="K80" s="1728"/>
      <c r="L80" s="1728"/>
      <c r="M80" s="1728"/>
      <c r="N80" s="1728"/>
    </row>
    <row r="81" spans="1:14" s="1711" customFormat="1" ht="24" x14ac:dyDescent="0.2">
      <c r="A81" s="1711" t="s">
        <v>257</v>
      </c>
      <c r="B81" s="1711" t="s">
        <v>152</v>
      </c>
      <c r="E81" s="1711">
        <v>100</v>
      </c>
      <c r="F81" s="1711">
        <v>2279</v>
      </c>
      <c r="G81" s="1711">
        <v>100</v>
      </c>
      <c r="H81" s="1711">
        <f t="shared" si="6"/>
        <v>142.28718106328364</v>
      </c>
      <c r="I81" s="1708" t="s">
        <v>2103</v>
      </c>
      <c r="J81" s="1704"/>
      <c r="K81" s="1704"/>
      <c r="L81" s="1704"/>
      <c r="M81" s="1704"/>
      <c r="N81" s="1704"/>
    </row>
    <row r="82" spans="1:14" s="1711" customFormat="1" ht="24" x14ac:dyDescent="0.2">
      <c r="A82" s="1711" t="s">
        <v>261</v>
      </c>
      <c r="B82" s="1711" t="s">
        <v>2010</v>
      </c>
      <c r="E82" s="1711">
        <v>1000</v>
      </c>
      <c r="F82" s="1711">
        <v>2361</v>
      </c>
      <c r="H82" s="1711">
        <f t="shared" si="6"/>
        <v>0</v>
      </c>
      <c r="I82" s="1708" t="s">
        <v>2104</v>
      </c>
      <c r="J82" s="1704"/>
      <c r="K82" s="1704"/>
      <c r="L82" s="1704"/>
      <c r="M82" s="1704"/>
      <c r="N82" s="1704"/>
    </row>
    <row r="83" spans="1:14" s="1711" customFormat="1" x14ac:dyDescent="0.2">
      <c r="A83" s="1711" t="s">
        <v>2105</v>
      </c>
      <c r="B83" s="1711" t="s">
        <v>2106</v>
      </c>
      <c r="H83" s="1711">
        <f t="shared" si="6"/>
        <v>0</v>
      </c>
      <c r="I83" s="1708" t="s">
        <v>2107</v>
      </c>
      <c r="J83" s="1704"/>
      <c r="K83" s="1704"/>
      <c r="L83" s="1704"/>
      <c r="M83" s="1704"/>
      <c r="N83" s="1704"/>
    </row>
    <row r="84" spans="1:14" s="1711" customFormat="1" x14ac:dyDescent="0.2">
      <c r="A84" s="1711" t="s">
        <v>2108</v>
      </c>
      <c r="B84" s="1711" t="s">
        <v>2010</v>
      </c>
      <c r="E84" s="1711">
        <v>5370</v>
      </c>
      <c r="F84" s="1711">
        <v>2361</v>
      </c>
      <c r="G84" s="1711">
        <v>5370</v>
      </c>
      <c r="H84" s="1711">
        <f t="shared" si="6"/>
        <v>7640.8216230983317</v>
      </c>
      <c r="I84" s="1708" t="s">
        <v>2109</v>
      </c>
      <c r="J84" s="1704"/>
      <c r="K84" s="1704"/>
      <c r="L84" s="1704"/>
      <c r="M84" s="1704"/>
      <c r="N84" s="1704"/>
    </row>
    <row r="85" spans="1:14" s="1711" customFormat="1" x14ac:dyDescent="0.2">
      <c r="A85" s="1711" t="s">
        <v>2110</v>
      </c>
      <c r="B85" s="1711" t="s">
        <v>2111</v>
      </c>
      <c r="E85" s="1711">
        <v>385</v>
      </c>
      <c r="F85" s="1711">
        <v>2279</v>
      </c>
      <c r="G85" s="1711">
        <v>385</v>
      </c>
      <c r="H85" s="1711">
        <f t="shared" si="6"/>
        <v>547.80564709364205</v>
      </c>
      <c r="I85" s="1708" t="s">
        <v>2112</v>
      </c>
      <c r="J85" s="1704"/>
      <c r="K85" s="1704"/>
      <c r="L85" s="1704"/>
      <c r="M85" s="1704"/>
      <c r="N85" s="1704"/>
    </row>
    <row r="86" spans="1:14" s="1711" customFormat="1" x14ac:dyDescent="0.2">
      <c r="A86" s="1711" t="s">
        <v>2113</v>
      </c>
      <c r="B86" s="1711" t="s">
        <v>2114</v>
      </c>
      <c r="E86" s="1711">
        <v>38600</v>
      </c>
      <c r="F86" s="1711">
        <v>2261</v>
      </c>
      <c r="G86" s="1711">
        <v>20000</v>
      </c>
      <c r="H86" s="1711">
        <v>28459</v>
      </c>
      <c r="I86" s="1708"/>
      <c r="J86" s="1704"/>
      <c r="K86" s="1704"/>
      <c r="L86" s="1704"/>
      <c r="M86" s="1704"/>
      <c r="N86" s="1704"/>
    </row>
    <row r="87" spans="1:14" s="1707" customFormat="1" ht="48" x14ac:dyDescent="0.2">
      <c r="A87" s="1707" t="s">
        <v>2115</v>
      </c>
      <c r="B87" s="1707" t="s">
        <v>2116</v>
      </c>
      <c r="E87" s="1707">
        <f>SUM(E88:E104)</f>
        <v>8511</v>
      </c>
      <c r="G87" s="1707">
        <f t="shared" ref="G87:H87" si="8">SUM(G88:G104)</f>
        <v>8024</v>
      </c>
      <c r="H87" s="1707">
        <f t="shared" si="8"/>
        <v>11417.92668795283</v>
      </c>
      <c r="I87" s="1710"/>
      <c r="J87" s="1728"/>
      <c r="K87" s="1728"/>
      <c r="L87" s="1728"/>
      <c r="M87" s="1728"/>
      <c r="N87" s="1728"/>
    </row>
    <row r="88" spans="1:14" s="1711" customFormat="1" ht="36" x14ac:dyDescent="0.2">
      <c r="A88" s="1711" t="s">
        <v>270</v>
      </c>
      <c r="B88" s="1711" t="s">
        <v>2016</v>
      </c>
      <c r="E88" s="1711">
        <v>355</v>
      </c>
      <c r="F88" s="1711">
        <v>2279</v>
      </c>
      <c r="G88" s="1711">
        <v>355</v>
      </c>
      <c r="H88" s="1711">
        <f t="shared" si="6"/>
        <v>505.11949277465698</v>
      </c>
      <c r="I88" s="1708" t="s">
        <v>2030</v>
      </c>
      <c r="J88" s="1704"/>
      <c r="K88" s="1704"/>
      <c r="L88" s="1704"/>
      <c r="M88" s="1704"/>
      <c r="N88" s="1704"/>
    </row>
    <row r="89" spans="1:14" s="1711" customFormat="1" ht="24" x14ac:dyDescent="0.2">
      <c r="A89" s="1711" t="s">
        <v>272</v>
      </c>
      <c r="B89" s="1711" t="s">
        <v>39</v>
      </c>
      <c r="E89" s="1711">
        <v>640</v>
      </c>
      <c r="F89" s="1711">
        <v>2361</v>
      </c>
      <c r="H89" s="1711">
        <f t="shared" si="6"/>
        <v>0</v>
      </c>
      <c r="I89" s="1708" t="s">
        <v>2117</v>
      </c>
      <c r="J89" s="1704"/>
      <c r="K89" s="1704"/>
      <c r="L89" s="1704"/>
      <c r="M89" s="1704"/>
      <c r="N89" s="1704"/>
    </row>
    <row r="90" spans="1:14" s="1711" customFormat="1" x14ac:dyDescent="0.2">
      <c r="A90" s="1711" t="s">
        <v>274</v>
      </c>
      <c r="B90" s="1711" t="s">
        <v>2118</v>
      </c>
      <c r="E90" s="1711">
        <v>100</v>
      </c>
      <c r="F90" s="1711">
        <v>2370</v>
      </c>
      <c r="H90" s="1711">
        <f t="shared" si="6"/>
        <v>0</v>
      </c>
      <c r="I90" s="1708" t="s">
        <v>2119</v>
      </c>
      <c r="J90" s="1704"/>
      <c r="K90" s="1704"/>
      <c r="L90" s="1704"/>
      <c r="M90" s="1704"/>
      <c r="N90" s="1704"/>
    </row>
    <row r="91" spans="1:14" s="1711" customFormat="1" ht="24" x14ac:dyDescent="0.2">
      <c r="A91" s="1711" t="s">
        <v>276</v>
      </c>
      <c r="B91" s="1711" t="s">
        <v>2091</v>
      </c>
      <c r="E91" s="1711">
        <v>300</v>
      </c>
      <c r="F91" s="1711">
        <v>5239</v>
      </c>
      <c r="G91" s="1711">
        <v>300</v>
      </c>
      <c r="H91" s="1711">
        <f t="shared" si="6"/>
        <v>426.86154318985098</v>
      </c>
      <c r="I91" s="1708" t="s">
        <v>2120</v>
      </c>
      <c r="J91" s="1704"/>
      <c r="K91" s="1704"/>
      <c r="L91" s="1704"/>
      <c r="M91" s="1704"/>
      <c r="N91" s="1704"/>
    </row>
    <row r="92" spans="1:14" s="1711" customFormat="1" ht="24" x14ac:dyDescent="0.2">
      <c r="A92" s="1711" t="s">
        <v>278</v>
      </c>
      <c r="B92" s="1711" t="s">
        <v>2121</v>
      </c>
      <c r="E92" s="1711">
        <v>150</v>
      </c>
      <c r="F92" s="1711">
        <v>2312</v>
      </c>
      <c r="H92" s="1711">
        <f t="shared" si="6"/>
        <v>0</v>
      </c>
      <c r="I92" s="1708" t="s">
        <v>2122</v>
      </c>
      <c r="J92" s="1704"/>
      <c r="K92" s="1704"/>
      <c r="L92" s="1704"/>
      <c r="M92" s="1704"/>
      <c r="N92" s="1704"/>
    </row>
    <row r="93" spans="1:14" s="1711" customFormat="1" ht="36" x14ac:dyDescent="0.2">
      <c r="A93" s="1711" t="s">
        <v>280</v>
      </c>
      <c r="B93" s="1711" t="s">
        <v>1349</v>
      </c>
      <c r="E93" s="1711">
        <v>240</v>
      </c>
      <c r="F93" s="1711">
        <v>2261</v>
      </c>
      <c r="G93" s="1711">
        <v>240</v>
      </c>
      <c r="H93" s="1711">
        <f t="shared" si="6"/>
        <v>341.48923455188077</v>
      </c>
      <c r="I93" s="1708" t="s">
        <v>2123</v>
      </c>
      <c r="J93" s="1704"/>
      <c r="K93" s="1704"/>
      <c r="L93" s="1704"/>
      <c r="M93" s="1704"/>
      <c r="N93" s="1704"/>
    </row>
    <row r="94" spans="1:14" s="1711" customFormat="1" ht="24" x14ac:dyDescent="0.2">
      <c r="A94" s="1711" t="s">
        <v>282</v>
      </c>
      <c r="B94" s="1711" t="s">
        <v>2099</v>
      </c>
      <c r="E94" s="1711">
        <v>1500</v>
      </c>
      <c r="F94" s="1711">
        <v>2363</v>
      </c>
      <c r="G94" s="1711">
        <v>1500</v>
      </c>
      <c r="H94" s="1711">
        <f t="shared" si="6"/>
        <v>2134.3077159492545</v>
      </c>
      <c r="I94" s="1708" t="s">
        <v>2124</v>
      </c>
      <c r="J94" s="1704"/>
      <c r="K94" s="1704"/>
      <c r="L94" s="1704"/>
      <c r="M94" s="1704"/>
      <c r="N94" s="1704"/>
    </row>
    <row r="95" spans="1:14" s="1711" customFormat="1" x14ac:dyDescent="0.2">
      <c r="E95" s="1711">
        <v>1620</v>
      </c>
      <c r="F95" s="1711">
        <v>2261</v>
      </c>
      <c r="G95" s="1711">
        <v>1620</v>
      </c>
      <c r="H95" s="1711">
        <f t="shared" si="6"/>
        <v>2305.0523332251951</v>
      </c>
      <c r="I95" s="1708"/>
      <c r="J95" s="1704"/>
      <c r="K95" s="1704"/>
      <c r="L95" s="1704"/>
      <c r="M95" s="1704"/>
      <c r="N95" s="1704"/>
    </row>
    <row r="96" spans="1:14" s="1711" customFormat="1" x14ac:dyDescent="0.2">
      <c r="E96" s="1711">
        <v>90</v>
      </c>
      <c r="F96" s="1711">
        <v>2279</v>
      </c>
      <c r="G96" s="1711">
        <v>90</v>
      </c>
      <c r="H96" s="1711">
        <f t="shared" si="6"/>
        <v>128.05846295695528</v>
      </c>
      <c r="I96" s="1708"/>
      <c r="J96" s="1704"/>
      <c r="K96" s="1704"/>
      <c r="L96" s="1704"/>
      <c r="M96" s="1704"/>
      <c r="N96" s="1704"/>
    </row>
    <row r="97" spans="1:14" s="1711" customFormat="1" x14ac:dyDescent="0.2">
      <c r="E97" s="1711">
        <v>64</v>
      </c>
      <c r="F97" s="1711">
        <v>2322</v>
      </c>
      <c r="G97" s="1711">
        <v>64</v>
      </c>
      <c r="H97" s="1711">
        <f t="shared" si="6"/>
        <v>91.06379588050153</v>
      </c>
      <c r="I97" s="1708"/>
      <c r="J97" s="1704"/>
      <c r="K97" s="1704"/>
      <c r="L97" s="1704"/>
      <c r="M97" s="1704"/>
      <c r="N97" s="1704"/>
    </row>
    <row r="98" spans="1:14" s="1711" customFormat="1" ht="24" x14ac:dyDescent="0.2">
      <c r="A98" s="1711" t="s">
        <v>2125</v>
      </c>
      <c r="B98" s="1711" t="s">
        <v>2126</v>
      </c>
      <c r="C98" s="1711">
        <f>SUM(C12,C77)</f>
        <v>0</v>
      </c>
      <c r="D98" s="1711">
        <f>SUM(D12,D77)</f>
        <v>0</v>
      </c>
      <c r="E98" s="1711">
        <v>1375</v>
      </c>
      <c r="F98" s="1711">
        <v>2363</v>
      </c>
      <c r="G98" s="1711">
        <v>1375</v>
      </c>
      <c r="H98" s="1711">
        <f t="shared" si="6"/>
        <v>1956.4487396201503</v>
      </c>
      <c r="I98" s="1708" t="s">
        <v>2127</v>
      </c>
      <c r="J98" s="1704"/>
      <c r="K98" s="1704"/>
      <c r="L98" s="1704"/>
      <c r="M98" s="1704"/>
      <c r="N98" s="1704"/>
    </row>
    <row r="99" spans="1:14" s="1711" customFormat="1" x14ac:dyDescent="0.2">
      <c r="E99" s="1711">
        <v>90</v>
      </c>
      <c r="F99" s="1711">
        <v>2279</v>
      </c>
      <c r="G99" s="1711">
        <v>90</v>
      </c>
      <c r="H99" s="1711">
        <f t="shared" si="6"/>
        <v>128.05846295695528</v>
      </c>
      <c r="I99" s="1708"/>
      <c r="J99" s="1704"/>
      <c r="K99" s="1704"/>
      <c r="L99" s="1704"/>
      <c r="M99" s="1704"/>
      <c r="N99" s="1704"/>
    </row>
    <row r="100" spans="1:14" s="1711" customFormat="1" x14ac:dyDescent="0.2">
      <c r="E100" s="1711">
        <v>60</v>
      </c>
      <c r="F100" s="1711">
        <v>2322</v>
      </c>
      <c r="G100" s="1711">
        <v>60</v>
      </c>
      <c r="H100" s="1711">
        <f t="shared" si="6"/>
        <v>85.372308637970193</v>
      </c>
      <c r="I100" s="1708"/>
      <c r="J100" s="1704"/>
      <c r="K100" s="1704"/>
      <c r="L100" s="1704"/>
      <c r="M100" s="1704"/>
      <c r="N100" s="1704"/>
    </row>
    <row r="101" spans="1:14" s="1711" customFormat="1" x14ac:dyDescent="0.2">
      <c r="A101" s="1711" t="s">
        <v>286</v>
      </c>
      <c r="B101" s="1711" t="s">
        <v>2033</v>
      </c>
      <c r="E101" s="1711">
        <v>780</v>
      </c>
      <c r="F101" s="1711">
        <v>2262</v>
      </c>
      <c r="G101" s="1711">
        <v>780</v>
      </c>
      <c r="H101" s="1711">
        <f t="shared" si="6"/>
        <v>1109.8400122936125</v>
      </c>
      <c r="I101" s="1708" t="s">
        <v>2128</v>
      </c>
      <c r="J101" s="1704"/>
      <c r="K101" s="1704"/>
      <c r="L101" s="1704"/>
      <c r="M101" s="1704"/>
      <c r="N101" s="1704"/>
    </row>
    <row r="102" spans="1:14" s="1711" customFormat="1" x14ac:dyDescent="0.2">
      <c r="B102" s="1711" t="s">
        <v>2129</v>
      </c>
      <c r="E102" s="1711">
        <v>981</v>
      </c>
      <c r="F102" s="1711">
        <v>2279</v>
      </c>
      <c r="G102" s="1711">
        <f>981+403</f>
        <v>1384</v>
      </c>
      <c r="H102" s="1711">
        <f t="shared" si="6"/>
        <v>1969.2545859158456</v>
      </c>
      <c r="I102" s="1708" t="s">
        <v>2130</v>
      </c>
      <c r="J102" s="1704"/>
      <c r="K102" s="1704"/>
      <c r="L102" s="1704"/>
      <c r="M102" s="1704"/>
      <c r="N102" s="1704"/>
    </row>
    <row r="103" spans="1:14" s="1711" customFormat="1" x14ac:dyDescent="0.2">
      <c r="E103" s="1711">
        <v>166</v>
      </c>
      <c r="F103" s="1711">
        <v>2122</v>
      </c>
      <c r="G103" s="1711">
        <v>166</v>
      </c>
      <c r="H103" s="1711">
        <v>237</v>
      </c>
      <c r="I103" s="1708" t="s">
        <v>2130</v>
      </c>
      <c r="J103" s="1704"/>
      <c r="K103" s="1704"/>
      <c r="L103" s="1704"/>
      <c r="M103" s="1704"/>
      <c r="N103" s="1704"/>
    </row>
    <row r="104" spans="1:14" s="1711" customFormat="1" x14ac:dyDescent="0.2">
      <c r="H104" s="1711">
        <f t="shared" si="6"/>
        <v>0</v>
      </c>
      <c r="I104" s="1708"/>
      <c r="J104" s="1704"/>
      <c r="K104" s="1704"/>
      <c r="L104" s="1704"/>
      <c r="M104" s="1704"/>
      <c r="N104" s="1704"/>
    </row>
    <row r="105" spans="1:14" s="1707" customFormat="1" ht="24" x14ac:dyDescent="0.2">
      <c r="A105" s="1707" t="s">
        <v>2131</v>
      </c>
      <c r="B105" s="1707" t="s">
        <v>2132</v>
      </c>
      <c r="E105" s="1707">
        <f>SUM(E106:E108)</f>
        <v>12475</v>
      </c>
      <c r="G105" s="1707">
        <f t="shared" ref="G105:H105" si="9">SUM(G106:G108)</f>
        <v>10365</v>
      </c>
      <c r="H105" s="1707">
        <f t="shared" si="9"/>
        <v>14748.06631720935</v>
      </c>
      <c r="I105" s="1710"/>
      <c r="J105" s="1728"/>
      <c r="K105" s="1728"/>
      <c r="L105" s="1728"/>
      <c r="M105" s="1728"/>
      <c r="N105" s="1728"/>
    </row>
    <row r="106" spans="1:14" s="1711" customFormat="1" x14ac:dyDescent="0.2">
      <c r="A106" s="1711" t="s">
        <v>302</v>
      </c>
      <c r="B106" s="1711" t="s">
        <v>2016</v>
      </c>
      <c r="E106" s="1711">
        <v>100</v>
      </c>
      <c r="F106" s="1711">
        <v>2279</v>
      </c>
      <c r="G106" s="1711">
        <v>100</v>
      </c>
      <c r="H106" s="1711">
        <f t="shared" si="6"/>
        <v>142.28718106328364</v>
      </c>
      <c r="I106" s="1708"/>
      <c r="J106" s="1704"/>
      <c r="K106" s="1704"/>
      <c r="L106" s="1704"/>
      <c r="M106" s="1704"/>
      <c r="N106" s="1704"/>
    </row>
    <row r="107" spans="1:14" s="1711" customFormat="1" x14ac:dyDescent="0.2">
      <c r="A107" s="1711" t="s">
        <v>304</v>
      </c>
      <c r="B107" s="1711" t="s">
        <v>2097</v>
      </c>
      <c r="E107" s="1711">
        <v>200</v>
      </c>
      <c r="F107" s="1711">
        <v>2370</v>
      </c>
      <c r="H107" s="1711">
        <f t="shared" si="6"/>
        <v>0</v>
      </c>
      <c r="I107" s="1708" t="s">
        <v>2133</v>
      </c>
      <c r="J107" s="1704"/>
      <c r="K107" s="1704"/>
      <c r="L107" s="1704"/>
      <c r="M107" s="1704"/>
      <c r="N107" s="1704"/>
    </row>
    <row r="108" spans="1:14" s="1711" customFormat="1" ht="24" x14ac:dyDescent="0.2">
      <c r="A108" s="1711" t="s">
        <v>306</v>
      </c>
      <c r="B108" s="1711" t="s">
        <v>1349</v>
      </c>
      <c r="E108" s="1711">
        <v>12175</v>
      </c>
      <c r="F108" s="1711">
        <v>2261</v>
      </c>
      <c r="G108" s="1711">
        <v>10265</v>
      </c>
      <c r="H108" s="1711">
        <f t="shared" si="6"/>
        <v>14605.779136146066</v>
      </c>
      <c r="I108" s="1708" t="s">
        <v>2134</v>
      </c>
      <c r="J108" s="1704"/>
      <c r="K108" s="1704"/>
      <c r="L108" s="1704"/>
      <c r="M108" s="1704"/>
      <c r="N108" s="1704"/>
    </row>
    <row r="109" spans="1:14" s="1707" customFormat="1" ht="36" x14ac:dyDescent="0.2">
      <c r="A109" s="1707" t="s">
        <v>2135</v>
      </c>
      <c r="B109" s="1707" t="s">
        <v>2136</v>
      </c>
      <c r="E109" s="1707">
        <f>SUM(E110:E121)</f>
        <v>7245</v>
      </c>
      <c r="G109" s="1707">
        <f t="shared" ref="G109:H109" si="10">SUM(G110:G121)</f>
        <v>6875</v>
      </c>
      <c r="H109" s="1707">
        <f t="shared" si="10"/>
        <v>9782.2436981007504</v>
      </c>
      <c r="I109" s="1710"/>
      <c r="J109" s="1728"/>
      <c r="K109" s="1728"/>
      <c r="L109" s="1728"/>
      <c r="M109" s="1728"/>
      <c r="N109" s="1728"/>
    </row>
    <row r="110" spans="1:14" s="1711" customFormat="1" ht="24" x14ac:dyDescent="0.2">
      <c r="A110" s="1711" t="s">
        <v>180</v>
      </c>
      <c r="B110" s="1711" t="s">
        <v>2016</v>
      </c>
      <c r="E110" s="1711">
        <v>300</v>
      </c>
      <c r="F110" s="1711">
        <v>2279</v>
      </c>
      <c r="G110" s="1711">
        <v>300</v>
      </c>
      <c r="H110" s="1711">
        <f t="shared" si="6"/>
        <v>426.86154318985098</v>
      </c>
      <c r="I110" s="1708" t="s">
        <v>2137</v>
      </c>
      <c r="J110" s="1704"/>
      <c r="K110" s="1704"/>
      <c r="L110" s="1704"/>
      <c r="M110" s="1704"/>
      <c r="N110" s="1704"/>
    </row>
    <row r="111" spans="1:14" s="1711" customFormat="1" x14ac:dyDescent="0.2">
      <c r="A111" s="1711" t="s">
        <v>182</v>
      </c>
      <c r="B111" s="1711" t="s">
        <v>2097</v>
      </c>
      <c r="E111" s="1711">
        <v>140</v>
      </c>
      <c r="F111" s="1711">
        <v>2370</v>
      </c>
      <c r="H111" s="1711">
        <f t="shared" si="6"/>
        <v>0</v>
      </c>
      <c r="I111" s="1708" t="s">
        <v>2138</v>
      </c>
      <c r="J111" s="1704"/>
      <c r="K111" s="1704"/>
      <c r="L111" s="1704"/>
      <c r="M111" s="1704"/>
      <c r="N111" s="1704"/>
    </row>
    <row r="112" spans="1:14" s="1711" customFormat="1" ht="24" x14ac:dyDescent="0.2">
      <c r="A112" s="1711" t="s">
        <v>183</v>
      </c>
      <c r="B112" s="1711" t="s">
        <v>2139</v>
      </c>
      <c r="E112" s="1711">
        <v>430</v>
      </c>
      <c r="F112" s="1711">
        <v>2361</v>
      </c>
      <c r="G112" s="1711">
        <v>200</v>
      </c>
      <c r="H112" s="1711">
        <f t="shared" si="6"/>
        <v>284.57436212656728</v>
      </c>
      <c r="I112" s="1708" t="s">
        <v>2140</v>
      </c>
      <c r="J112" s="1704"/>
      <c r="K112" s="1704"/>
      <c r="L112" s="1704"/>
      <c r="M112" s="1704"/>
      <c r="N112" s="1704"/>
    </row>
    <row r="113" spans="1:14" s="1711" customFormat="1" ht="24" x14ac:dyDescent="0.2">
      <c r="A113" s="1711" t="s">
        <v>2141</v>
      </c>
      <c r="B113" s="1711" t="s">
        <v>1349</v>
      </c>
      <c r="E113" s="1711">
        <v>2140</v>
      </c>
      <c r="F113" s="1711">
        <v>2261</v>
      </c>
      <c r="G113" s="1711">
        <v>2140</v>
      </c>
      <c r="H113" s="1711">
        <f t="shared" si="6"/>
        <v>3044.9456747542699</v>
      </c>
      <c r="I113" s="1708" t="s">
        <v>2142</v>
      </c>
      <c r="J113" s="1704"/>
      <c r="K113" s="1704"/>
      <c r="L113" s="1704"/>
      <c r="M113" s="1704"/>
      <c r="N113" s="1704"/>
    </row>
    <row r="114" spans="1:14" s="1711" customFormat="1" x14ac:dyDescent="0.2">
      <c r="A114" s="1711" t="s">
        <v>2143</v>
      </c>
      <c r="B114" s="1711" t="s">
        <v>2144</v>
      </c>
      <c r="E114" s="1711">
        <v>750</v>
      </c>
      <c r="F114" s="1711">
        <v>2363</v>
      </c>
      <c r="G114" s="1711">
        <v>750</v>
      </c>
      <c r="H114" s="1711">
        <f t="shared" si="6"/>
        <v>1067.1538579746273</v>
      </c>
      <c r="I114" s="1708" t="s">
        <v>2145</v>
      </c>
      <c r="J114" s="1704"/>
      <c r="K114" s="1704"/>
      <c r="L114" s="1704"/>
      <c r="M114" s="1704"/>
      <c r="N114" s="1704"/>
    </row>
    <row r="115" spans="1:14" s="1711" customFormat="1" x14ac:dyDescent="0.2">
      <c r="E115" s="1711">
        <v>90</v>
      </c>
      <c r="F115" s="1711">
        <v>2279</v>
      </c>
      <c r="G115" s="1711">
        <v>90</v>
      </c>
      <c r="H115" s="1711">
        <f t="shared" si="6"/>
        <v>128.05846295695528</v>
      </c>
      <c r="I115" s="1708"/>
      <c r="J115" s="1704"/>
      <c r="K115" s="1704"/>
      <c r="L115" s="1704"/>
      <c r="M115" s="1704"/>
      <c r="N115" s="1704"/>
    </row>
    <row r="116" spans="1:14" s="1711" customFormat="1" x14ac:dyDescent="0.2">
      <c r="E116" s="1711">
        <v>60</v>
      </c>
      <c r="F116" s="1711">
        <v>2322</v>
      </c>
      <c r="G116" s="1711">
        <v>60</v>
      </c>
      <c r="H116" s="1711">
        <f t="shared" si="6"/>
        <v>85.372308637970193</v>
      </c>
      <c r="I116" s="1708"/>
      <c r="J116" s="1704"/>
      <c r="K116" s="1704"/>
      <c r="L116" s="1704"/>
      <c r="M116" s="1704"/>
      <c r="N116" s="1704"/>
    </row>
    <row r="117" spans="1:14" s="1711" customFormat="1" ht="86.25" customHeight="1" x14ac:dyDescent="0.2">
      <c r="A117" s="1711" t="s">
        <v>2146</v>
      </c>
      <c r="B117" s="1711" t="s">
        <v>2147</v>
      </c>
      <c r="E117" s="1711">
        <v>1250</v>
      </c>
      <c r="F117" s="1711">
        <v>2363</v>
      </c>
      <c r="G117" s="1711">
        <v>1250</v>
      </c>
      <c r="H117" s="1711">
        <f t="shared" si="6"/>
        <v>1778.5897632910455</v>
      </c>
      <c r="I117" s="1730" t="s">
        <v>2148</v>
      </c>
      <c r="J117" s="1704"/>
      <c r="K117" s="1704"/>
      <c r="L117" s="1704"/>
      <c r="M117" s="1704"/>
      <c r="N117" s="1704"/>
    </row>
    <row r="118" spans="1:14" s="1711" customFormat="1" x14ac:dyDescent="0.2">
      <c r="E118" s="1711">
        <v>1080</v>
      </c>
      <c r="F118" s="1711">
        <v>2261</v>
      </c>
      <c r="G118" s="1711">
        <v>1080</v>
      </c>
      <c r="H118" s="1711">
        <f t="shared" si="6"/>
        <v>1536.7015554834634</v>
      </c>
      <c r="I118" s="1708"/>
      <c r="J118" s="1704"/>
      <c r="K118" s="1704"/>
      <c r="L118" s="1704"/>
      <c r="M118" s="1704"/>
      <c r="N118" s="1704"/>
    </row>
    <row r="119" spans="1:14" s="1711" customFormat="1" x14ac:dyDescent="0.2">
      <c r="E119" s="1711">
        <v>345</v>
      </c>
      <c r="F119" s="1711">
        <v>2279</v>
      </c>
      <c r="G119" s="1711">
        <v>345</v>
      </c>
      <c r="H119" s="1711">
        <f t="shared" si="6"/>
        <v>490.89077466832862</v>
      </c>
      <c r="I119" s="1708"/>
      <c r="J119" s="1704"/>
      <c r="K119" s="1704"/>
      <c r="L119" s="1704"/>
      <c r="M119" s="1704"/>
      <c r="N119" s="1704"/>
    </row>
    <row r="120" spans="1:14" s="1711" customFormat="1" x14ac:dyDescent="0.2">
      <c r="E120" s="1711">
        <v>60</v>
      </c>
      <c r="F120" s="1711">
        <v>2322</v>
      </c>
      <c r="G120" s="1711">
        <v>60</v>
      </c>
      <c r="H120" s="1711">
        <f t="shared" si="6"/>
        <v>85.372308637970193</v>
      </c>
      <c r="I120" s="1708"/>
      <c r="J120" s="1704"/>
      <c r="K120" s="1704"/>
      <c r="L120" s="1704"/>
      <c r="M120" s="1704"/>
      <c r="N120" s="1704"/>
    </row>
    <row r="121" spans="1:14" s="1711" customFormat="1" ht="24" x14ac:dyDescent="0.2">
      <c r="A121" s="1711" t="s">
        <v>2149</v>
      </c>
      <c r="B121" s="1711" t="s">
        <v>2033</v>
      </c>
      <c r="E121" s="1711">
        <v>600</v>
      </c>
      <c r="F121" s="1711">
        <v>2262</v>
      </c>
      <c r="G121" s="1711">
        <v>600</v>
      </c>
      <c r="H121" s="1711">
        <f t="shared" si="6"/>
        <v>853.72308637970195</v>
      </c>
      <c r="I121" s="1708" t="s">
        <v>2150</v>
      </c>
      <c r="J121" s="1704"/>
      <c r="K121" s="1704"/>
      <c r="L121" s="1704"/>
      <c r="M121" s="1704"/>
      <c r="N121" s="1704"/>
    </row>
    <row r="122" spans="1:14" s="1707" customFormat="1" ht="24" x14ac:dyDescent="0.2">
      <c r="A122" s="1707" t="s">
        <v>2151</v>
      </c>
      <c r="B122" s="1707" t="s">
        <v>2152</v>
      </c>
      <c r="E122" s="1707">
        <f>SUM(E123:E126)</f>
        <v>4230</v>
      </c>
      <c r="G122" s="1707">
        <f>SUM(G123:G126)</f>
        <v>4080</v>
      </c>
      <c r="H122" s="1707">
        <f>SUM(H123:H126)</f>
        <v>5805.3169873819734</v>
      </c>
      <c r="I122" s="1710"/>
      <c r="J122" s="1728"/>
      <c r="K122" s="1728"/>
      <c r="L122" s="1728"/>
      <c r="M122" s="1728"/>
      <c r="N122" s="1728"/>
    </row>
    <row r="123" spans="1:14" s="1711" customFormat="1" x14ac:dyDescent="0.2">
      <c r="A123" s="1711" t="s">
        <v>327</v>
      </c>
      <c r="B123" s="1711" t="s">
        <v>152</v>
      </c>
      <c r="E123" s="1711">
        <v>100</v>
      </c>
      <c r="F123" s="1711">
        <v>2279</v>
      </c>
      <c r="G123" s="1711">
        <v>100</v>
      </c>
      <c r="H123" s="1711">
        <f t="shared" si="6"/>
        <v>142.28718106328364</v>
      </c>
      <c r="I123" s="1708" t="s">
        <v>1387</v>
      </c>
      <c r="J123" s="1704"/>
      <c r="K123" s="1704"/>
      <c r="L123" s="1704"/>
      <c r="M123" s="1704"/>
      <c r="N123" s="1704"/>
    </row>
    <row r="124" spans="1:14" s="1711" customFormat="1" x14ac:dyDescent="0.2">
      <c r="A124" s="1711" t="s">
        <v>330</v>
      </c>
      <c r="B124" s="1711" t="s">
        <v>2010</v>
      </c>
      <c r="E124" s="1711">
        <v>500</v>
      </c>
      <c r="F124" s="1711">
        <v>2361</v>
      </c>
      <c r="G124" s="1711">
        <v>350</v>
      </c>
      <c r="H124" s="1711">
        <f t="shared" si="6"/>
        <v>498.00513372149277</v>
      </c>
      <c r="I124" s="1708" t="s">
        <v>2079</v>
      </c>
      <c r="J124" s="1704"/>
      <c r="K124" s="1704"/>
      <c r="L124" s="1704"/>
      <c r="M124" s="1704"/>
      <c r="N124" s="1704"/>
    </row>
    <row r="125" spans="1:14" s="1711" customFormat="1" ht="36" x14ac:dyDescent="0.2">
      <c r="A125" s="1711" t="s">
        <v>332</v>
      </c>
      <c r="B125" s="1711" t="s">
        <v>2033</v>
      </c>
      <c r="E125" s="1711">
        <v>1320</v>
      </c>
      <c r="F125" s="1711">
        <v>2262</v>
      </c>
      <c r="G125" s="1711">
        <v>1320</v>
      </c>
      <c r="H125" s="1711">
        <f t="shared" si="6"/>
        <v>1878.1907900353442</v>
      </c>
      <c r="I125" s="1708" t="s">
        <v>2153</v>
      </c>
      <c r="J125" s="1704"/>
      <c r="K125" s="1704"/>
      <c r="L125" s="1704"/>
      <c r="M125" s="1704"/>
      <c r="N125" s="1704"/>
    </row>
    <row r="126" spans="1:14" s="1711" customFormat="1" ht="24" x14ac:dyDescent="0.2">
      <c r="A126" s="1711" t="s">
        <v>334</v>
      </c>
      <c r="B126" s="1711" t="s">
        <v>1349</v>
      </c>
      <c r="E126" s="1711">
        <v>2310</v>
      </c>
      <c r="F126" s="1711">
        <v>2261</v>
      </c>
      <c r="G126" s="1711">
        <v>2310</v>
      </c>
      <c r="H126" s="1711">
        <f t="shared" si="6"/>
        <v>3286.8338825618525</v>
      </c>
      <c r="I126" s="1708" t="s">
        <v>2154</v>
      </c>
      <c r="J126" s="1704"/>
      <c r="K126" s="1704"/>
      <c r="L126" s="1704"/>
      <c r="M126" s="1704"/>
      <c r="N126" s="1704"/>
    </row>
  </sheetData>
  <sheetProtection password="CA5B" sheet="1" objects="1" scenarios="1"/>
  <mergeCells count="8">
    <mergeCell ref="E1:I2"/>
    <mergeCell ref="A12:B12"/>
    <mergeCell ref="C5:I5"/>
    <mergeCell ref="C6:I6"/>
    <mergeCell ref="A7:I7"/>
    <mergeCell ref="C8:I8"/>
    <mergeCell ref="C9:I9"/>
    <mergeCell ref="C10:I10"/>
  </mergeCells>
  <pageMargins left="0.78740157480314965" right="0.19685039370078741" top="0.39370078740157483" bottom="0.39370078740157483" header="0.51181102362204722" footer="0.51181102362204722"/>
  <pageSetup paperSize="9" scale="75"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1"/>
  <sheetViews>
    <sheetView zoomScaleNormal="100" workbookViewId="0">
      <selection activeCell="K11" sqref="K11"/>
    </sheetView>
  </sheetViews>
  <sheetFormatPr defaultRowHeight="15" x14ac:dyDescent="0.25"/>
  <cols>
    <col min="1" max="1" width="9.140625" style="325"/>
    <col min="2" max="2" width="12" style="325" customWidth="1"/>
    <col min="3" max="3" width="44.42578125" style="325" customWidth="1"/>
    <col min="4" max="4" width="13.42578125" style="325" hidden="1" customWidth="1"/>
    <col min="5" max="5" width="14" style="325" customWidth="1"/>
    <col min="6" max="16384" width="9.140625" style="325"/>
  </cols>
  <sheetData>
    <row r="1" spans="1:5" ht="15" customHeight="1" x14ac:dyDescent="0.25">
      <c r="C1" s="1942" t="s">
        <v>2190</v>
      </c>
      <c r="D1" s="1943"/>
      <c r="E1" s="1943"/>
    </row>
    <row r="2" spans="1:5" x14ac:dyDescent="0.25">
      <c r="C2" s="1943"/>
      <c r="D2" s="1943"/>
      <c r="E2" s="1943"/>
    </row>
    <row r="3" spans="1:5" x14ac:dyDescent="0.25">
      <c r="C3" s="1943"/>
      <c r="D3" s="1943"/>
      <c r="E3" s="1943"/>
    </row>
    <row r="4" spans="1:5" x14ac:dyDescent="0.25">
      <c r="C4" s="1868"/>
      <c r="D4" s="1868"/>
      <c r="E4" s="1868"/>
    </row>
    <row r="5" spans="1:5" x14ac:dyDescent="0.25">
      <c r="C5" s="1868"/>
      <c r="D5" s="1868"/>
      <c r="E5" s="1868"/>
    </row>
    <row r="6" spans="1:5" x14ac:dyDescent="0.25">
      <c r="C6" s="1868"/>
      <c r="D6" s="1868"/>
      <c r="E6" s="1868"/>
    </row>
    <row r="7" spans="1:5" ht="66" customHeight="1" x14ac:dyDescent="0.25">
      <c r="A7" s="1946" t="s">
        <v>1801</v>
      </c>
      <c r="B7" s="1946"/>
      <c r="C7" s="1946"/>
      <c r="D7" s="1946"/>
    </row>
    <row r="8" spans="1:5" ht="15.75" x14ac:dyDescent="0.25">
      <c r="A8" s="977"/>
    </row>
    <row r="9" spans="1:5" ht="30.75" customHeight="1" x14ac:dyDescent="0.25">
      <c r="A9" s="1947" t="s">
        <v>1786</v>
      </c>
      <c r="B9" s="1944" t="s">
        <v>1787</v>
      </c>
      <c r="C9" s="1944" t="s">
        <v>1788</v>
      </c>
      <c r="D9" s="1944" t="s">
        <v>1966</v>
      </c>
      <c r="E9" s="1944" t="s">
        <v>1967</v>
      </c>
    </row>
    <row r="10" spans="1:5" ht="30.75" customHeight="1" thickBot="1" x14ac:dyDescent="0.3">
      <c r="A10" s="1948"/>
      <c r="B10" s="1945"/>
      <c r="C10" s="1945"/>
      <c r="D10" s="1945"/>
      <c r="E10" s="1945"/>
    </row>
    <row r="11" spans="1:5" ht="27.95" customHeight="1" thickTop="1" x14ac:dyDescent="0.25">
      <c r="A11" s="978">
        <v>1</v>
      </c>
      <c r="B11" s="979">
        <v>1119</v>
      </c>
      <c r="C11" s="980" t="s">
        <v>1790</v>
      </c>
      <c r="D11" s="1243">
        <v>1384.92</v>
      </c>
      <c r="E11" s="1247">
        <v>1970.57</v>
      </c>
    </row>
    <row r="12" spans="1:5" ht="30" x14ac:dyDescent="0.25">
      <c r="A12" s="978">
        <v>2</v>
      </c>
      <c r="B12" s="981">
        <v>1210</v>
      </c>
      <c r="C12" s="982" t="s">
        <v>16</v>
      </c>
      <c r="D12" s="1244">
        <v>326.7</v>
      </c>
      <c r="E12" s="1248">
        <v>464.86</v>
      </c>
    </row>
    <row r="13" spans="1:5" ht="30" x14ac:dyDescent="0.25">
      <c r="A13" s="978">
        <v>3</v>
      </c>
      <c r="B13" s="981">
        <v>2212</v>
      </c>
      <c r="C13" s="982" t="s">
        <v>1792</v>
      </c>
      <c r="D13" s="1244">
        <v>12.26</v>
      </c>
      <c r="E13" s="1248">
        <v>17.45</v>
      </c>
    </row>
    <row r="14" spans="1:5" ht="30" x14ac:dyDescent="0.25">
      <c r="A14" s="978">
        <v>4</v>
      </c>
      <c r="B14" s="981">
        <v>2214</v>
      </c>
      <c r="C14" s="982" t="s">
        <v>21</v>
      </c>
      <c r="D14" s="1244">
        <v>6.6</v>
      </c>
      <c r="E14" s="1248">
        <v>9.4</v>
      </c>
    </row>
    <row r="15" spans="1:5" ht="27.95" customHeight="1" x14ac:dyDescent="0.25">
      <c r="A15" s="978">
        <v>5</v>
      </c>
      <c r="B15" s="981">
        <v>2222</v>
      </c>
      <c r="C15" s="982" t="s">
        <v>22</v>
      </c>
      <c r="D15" s="1244">
        <v>27.5</v>
      </c>
      <c r="E15" s="1248">
        <v>39.130000000000003</v>
      </c>
    </row>
    <row r="16" spans="1:5" ht="27.95" customHeight="1" x14ac:dyDescent="0.25">
      <c r="A16" s="978">
        <v>6</v>
      </c>
      <c r="B16" s="981">
        <v>2223</v>
      </c>
      <c r="C16" s="982" t="s">
        <v>1793</v>
      </c>
      <c r="D16" s="1244">
        <v>68.180000000000007</v>
      </c>
      <c r="E16" s="1248">
        <v>97.02</v>
      </c>
    </row>
    <row r="17" spans="1:5" ht="27.95" customHeight="1" x14ac:dyDescent="0.25">
      <c r="A17" s="978">
        <v>7</v>
      </c>
      <c r="B17" s="981">
        <v>2224</v>
      </c>
      <c r="C17" s="982" t="s">
        <v>1794</v>
      </c>
      <c r="D17" s="1244">
        <v>11.11</v>
      </c>
      <c r="E17" s="1248">
        <v>15.88</v>
      </c>
    </row>
    <row r="18" spans="1:5" ht="27.95" customHeight="1" x14ac:dyDescent="0.25">
      <c r="A18" s="978">
        <v>8</v>
      </c>
      <c r="B18" s="981">
        <v>2232</v>
      </c>
      <c r="C18" s="982" t="s">
        <v>25</v>
      </c>
      <c r="D18" s="1244">
        <v>133.34</v>
      </c>
      <c r="E18" s="1248">
        <v>189.73</v>
      </c>
    </row>
    <row r="19" spans="1:5" ht="27.95" customHeight="1" x14ac:dyDescent="0.25">
      <c r="A19" s="978">
        <v>9</v>
      </c>
      <c r="B19" s="981">
        <v>2242</v>
      </c>
      <c r="C19" s="1240" t="s">
        <v>28</v>
      </c>
      <c r="D19" s="1244">
        <v>6.38</v>
      </c>
      <c r="E19" s="1248">
        <v>9.08</v>
      </c>
    </row>
    <row r="20" spans="1:5" ht="27.95" customHeight="1" x14ac:dyDescent="0.25">
      <c r="A20" s="978">
        <v>10</v>
      </c>
      <c r="B20" s="981">
        <v>2244</v>
      </c>
      <c r="C20" s="982" t="s">
        <v>29</v>
      </c>
      <c r="D20" s="1244">
        <v>80.7</v>
      </c>
      <c r="E20" s="1248">
        <v>114.83</v>
      </c>
    </row>
    <row r="21" spans="1:5" ht="27.95" customHeight="1" x14ac:dyDescent="0.25">
      <c r="A21" s="978">
        <v>11</v>
      </c>
      <c r="B21" s="981">
        <v>2247</v>
      </c>
      <c r="C21" s="1240" t="s">
        <v>1959</v>
      </c>
      <c r="D21" s="1244">
        <v>19.13</v>
      </c>
      <c r="E21" s="1248">
        <v>27.22</v>
      </c>
    </row>
    <row r="22" spans="1:5" ht="27.95" customHeight="1" x14ac:dyDescent="0.25">
      <c r="A22" s="978">
        <v>12</v>
      </c>
      <c r="B22" s="981">
        <v>2264</v>
      </c>
      <c r="C22" s="982" t="s">
        <v>1795</v>
      </c>
      <c r="D22" s="1244">
        <v>505.05</v>
      </c>
      <c r="E22" s="1248">
        <v>718.63</v>
      </c>
    </row>
    <row r="23" spans="1:5" ht="27.95" customHeight="1" x14ac:dyDescent="0.25">
      <c r="A23" s="978">
        <v>13</v>
      </c>
      <c r="B23" s="981">
        <v>2311</v>
      </c>
      <c r="C23" s="982" t="s">
        <v>1744</v>
      </c>
      <c r="D23" s="1244">
        <v>9.18</v>
      </c>
      <c r="E23" s="1248">
        <v>13.07</v>
      </c>
    </row>
    <row r="24" spans="1:5" ht="27.95" customHeight="1" x14ac:dyDescent="0.25">
      <c r="A24" s="978">
        <v>14</v>
      </c>
      <c r="B24" s="981">
        <v>2322</v>
      </c>
      <c r="C24" s="1240" t="s">
        <v>34</v>
      </c>
      <c r="D24" s="1244">
        <v>11.11</v>
      </c>
      <c r="E24" s="1249">
        <v>15.81</v>
      </c>
    </row>
    <row r="25" spans="1:5" ht="27.95" customHeight="1" x14ac:dyDescent="0.25">
      <c r="A25" s="978">
        <v>15</v>
      </c>
      <c r="B25" s="981">
        <v>2351</v>
      </c>
      <c r="C25" s="982" t="s">
        <v>36</v>
      </c>
      <c r="D25" s="1244">
        <v>35.86</v>
      </c>
      <c r="E25" s="1249">
        <v>51.03</v>
      </c>
    </row>
    <row r="26" spans="1:5" ht="27.95" customHeight="1" x14ac:dyDescent="0.25">
      <c r="A26" s="978">
        <v>16</v>
      </c>
      <c r="B26" s="981">
        <v>2352</v>
      </c>
      <c r="C26" s="982" t="s">
        <v>37</v>
      </c>
      <c r="D26" s="1244">
        <v>11.02</v>
      </c>
      <c r="E26" s="1249">
        <v>15.69</v>
      </c>
    </row>
    <row r="27" spans="1:5" ht="27.95" customHeight="1" x14ac:dyDescent="0.25">
      <c r="A27" s="978">
        <v>17</v>
      </c>
      <c r="B27" s="981">
        <v>2513</v>
      </c>
      <c r="C27" s="982" t="s">
        <v>1796</v>
      </c>
      <c r="D27" s="1244">
        <v>52.36</v>
      </c>
      <c r="E27" s="1249">
        <v>74.510000000000005</v>
      </c>
    </row>
    <row r="28" spans="1:5" ht="30" x14ac:dyDescent="0.25">
      <c r="A28" s="978">
        <v>18</v>
      </c>
      <c r="B28" s="981">
        <v>2519</v>
      </c>
      <c r="C28" s="982" t="s">
        <v>1797</v>
      </c>
      <c r="D28" s="1244">
        <v>1.08</v>
      </c>
      <c r="E28" s="1249">
        <v>1.54</v>
      </c>
    </row>
    <row r="29" spans="1:5" x14ac:dyDescent="0.25">
      <c r="A29" s="978"/>
      <c r="B29" s="981"/>
      <c r="C29" s="983" t="s">
        <v>1798</v>
      </c>
      <c r="D29" s="1245">
        <f>SUM(D11:D28)</f>
        <v>2702.4800000000005</v>
      </c>
      <c r="E29" s="1245">
        <f>SUM(E11:E28)</f>
        <v>3845.4500000000003</v>
      </c>
    </row>
    <row r="30" spans="1:5" x14ac:dyDescent="0.25">
      <c r="A30" s="978"/>
      <c r="B30" s="982"/>
      <c r="C30" s="983" t="s">
        <v>1799</v>
      </c>
      <c r="D30" s="1244">
        <f>SUM(D29*21%)</f>
        <v>567.52080000000012</v>
      </c>
      <c r="E30" s="1244">
        <v>807.55</v>
      </c>
    </row>
    <row r="31" spans="1:5" x14ac:dyDescent="0.25">
      <c r="A31" s="978"/>
      <c r="B31" s="982"/>
      <c r="C31" s="984" t="s">
        <v>1800</v>
      </c>
      <c r="D31" s="1246">
        <f>SUM(D29:D30)</f>
        <v>3270.0008000000007</v>
      </c>
      <c r="E31" s="1246">
        <f>SUM(E29:E30)</f>
        <v>4653</v>
      </c>
    </row>
  </sheetData>
  <sheetProtection password="CA5B" sheet="1" objects="1" scenarios="1"/>
  <mergeCells count="7">
    <mergeCell ref="C1:E3"/>
    <mergeCell ref="E9:E10"/>
    <mergeCell ref="A7:D7"/>
    <mergeCell ref="A9:A10"/>
    <mergeCell ref="B9:B10"/>
    <mergeCell ref="C9:C10"/>
    <mergeCell ref="D9:D10"/>
  </mergeCells>
  <pageMargins left="1.1811023622047245"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76"/>
  <sheetViews>
    <sheetView zoomScaleNormal="100" workbookViewId="0">
      <selection activeCell="F4" sqref="F4"/>
    </sheetView>
  </sheetViews>
  <sheetFormatPr defaultRowHeight="12" x14ac:dyDescent="0.2"/>
  <cols>
    <col min="1" max="1" width="5.28515625" style="184" customWidth="1"/>
    <col min="2" max="2" width="46.5703125" style="184" customWidth="1"/>
    <col min="3" max="3" width="10.42578125" style="184" customWidth="1"/>
    <col min="4" max="4" width="9.85546875" style="184" customWidth="1"/>
    <col min="5" max="5" width="10.42578125" style="184" customWidth="1"/>
    <col min="6" max="6" width="9.5703125" style="184" customWidth="1"/>
    <col min="7" max="7" width="11" style="184" customWidth="1"/>
    <col min="8" max="8" width="9.42578125" style="184" customWidth="1"/>
    <col min="9" max="9" width="10" style="184" customWidth="1"/>
    <col min="10" max="10" width="10.7109375" style="184" hidden="1" customWidth="1"/>
    <col min="11" max="11" width="9.7109375" style="184" hidden="1" customWidth="1"/>
    <col min="12" max="12" width="11" style="184" customWidth="1"/>
    <col min="13" max="13" width="9.7109375" style="184" customWidth="1"/>
    <col min="14" max="14" width="16.7109375" style="184" customWidth="1"/>
    <col min="15" max="16384" width="9.140625" style="184"/>
  </cols>
  <sheetData>
    <row r="1" spans="1:14" x14ac:dyDescent="0.2">
      <c r="I1" s="1965" t="s">
        <v>2191</v>
      </c>
      <c r="J1" s="1966"/>
      <c r="K1" s="1966"/>
      <c r="L1" s="1966"/>
      <c r="M1" s="1966"/>
      <c r="N1" s="1966"/>
    </row>
    <row r="2" spans="1:14" x14ac:dyDescent="0.2">
      <c r="I2" s="1966"/>
      <c r="J2" s="1966"/>
      <c r="K2" s="1966"/>
      <c r="L2" s="1966"/>
      <c r="M2" s="1966"/>
      <c r="N2" s="1966"/>
    </row>
    <row r="3" spans="1:14" x14ac:dyDescent="0.2">
      <c r="I3" s="1966"/>
      <c r="J3" s="1966"/>
      <c r="K3" s="1966"/>
      <c r="L3" s="1966"/>
      <c r="M3" s="1966"/>
      <c r="N3" s="1966"/>
    </row>
    <row r="4" spans="1:14" x14ac:dyDescent="0.2">
      <c r="I4" s="1891"/>
      <c r="J4" s="1891"/>
      <c r="K4" s="1891"/>
      <c r="L4" s="1891"/>
      <c r="M4" s="1891"/>
      <c r="N4" s="1891"/>
    </row>
    <row r="5" spans="1:14" x14ac:dyDescent="0.2">
      <c r="I5" s="1891"/>
      <c r="J5" s="1891"/>
      <c r="K5" s="1891"/>
      <c r="L5" s="1891"/>
      <c r="M5" s="1891"/>
      <c r="N5" s="1891"/>
    </row>
    <row r="6" spans="1:14" x14ac:dyDescent="0.2">
      <c r="A6" s="184" t="s">
        <v>112</v>
      </c>
      <c r="B6" s="185"/>
      <c r="C6" s="1967"/>
      <c r="D6" s="1967"/>
      <c r="E6" s="1967"/>
      <c r="F6" s="1967"/>
      <c r="G6" s="1967"/>
      <c r="H6" s="1967"/>
      <c r="I6" s="1967"/>
      <c r="J6" s="1967"/>
      <c r="K6" s="1967"/>
      <c r="L6" s="1967"/>
      <c r="M6" s="1967"/>
      <c r="N6" s="1967"/>
    </row>
    <row r="7" spans="1:14" x14ac:dyDescent="0.2">
      <c r="B7" s="185"/>
      <c r="C7" s="186"/>
      <c r="D7" s="186"/>
      <c r="E7" s="186"/>
      <c r="F7" s="186"/>
      <c r="G7" s="186"/>
      <c r="H7" s="186"/>
      <c r="I7" s="186"/>
      <c r="J7" s="186"/>
      <c r="K7" s="186"/>
      <c r="L7" s="186"/>
      <c r="M7" s="186"/>
      <c r="N7" s="186"/>
    </row>
    <row r="8" spans="1:14" ht="15.75" x14ac:dyDescent="0.25">
      <c r="A8" s="1968" t="s">
        <v>113</v>
      </c>
      <c r="B8" s="1968"/>
      <c r="C8" s="1968"/>
      <c r="D8" s="1968"/>
      <c r="E8" s="1968"/>
      <c r="F8" s="1968"/>
      <c r="G8" s="1968"/>
      <c r="H8" s="1968"/>
      <c r="I8" s="1968"/>
      <c r="J8" s="1968"/>
      <c r="K8" s="1968"/>
      <c r="L8" s="1968"/>
      <c r="M8" s="1968"/>
      <c r="N8" s="1968"/>
    </row>
    <row r="9" spans="1:14" ht="15.75" x14ac:dyDescent="0.25">
      <c r="A9" s="187"/>
      <c r="B9" s="187"/>
      <c r="C9" s="187"/>
      <c r="D9" s="187"/>
      <c r="E9" s="187"/>
      <c r="F9" s="187"/>
      <c r="G9" s="187"/>
      <c r="H9" s="187"/>
      <c r="I9" s="187"/>
      <c r="J9" s="187"/>
      <c r="K9" s="187"/>
      <c r="L9" s="187"/>
      <c r="M9" s="187"/>
      <c r="N9" s="187"/>
    </row>
    <row r="10" spans="1:14" ht="15.75" x14ac:dyDescent="0.25">
      <c r="A10" s="184" t="s">
        <v>114</v>
      </c>
      <c r="C10" s="188" t="s">
        <v>2162</v>
      </c>
      <c r="D10" s="188"/>
      <c r="E10" s="185"/>
      <c r="F10" s="185"/>
      <c r="G10" s="185"/>
      <c r="H10" s="185"/>
      <c r="I10" s="185"/>
      <c r="J10" s="185"/>
      <c r="K10" s="185"/>
      <c r="L10" s="185"/>
      <c r="M10" s="185"/>
      <c r="N10" s="185"/>
    </row>
    <row r="11" spans="1:14" x14ac:dyDescent="0.2">
      <c r="A11" s="184" t="s">
        <v>115</v>
      </c>
      <c r="C11" s="189" t="s">
        <v>116</v>
      </c>
      <c r="D11" s="189"/>
      <c r="E11" s="189"/>
      <c r="F11" s="189"/>
      <c r="G11" s="189"/>
      <c r="H11" s="189"/>
      <c r="I11" s="189"/>
      <c r="J11" s="189"/>
      <c r="K11" s="189"/>
      <c r="L11" s="189"/>
      <c r="M11" s="189"/>
      <c r="N11" s="189"/>
    </row>
    <row r="12" spans="1:14" x14ac:dyDescent="0.2">
      <c r="A12" s="184" t="s">
        <v>117</v>
      </c>
      <c r="C12" s="190" t="s">
        <v>118</v>
      </c>
      <c r="D12" s="190"/>
      <c r="E12" s="189"/>
      <c r="F12" s="189"/>
      <c r="G12" s="189"/>
      <c r="H12" s="189"/>
      <c r="I12" s="189"/>
      <c r="J12" s="189"/>
      <c r="K12" s="189"/>
      <c r="L12" s="189"/>
      <c r="M12" s="189"/>
      <c r="N12" s="189"/>
    </row>
    <row r="13" spans="1:14" ht="33" customHeight="1" x14ac:dyDescent="0.2">
      <c r="A13" s="1969" t="s">
        <v>47</v>
      </c>
      <c r="B13" s="1972" t="s">
        <v>119</v>
      </c>
      <c r="C13" s="1969" t="s">
        <v>120</v>
      </c>
      <c r="D13" s="1975"/>
      <c r="E13" s="1969" t="s">
        <v>121</v>
      </c>
      <c r="F13" s="1975"/>
      <c r="G13" s="1969" t="s">
        <v>122</v>
      </c>
      <c r="H13" s="1975"/>
      <c r="I13" s="1949"/>
      <c r="J13" s="1969" t="s">
        <v>124</v>
      </c>
      <c r="K13" s="1975"/>
      <c r="L13" s="1969" t="s">
        <v>2165</v>
      </c>
      <c r="M13" s="1975"/>
      <c r="N13" s="1977" t="s">
        <v>126</v>
      </c>
    </row>
    <row r="14" spans="1:14" ht="33" customHeight="1" x14ac:dyDescent="0.2">
      <c r="A14" s="1970"/>
      <c r="B14" s="1973"/>
      <c r="C14" s="1971"/>
      <c r="D14" s="1976"/>
      <c r="E14" s="1971"/>
      <c r="F14" s="1976"/>
      <c r="G14" s="1971"/>
      <c r="H14" s="1976"/>
      <c r="I14" s="1950"/>
      <c r="J14" s="1971"/>
      <c r="K14" s="1976"/>
      <c r="L14" s="1971"/>
      <c r="M14" s="1976"/>
      <c r="N14" s="1977"/>
    </row>
    <row r="15" spans="1:14" ht="48" customHeight="1" x14ac:dyDescent="0.2">
      <c r="A15" s="1971"/>
      <c r="B15" s="1974"/>
      <c r="C15" s="191" t="s">
        <v>127</v>
      </c>
      <c r="D15" s="191" t="s">
        <v>128</v>
      </c>
      <c r="E15" s="191" t="s">
        <v>127</v>
      </c>
      <c r="F15" s="191" t="s">
        <v>128</v>
      </c>
      <c r="G15" s="1736" t="s">
        <v>127</v>
      </c>
      <c r="H15" s="1736" t="s">
        <v>128</v>
      </c>
      <c r="I15" s="1736" t="s">
        <v>129</v>
      </c>
      <c r="J15" s="1736" t="s">
        <v>127</v>
      </c>
      <c r="K15" s="1736" t="s">
        <v>128</v>
      </c>
      <c r="L15" s="1736" t="s">
        <v>127</v>
      </c>
      <c r="M15" s="1736" t="s">
        <v>128</v>
      </c>
      <c r="N15" s="191"/>
    </row>
    <row r="16" spans="1:14" x14ac:dyDescent="0.2">
      <c r="A16" s="1961" t="s">
        <v>130</v>
      </c>
      <c r="B16" s="1962"/>
      <c r="C16" s="192">
        <f t="shared" ref="C16:H16" si="0">SUM(C17:C74)</f>
        <v>129568</v>
      </c>
      <c r="D16" s="192">
        <f t="shared" si="0"/>
        <v>5049</v>
      </c>
      <c r="E16" s="192">
        <f t="shared" si="0"/>
        <v>129393.97</v>
      </c>
      <c r="F16" s="192">
        <f t="shared" si="0"/>
        <v>3634.61</v>
      </c>
      <c r="G16" s="192">
        <f t="shared" si="0"/>
        <v>164587</v>
      </c>
      <c r="H16" s="192">
        <f t="shared" si="0"/>
        <v>6277</v>
      </c>
      <c r="I16" s="192"/>
      <c r="J16" s="192">
        <f>SUM(J17:J74)</f>
        <v>101425</v>
      </c>
      <c r="K16" s="192">
        <f>SUM(K17:K74)</f>
        <v>6277</v>
      </c>
      <c r="L16" s="192">
        <f>SUM(L17:L74)</f>
        <v>144330</v>
      </c>
      <c r="M16" s="192">
        <f>SUM(M17:M74)</f>
        <v>8934</v>
      </c>
      <c r="N16" s="193"/>
    </row>
    <row r="17" spans="1:14" ht="12.75" x14ac:dyDescent="0.2">
      <c r="A17" s="194">
        <v>1</v>
      </c>
      <c r="B17" s="195" t="s">
        <v>131</v>
      </c>
      <c r="C17" s="196"/>
      <c r="D17" s="196"/>
      <c r="E17" s="196"/>
      <c r="F17" s="196"/>
      <c r="G17" s="196"/>
      <c r="H17" s="196"/>
      <c r="I17" s="196"/>
      <c r="J17" s="196"/>
      <c r="K17" s="196"/>
      <c r="L17" s="196"/>
      <c r="M17" s="196"/>
      <c r="N17" s="193"/>
    </row>
    <row r="18" spans="1:14" x14ac:dyDescent="0.2">
      <c r="A18" s="197" t="s">
        <v>132</v>
      </c>
      <c r="B18" s="193" t="s">
        <v>133</v>
      </c>
      <c r="C18" s="196">
        <v>1500</v>
      </c>
      <c r="D18" s="196"/>
      <c r="E18" s="196">
        <v>1500</v>
      </c>
      <c r="F18" s="196"/>
      <c r="G18" s="196">
        <v>2200</v>
      </c>
      <c r="H18" s="196"/>
      <c r="I18" s="1737">
        <v>2279</v>
      </c>
      <c r="J18" s="196">
        <v>1500</v>
      </c>
      <c r="K18" s="196"/>
      <c r="L18" s="196">
        <f>ROUNDUP(J18/0.702804,0)</f>
        <v>2135</v>
      </c>
      <c r="M18" s="196">
        <f>ROUNDUP(K18/0.702804,0)</f>
        <v>0</v>
      </c>
      <c r="N18" s="193"/>
    </row>
    <row r="19" spans="1:14" x14ac:dyDescent="0.2">
      <c r="A19" s="198">
        <v>1.2</v>
      </c>
      <c r="B19" s="193" t="s">
        <v>134</v>
      </c>
      <c r="C19" s="196">
        <v>4935</v>
      </c>
      <c r="D19" s="196"/>
      <c r="E19" s="196">
        <v>4934.3</v>
      </c>
      <c r="F19" s="196"/>
      <c r="G19" s="196">
        <v>7000</v>
      </c>
      <c r="H19" s="196"/>
      <c r="I19" s="1737">
        <v>7712</v>
      </c>
      <c r="J19" s="196">
        <v>5000</v>
      </c>
      <c r="K19" s="196"/>
      <c r="L19" s="196">
        <f t="shared" ref="L19:L74" si="1">ROUNDUP(J19/0.702804,0)</f>
        <v>7115</v>
      </c>
      <c r="M19" s="196">
        <f t="shared" ref="M19:M74" si="2">ROUNDUP(K19/0.702804,0)</f>
        <v>0</v>
      </c>
      <c r="N19" s="193"/>
    </row>
    <row r="20" spans="1:14" ht="12.75" x14ac:dyDescent="0.2">
      <c r="A20" s="194">
        <v>2</v>
      </c>
      <c r="B20" s="195" t="s">
        <v>135</v>
      </c>
      <c r="C20" s="196"/>
      <c r="D20" s="196"/>
      <c r="E20" s="196"/>
      <c r="F20" s="196"/>
      <c r="G20" s="196"/>
      <c r="H20" s="196"/>
      <c r="I20" s="1737"/>
      <c r="J20" s="196"/>
      <c r="K20" s="196"/>
      <c r="L20" s="196">
        <f t="shared" si="1"/>
        <v>0</v>
      </c>
      <c r="M20" s="196">
        <f t="shared" si="2"/>
        <v>0</v>
      </c>
      <c r="N20" s="193"/>
    </row>
    <row r="21" spans="1:14" x14ac:dyDescent="0.2">
      <c r="A21" s="1949">
        <v>2.1</v>
      </c>
      <c r="B21" s="1951" t="s">
        <v>136</v>
      </c>
      <c r="C21" s="196">
        <v>764</v>
      </c>
      <c r="D21" s="196"/>
      <c r="E21" s="196">
        <v>764</v>
      </c>
      <c r="F21" s="196"/>
      <c r="G21" s="196">
        <v>750</v>
      </c>
      <c r="H21" s="196"/>
      <c r="I21" s="1737">
        <v>2121</v>
      </c>
      <c r="J21" s="196">
        <v>750</v>
      </c>
      <c r="K21" s="196"/>
      <c r="L21" s="196">
        <f t="shared" si="1"/>
        <v>1068</v>
      </c>
      <c r="M21" s="196">
        <f t="shared" si="2"/>
        <v>0</v>
      </c>
      <c r="N21" s="193"/>
    </row>
    <row r="22" spans="1:14" ht="12.75" customHeight="1" x14ac:dyDescent="0.2">
      <c r="A22" s="1963"/>
      <c r="B22" s="1964"/>
      <c r="C22" s="199">
        <v>1</v>
      </c>
      <c r="D22" s="199"/>
      <c r="E22" s="196">
        <v>1</v>
      </c>
      <c r="F22" s="196"/>
      <c r="G22" s="196">
        <v>0</v>
      </c>
      <c r="H22" s="196"/>
      <c r="I22" s="1737">
        <v>2236</v>
      </c>
      <c r="J22" s="196"/>
      <c r="K22" s="196"/>
      <c r="L22" s="196">
        <f t="shared" si="1"/>
        <v>0</v>
      </c>
      <c r="M22" s="196">
        <f t="shared" si="2"/>
        <v>0</v>
      </c>
      <c r="N22" s="193"/>
    </row>
    <row r="23" spans="1:14" ht="12.75" customHeight="1" x14ac:dyDescent="0.2">
      <c r="A23" s="1963"/>
      <c r="B23" s="1964"/>
      <c r="C23" s="199">
        <v>32</v>
      </c>
      <c r="D23" s="199"/>
      <c r="E23" s="196">
        <v>31</v>
      </c>
      <c r="F23" s="196"/>
      <c r="G23" s="196">
        <v>32</v>
      </c>
      <c r="H23" s="196"/>
      <c r="I23" s="1737">
        <v>2390</v>
      </c>
      <c r="J23" s="196">
        <v>32</v>
      </c>
      <c r="K23" s="196"/>
      <c r="L23" s="196">
        <f t="shared" si="1"/>
        <v>46</v>
      </c>
      <c r="M23" s="196">
        <f t="shared" si="2"/>
        <v>0</v>
      </c>
      <c r="N23" s="193"/>
    </row>
    <row r="24" spans="1:14" ht="12.75" customHeight="1" x14ac:dyDescent="0.2">
      <c r="A24" s="1950"/>
      <c r="B24" s="1952"/>
      <c r="C24" s="199">
        <v>4897</v>
      </c>
      <c r="D24" s="199"/>
      <c r="E24" s="196">
        <v>4893</v>
      </c>
      <c r="F24" s="196"/>
      <c r="G24" s="196">
        <v>4500</v>
      </c>
      <c r="H24" s="196"/>
      <c r="I24" s="1737">
        <v>2122</v>
      </c>
      <c r="J24" s="196">
        <v>4500</v>
      </c>
      <c r="K24" s="196"/>
      <c r="L24" s="196">
        <f t="shared" si="1"/>
        <v>6403</v>
      </c>
      <c r="M24" s="196">
        <f t="shared" si="2"/>
        <v>0</v>
      </c>
      <c r="N24" s="193"/>
    </row>
    <row r="25" spans="1:14" x14ac:dyDescent="0.2">
      <c r="A25" s="1949">
        <v>2.2000000000000002</v>
      </c>
      <c r="B25" s="1951" t="s">
        <v>137</v>
      </c>
      <c r="C25" s="200">
        <v>976</v>
      </c>
      <c r="D25" s="200"/>
      <c r="E25" s="196">
        <v>976</v>
      </c>
      <c r="F25" s="196"/>
      <c r="G25" s="196">
        <v>500</v>
      </c>
      <c r="H25" s="196"/>
      <c r="I25" s="1737">
        <v>2121</v>
      </c>
      <c r="J25" s="196">
        <v>500</v>
      </c>
      <c r="K25" s="196"/>
      <c r="L25" s="196">
        <f t="shared" si="1"/>
        <v>712</v>
      </c>
      <c r="M25" s="196">
        <f t="shared" si="2"/>
        <v>0</v>
      </c>
      <c r="N25" s="193"/>
    </row>
    <row r="26" spans="1:14" ht="12.75" customHeight="1" x14ac:dyDescent="0.2">
      <c r="A26" s="1950"/>
      <c r="B26" s="1952"/>
      <c r="C26" s="200">
        <v>2950</v>
      </c>
      <c r="D26" s="200"/>
      <c r="E26" s="196">
        <v>2946</v>
      </c>
      <c r="F26" s="196"/>
      <c r="G26" s="196">
        <v>1000</v>
      </c>
      <c r="H26" s="196"/>
      <c r="I26" s="1737">
        <v>2122</v>
      </c>
      <c r="J26" s="196">
        <v>1000</v>
      </c>
      <c r="K26" s="196"/>
      <c r="L26" s="196">
        <f t="shared" si="1"/>
        <v>1423</v>
      </c>
      <c r="M26" s="196">
        <f t="shared" si="2"/>
        <v>0</v>
      </c>
      <c r="N26" s="193"/>
    </row>
    <row r="27" spans="1:14" ht="12.75" x14ac:dyDescent="0.2">
      <c r="A27" s="194">
        <v>3</v>
      </c>
      <c r="B27" s="195" t="s">
        <v>138</v>
      </c>
      <c r="C27" s="201"/>
      <c r="D27" s="201"/>
      <c r="E27" s="196"/>
      <c r="F27" s="196"/>
      <c r="G27" s="196"/>
      <c r="H27" s="196"/>
      <c r="I27" s="1737"/>
      <c r="J27" s="196"/>
      <c r="K27" s="196"/>
      <c r="L27" s="196">
        <f t="shared" si="1"/>
        <v>0</v>
      </c>
      <c r="M27" s="196">
        <f t="shared" si="2"/>
        <v>0</v>
      </c>
      <c r="N27" s="193"/>
    </row>
    <row r="28" spans="1:14" ht="24.75" customHeight="1" x14ac:dyDescent="0.2">
      <c r="A28" s="202">
        <v>3.1</v>
      </c>
      <c r="B28" s="193" t="s">
        <v>139</v>
      </c>
      <c r="C28" s="203">
        <v>19733</v>
      </c>
      <c r="D28" s="203"/>
      <c r="E28" s="200">
        <v>19732.689999999999</v>
      </c>
      <c r="F28" s="200"/>
      <c r="G28" s="200">
        <v>20000</v>
      </c>
      <c r="H28" s="200"/>
      <c r="I28" s="1738">
        <v>2390</v>
      </c>
      <c r="J28" s="196">
        <v>20000</v>
      </c>
      <c r="K28" s="196"/>
      <c r="L28" s="196">
        <f t="shared" si="1"/>
        <v>28458</v>
      </c>
      <c r="M28" s="196">
        <f t="shared" si="2"/>
        <v>0</v>
      </c>
      <c r="N28" s="204"/>
    </row>
    <row r="29" spans="1:14" x14ac:dyDescent="0.2">
      <c r="A29" s="202">
        <v>3.2</v>
      </c>
      <c r="B29" s="205" t="s">
        <v>140</v>
      </c>
      <c r="C29" s="200">
        <v>1911</v>
      </c>
      <c r="D29" s="200"/>
      <c r="E29" s="200">
        <v>1910.83</v>
      </c>
      <c r="F29" s="200"/>
      <c r="G29" s="200">
        <v>2000</v>
      </c>
      <c r="H29" s="200"/>
      <c r="I29" s="1738">
        <v>2390</v>
      </c>
      <c r="J29" s="196">
        <v>2000</v>
      </c>
      <c r="K29" s="196"/>
      <c r="L29" s="196">
        <f t="shared" si="1"/>
        <v>2846</v>
      </c>
      <c r="M29" s="196">
        <f t="shared" si="2"/>
        <v>0</v>
      </c>
      <c r="N29" s="204"/>
    </row>
    <row r="30" spans="1:14" x14ac:dyDescent="0.2">
      <c r="A30" s="191">
        <v>3.3</v>
      </c>
      <c r="B30" s="206" t="s">
        <v>141</v>
      </c>
      <c r="C30" s="203">
        <v>1002</v>
      </c>
      <c r="D30" s="203"/>
      <c r="E30" s="203">
        <v>1001.15</v>
      </c>
      <c r="F30" s="203"/>
      <c r="G30" s="203">
        <v>1500</v>
      </c>
      <c r="H30" s="203"/>
      <c r="I30" s="1739">
        <v>2390</v>
      </c>
      <c r="J30" s="196">
        <v>1002</v>
      </c>
      <c r="K30" s="196"/>
      <c r="L30" s="196">
        <f t="shared" si="1"/>
        <v>1426</v>
      </c>
      <c r="M30" s="196">
        <f t="shared" si="2"/>
        <v>0</v>
      </c>
      <c r="N30" s="191"/>
    </row>
    <row r="31" spans="1:14" x14ac:dyDescent="0.2">
      <c r="A31" s="198">
        <v>3.4</v>
      </c>
      <c r="B31" s="193" t="s">
        <v>142</v>
      </c>
      <c r="C31" s="207">
        <v>550</v>
      </c>
      <c r="D31" s="207"/>
      <c r="E31" s="196">
        <v>550</v>
      </c>
      <c r="F31" s="196"/>
      <c r="G31" s="196">
        <v>550</v>
      </c>
      <c r="H31" s="196"/>
      <c r="I31" s="1737">
        <v>2390</v>
      </c>
      <c r="J31" s="196">
        <v>550</v>
      </c>
      <c r="K31" s="196"/>
      <c r="L31" s="196">
        <f t="shared" si="1"/>
        <v>783</v>
      </c>
      <c r="M31" s="196">
        <f t="shared" si="2"/>
        <v>0</v>
      </c>
      <c r="N31" s="193"/>
    </row>
    <row r="32" spans="1:14" x14ac:dyDescent="0.2">
      <c r="A32" s="198">
        <v>3.5</v>
      </c>
      <c r="B32" s="193" t="s">
        <v>143</v>
      </c>
      <c r="C32" s="208">
        <v>513</v>
      </c>
      <c r="D32" s="208"/>
      <c r="E32" s="193">
        <v>513</v>
      </c>
      <c r="F32" s="193"/>
      <c r="G32" s="193">
        <v>520</v>
      </c>
      <c r="H32" s="193"/>
      <c r="I32" s="209">
        <v>2390</v>
      </c>
      <c r="J32" s="193">
        <v>513</v>
      </c>
      <c r="K32" s="193"/>
      <c r="L32" s="196">
        <f t="shared" si="1"/>
        <v>730</v>
      </c>
      <c r="M32" s="196">
        <f t="shared" si="2"/>
        <v>0</v>
      </c>
      <c r="N32" s="193"/>
    </row>
    <row r="33" spans="1:14" x14ac:dyDescent="0.2">
      <c r="A33" s="198">
        <v>3.6</v>
      </c>
      <c r="B33" s="193" t="s">
        <v>144</v>
      </c>
      <c r="C33" s="208">
        <v>513</v>
      </c>
      <c r="D33" s="208"/>
      <c r="E33" s="193">
        <v>513</v>
      </c>
      <c r="F33" s="193"/>
      <c r="G33" s="193">
        <v>0</v>
      </c>
      <c r="H33" s="193"/>
      <c r="I33" s="209">
        <v>2390</v>
      </c>
      <c r="J33" s="193"/>
      <c r="K33" s="193"/>
      <c r="L33" s="196">
        <f t="shared" si="1"/>
        <v>0</v>
      </c>
      <c r="M33" s="196">
        <f t="shared" si="2"/>
        <v>0</v>
      </c>
      <c r="N33" s="193"/>
    </row>
    <row r="34" spans="1:14" ht="12" customHeight="1" x14ac:dyDescent="0.2">
      <c r="A34" s="198">
        <v>3.7</v>
      </c>
      <c r="B34" s="193" t="s">
        <v>145</v>
      </c>
      <c r="C34" s="208">
        <v>8812</v>
      </c>
      <c r="D34" s="208"/>
      <c r="E34" s="208">
        <v>8656</v>
      </c>
      <c r="F34" s="208"/>
      <c r="G34" s="193">
        <v>0</v>
      </c>
      <c r="H34" s="193"/>
      <c r="I34" s="209">
        <v>2239</v>
      </c>
      <c r="J34" s="193"/>
      <c r="K34" s="193"/>
      <c r="L34" s="196">
        <f t="shared" si="1"/>
        <v>0</v>
      </c>
      <c r="M34" s="196">
        <f t="shared" si="2"/>
        <v>0</v>
      </c>
      <c r="N34" s="193"/>
    </row>
    <row r="35" spans="1:14" x14ac:dyDescent="0.2">
      <c r="A35" s="198">
        <v>3.8</v>
      </c>
      <c r="B35" s="193" t="s">
        <v>146</v>
      </c>
      <c r="C35" s="208">
        <v>1923</v>
      </c>
      <c r="D35" s="208"/>
      <c r="E35" s="193">
        <v>1923</v>
      </c>
      <c r="F35" s="193"/>
      <c r="G35" s="193">
        <v>3000</v>
      </c>
      <c r="H35" s="193"/>
      <c r="I35" s="209">
        <v>2390</v>
      </c>
      <c r="J35" s="193">
        <v>2000</v>
      </c>
      <c r="K35" s="193"/>
      <c r="L35" s="196">
        <f t="shared" si="1"/>
        <v>2846</v>
      </c>
      <c r="M35" s="196">
        <f t="shared" si="2"/>
        <v>0</v>
      </c>
      <c r="N35" s="193"/>
    </row>
    <row r="36" spans="1:14" x14ac:dyDescent="0.2">
      <c r="A36" s="198">
        <v>3.9</v>
      </c>
      <c r="B36" s="193" t="s">
        <v>147</v>
      </c>
      <c r="C36" s="193">
        <v>0</v>
      </c>
      <c r="D36" s="193"/>
      <c r="E36" s="193">
        <v>0</v>
      </c>
      <c r="F36" s="193"/>
      <c r="G36" s="193">
        <v>550</v>
      </c>
      <c r="H36" s="193"/>
      <c r="I36" s="209">
        <v>2390</v>
      </c>
      <c r="J36" s="193">
        <v>550</v>
      </c>
      <c r="K36" s="193"/>
      <c r="L36" s="196">
        <f t="shared" si="1"/>
        <v>783</v>
      </c>
      <c r="M36" s="196">
        <f t="shared" si="2"/>
        <v>0</v>
      </c>
      <c r="N36" s="193"/>
    </row>
    <row r="37" spans="1:14" x14ac:dyDescent="0.2">
      <c r="A37" s="197" t="s">
        <v>148</v>
      </c>
      <c r="B37" s="193" t="s">
        <v>149</v>
      </c>
      <c r="C37" s="193">
        <v>0</v>
      </c>
      <c r="D37" s="193"/>
      <c r="E37" s="193">
        <v>0</v>
      </c>
      <c r="F37" s="193"/>
      <c r="G37" s="193">
        <v>314</v>
      </c>
      <c r="H37" s="193"/>
      <c r="I37" s="209">
        <v>2390</v>
      </c>
      <c r="J37" s="193">
        <v>314</v>
      </c>
      <c r="K37" s="193"/>
      <c r="L37" s="196">
        <f t="shared" si="1"/>
        <v>447</v>
      </c>
      <c r="M37" s="196">
        <f t="shared" si="2"/>
        <v>0</v>
      </c>
      <c r="N37" s="193"/>
    </row>
    <row r="38" spans="1:14" x14ac:dyDescent="0.2">
      <c r="A38" s="198">
        <v>3.11</v>
      </c>
      <c r="B38" s="193" t="s">
        <v>150</v>
      </c>
      <c r="C38" s="193">
        <v>240</v>
      </c>
      <c r="D38" s="193"/>
      <c r="E38" s="193">
        <v>240</v>
      </c>
      <c r="F38" s="193"/>
      <c r="G38" s="193">
        <v>240</v>
      </c>
      <c r="H38" s="193"/>
      <c r="I38" s="209">
        <v>2390</v>
      </c>
      <c r="J38" s="193">
        <v>240</v>
      </c>
      <c r="K38" s="193"/>
      <c r="L38" s="196">
        <f t="shared" si="1"/>
        <v>342</v>
      </c>
      <c r="M38" s="196">
        <f t="shared" si="2"/>
        <v>0</v>
      </c>
      <c r="N38" s="193"/>
    </row>
    <row r="39" spans="1:14" x14ac:dyDescent="0.2">
      <c r="A39" s="198">
        <v>3.12</v>
      </c>
      <c r="B39" s="193" t="s">
        <v>151</v>
      </c>
      <c r="C39" s="193">
        <v>0</v>
      </c>
      <c r="D39" s="193"/>
      <c r="E39" s="193">
        <v>0</v>
      </c>
      <c r="F39" s="193"/>
      <c r="G39" s="193">
        <v>500</v>
      </c>
      <c r="H39" s="193"/>
      <c r="I39" s="209">
        <v>2390</v>
      </c>
      <c r="J39" s="193">
        <v>500</v>
      </c>
      <c r="K39" s="193"/>
      <c r="L39" s="196">
        <f t="shared" si="1"/>
        <v>712</v>
      </c>
      <c r="M39" s="196">
        <f t="shared" si="2"/>
        <v>0</v>
      </c>
      <c r="N39" s="193"/>
    </row>
    <row r="40" spans="1:14" ht="12.75" x14ac:dyDescent="0.2">
      <c r="A40" s="194">
        <v>4</v>
      </c>
      <c r="B40" s="195" t="s">
        <v>152</v>
      </c>
      <c r="C40" s="193"/>
      <c r="D40" s="193"/>
      <c r="E40" s="193"/>
      <c r="F40" s="193"/>
      <c r="G40" s="193"/>
      <c r="H40" s="193"/>
      <c r="I40" s="209"/>
      <c r="J40" s="193"/>
      <c r="K40" s="193"/>
      <c r="L40" s="196">
        <f t="shared" si="1"/>
        <v>0</v>
      </c>
      <c r="M40" s="196">
        <f t="shared" si="2"/>
        <v>0</v>
      </c>
      <c r="N40" s="193"/>
    </row>
    <row r="41" spans="1:14" x14ac:dyDescent="0.2">
      <c r="A41" s="198">
        <v>4.0999999999999996</v>
      </c>
      <c r="B41" s="193" t="s">
        <v>153</v>
      </c>
      <c r="C41" s="193">
        <v>1374</v>
      </c>
      <c r="D41" s="193"/>
      <c r="E41" s="193">
        <v>1373</v>
      </c>
      <c r="F41" s="193"/>
      <c r="G41" s="193">
        <v>1375</v>
      </c>
      <c r="H41" s="193"/>
      <c r="I41" s="209">
        <v>7712</v>
      </c>
      <c r="J41" s="193">
        <v>1374</v>
      </c>
      <c r="K41" s="193"/>
      <c r="L41" s="196">
        <f t="shared" si="1"/>
        <v>1956</v>
      </c>
      <c r="M41" s="196">
        <f t="shared" si="2"/>
        <v>0</v>
      </c>
      <c r="N41" s="193"/>
    </row>
    <row r="42" spans="1:14" x14ac:dyDescent="0.2">
      <c r="A42" s="198">
        <v>4.2</v>
      </c>
      <c r="B42" s="193" t="s">
        <v>154</v>
      </c>
      <c r="C42" s="193">
        <v>1320</v>
      </c>
      <c r="D42" s="193"/>
      <c r="E42" s="193">
        <v>1319</v>
      </c>
      <c r="F42" s="193"/>
      <c r="G42" s="193">
        <v>1320</v>
      </c>
      <c r="H42" s="193"/>
      <c r="I42" s="209">
        <v>7712</v>
      </c>
      <c r="J42" s="193">
        <v>1320</v>
      </c>
      <c r="K42" s="193"/>
      <c r="L42" s="196">
        <f t="shared" si="1"/>
        <v>1879</v>
      </c>
      <c r="M42" s="196">
        <f t="shared" si="2"/>
        <v>0</v>
      </c>
      <c r="N42" s="193"/>
    </row>
    <row r="43" spans="1:14" x14ac:dyDescent="0.2">
      <c r="A43" s="198">
        <v>4.3</v>
      </c>
      <c r="B43" s="193" t="s">
        <v>155</v>
      </c>
      <c r="C43" s="193">
        <v>2010</v>
      </c>
      <c r="D43" s="193"/>
      <c r="E43" s="193">
        <v>2009</v>
      </c>
      <c r="F43" s="193"/>
      <c r="G43" s="193">
        <v>2100</v>
      </c>
      <c r="H43" s="193"/>
      <c r="I43" s="209">
        <v>7712</v>
      </c>
      <c r="J43" s="193">
        <v>2010</v>
      </c>
      <c r="K43" s="193"/>
      <c r="L43" s="196">
        <f t="shared" si="1"/>
        <v>2860</v>
      </c>
      <c r="M43" s="196">
        <f t="shared" si="2"/>
        <v>0</v>
      </c>
      <c r="N43" s="193"/>
    </row>
    <row r="44" spans="1:14" x14ac:dyDescent="0.2">
      <c r="A44" s="198">
        <v>4.4000000000000004</v>
      </c>
      <c r="B44" s="193" t="s">
        <v>156</v>
      </c>
      <c r="C44" s="193">
        <v>600</v>
      </c>
      <c r="D44" s="193"/>
      <c r="E44" s="193">
        <v>600</v>
      </c>
      <c r="F44" s="193"/>
      <c r="G44" s="193">
        <v>600</v>
      </c>
      <c r="H44" s="193"/>
      <c r="I44" s="209">
        <v>2279</v>
      </c>
      <c r="J44" s="193">
        <v>600</v>
      </c>
      <c r="K44" s="193"/>
      <c r="L44" s="196">
        <f t="shared" si="1"/>
        <v>854</v>
      </c>
      <c r="M44" s="196">
        <f t="shared" si="2"/>
        <v>0</v>
      </c>
      <c r="N44" s="193"/>
    </row>
    <row r="45" spans="1:14" x14ac:dyDescent="0.2">
      <c r="A45" s="198">
        <v>4.5</v>
      </c>
      <c r="B45" s="193" t="s">
        <v>157</v>
      </c>
      <c r="C45" s="208">
        <v>0</v>
      </c>
      <c r="D45" s="208"/>
      <c r="E45" s="193">
        <v>0</v>
      </c>
      <c r="F45" s="193"/>
      <c r="G45" s="193">
        <v>0</v>
      </c>
      <c r="H45" s="193"/>
      <c r="I45" s="209">
        <v>7712</v>
      </c>
      <c r="J45" s="193"/>
      <c r="K45" s="193"/>
      <c r="L45" s="196">
        <f t="shared" si="1"/>
        <v>0</v>
      </c>
      <c r="M45" s="196">
        <f t="shared" si="2"/>
        <v>0</v>
      </c>
      <c r="N45" s="193"/>
    </row>
    <row r="46" spans="1:14" ht="12.75" x14ac:dyDescent="0.2">
      <c r="A46" s="194">
        <v>5</v>
      </c>
      <c r="B46" s="195" t="s">
        <v>158</v>
      </c>
      <c r="C46" s="193"/>
      <c r="D46" s="193"/>
      <c r="E46" s="193"/>
      <c r="F46" s="193"/>
      <c r="G46" s="193"/>
      <c r="H46" s="193"/>
      <c r="I46" s="209"/>
      <c r="J46" s="193"/>
      <c r="K46" s="193"/>
      <c r="L46" s="196">
        <f t="shared" si="1"/>
        <v>0</v>
      </c>
      <c r="M46" s="196">
        <f t="shared" si="2"/>
        <v>0</v>
      </c>
      <c r="N46" s="193"/>
    </row>
    <row r="47" spans="1:14" x14ac:dyDescent="0.2">
      <c r="A47" s="198">
        <v>5.0999999999999996</v>
      </c>
      <c r="B47" s="193" t="s">
        <v>159</v>
      </c>
      <c r="C47" s="193">
        <v>60</v>
      </c>
      <c r="D47" s="193"/>
      <c r="E47" s="193">
        <v>60</v>
      </c>
      <c r="F47" s="193"/>
      <c r="G47" s="193">
        <v>0</v>
      </c>
      <c r="H47" s="193"/>
      <c r="I47" s="209">
        <v>2239</v>
      </c>
      <c r="J47" s="193"/>
      <c r="K47" s="193"/>
      <c r="L47" s="196">
        <f t="shared" si="1"/>
        <v>0</v>
      </c>
      <c r="M47" s="196">
        <f t="shared" si="2"/>
        <v>0</v>
      </c>
      <c r="N47" s="193"/>
    </row>
    <row r="48" spans="1:14" ht="36" x14ac:dyDescent="0.2">
      <c r="A48" s="198">
        <v>5.2</v>
      </c>
      <c r="B48" s="193" t="s">
        <v>160</v>
      </c>
      <c r="C48" s="193">
        <v>17745</v>
      </c>
      <c r="D48" s="196">
        <v>2120</v>
      </c>
      <c r="E48" s="193">
        <v>17745</v>
      </c>
      <c r="F48" s="196">
        <v>2066.35</v>
      </c>
      <c r="G48" s="193">
        <v>18000</v>
      </c>
      <c r="H48" s="196">
        <v>4048</v>
      </c>
      <c r="I48" s="209">
        <v>2239</v>
      </c>
      <c r="J48" s="193">
        <v>17745</v>
      </c>
      <c r="K48" s="193">
        <v>2066</v>
      </c>
      <c r="L48" s="196">
        <f t="shared" si="1"/>
        <v>25249</v>
      </c>
      <c r="M48" s="196">
        <f t="shared" si="2"/>
        <v>2940</v>
      </c>
      <c r="N48" s="193"/>
    </row>
    <row r="49" spans="1:14" x14ac:dyDescent="0.2">
      <c r="A49" s="198">
        <v>5.3</v>
      </c>
      <c r="B49" s="193" t="s">
        <v>161</v>
      </c>
      <c r="C49" s="193">
        <v>1488</v>
      </c>
      <c r="D49" s="193"/>
      <c r="E49" s="193">
        <v>1488</v>
      </c>
      <c r="F49" s="193"/>
      <c r="G49" s="193">
        <v>1500</v>
      </c>
      <c r="H49" s="193"/>
      <c r="I49" s="209">
        <v>2232</v>
      </c>
      <c r="J49" s="193">
        <v>1500</v>
      </c>
      <c r="K49" s="193"/>
      <c r="L49" s="196">
        <f t="shared" si="1"/>
        <v>2135</v>
      </c>
      <c r="M49" s="196">
        <f t="shared" si="2"/>
        <v>0</v>
      </c>
      <c r="N49" s="193"/>
    </row>
    <row r="50" spans="1:14" ht="18.75" customHeight="1" x14ac:dyDescent="0.2">
      <c r="A50" s="1953">
        <v>5.4</v>
      </c>
      <c r="B50" s="1959" t="s">
        <v>1968</v>
      </c>
      <c r="C50" s="193">
        <v>13249</v>
      </c>
      <c r="D50" s="193"/>
      <c r="E50" s="193">
        <v>13249</v>
      </c>
      <c r="F50" s="193"/>
      <c r="G50" s="1953">
        <v>22000</v>
      </c>
      <c r="H50" s="193"/>
      <c r="I50" s="1955">
        <v>2231</v>
      </c>
      <c r="J50" s="193"/>
      <c r="K50" s="193"/>
      <c r="L50" s="196">
        <f t="shared" si="1"/>
        <v>0</v>
      </c>
      <c r="M50" s="196">
        <f t="shared" si="2"/>
        <v>0</v>
      </c>
      <c r="N50" s="193"/>
    </row>
    <row r="51" spans="1:14" ht="18.75" customHeight="1" x14ac:dyDescent="0.2">
      <c r="A51" s="1954"/>
      <c r="B51" s="1960"/>
      <c r="C51" s="193">
        <v>17200</v>
      </c>
      <c r="D51" s="193">
        <v>700</v>
      </c>
      <c r="E51" s="193">
        <v>17200</v>
      </c>
      <c r="F51" s="193">
        <v>700</v>
      </c>
      <c r="G51" s="1954"/>
      <c r="H51" s="193"/>
      <c r="I51" s="1956"/>
      <c r="J51" s="1020">
        <v>17000</v>
      </c>
      <c r="K51" s="1020">
        <v>1982</v>
      </c>
      <c r="L51" s="196">
        <f t="shared" si="1"/>
        <v>24189</v>
      </c>
      <c r="M51" s="196">
        <f t="shared" si="2"/>
        <v>2821</v>
      </c>
      <c r="N51" s="1020"/>
    </row>
    <row r="52" spans="1:14" ht="24" customHeight="1" x14ac:dyDescent="0.2">
      <c r="A52" s="1953">
        <v>5.5</v>
      </c>
      <c r="B52" s="1957" t="s">
        <v>162</v>
      </c>
      <c r="C52" s="193">
        <v>7936</v>
      </c>
      <c r="D52" s="193"/>
      <c r="E52" s="193">
        <v>7936</v>
      </c>
      <c r="F52" s="193"/>
      <c r="G52" s="193">
        <v>8000</v>
      </c>
      <c r="H52" s="193"/>
      <c r="I52" s="209">
        <v>2312</v>
      </c>
      <c r="J52" s="193">
        <v>7936</v>
      </c>
      <c r="K52" s="193"/>
      <c r="L52" s="196">
        <f t="shared" si="1"/>
        <v>11292</v>
      </c>
      <c r="M52" s="196">
        <f t="shared" si="2"/>
        <v>0</v>
      </c>
      <c r="N52" s="193"/>
    </row>
    <row r="53" spans="1:14" ht="12.75" customHeight="1" x14ac:dyDescent="0.2">
      <c r="A53" s="1954"/>
      <c r="B53" s="1958"/>
      <c r="C53" s="193">
        <v>77</v>
      </c>
      <c r="D53" s="193"/>
      <c r="E53" s="193">
        <v>77</v>
      </c>
      <c r="F53" s="193"/>
      <c r="G53" s="193">
        <v>100</v>
      </c>
      <c r="H53" s="193"/>
      <c r="I53" s="209">
        <v>2243</v>
      </c>
      <c r="J53" s="193">
        <v>77</v>
      </c>
      <c r="K53" s="193"/>
      <c r="L53" s="196">
        <f t="shared" si="1"/>
        <v>110</v>
      </c>
      <c r="M53" s="196">
        <f t="shared" si="2"/>
        <v>0</v>
      </c>
      <c r="N53" s="193"/>
    </row>
    <row r="54" spans="1:14" ht="36" x14ac:dyDescent="0.2">
      <c r="A54" s="198">
        <v>5.6</v>
      </c>
      <c r="B54" s="193" t="s">
        <v>163</v>
      </c>
      <c r="C54" s="193">
        <v>5000</v>
      </c>
      <c r="D54" s="193"/>
      <c r="E54" s="193">
        <v>5000</v>
      </c>
      <c r="F54" s="193"/>
      <c r="G54" s="193">
        <v>5000</v>
      </c>
      <c r="H54" s="193"/>
      <c r="I54" s="209">
        <v>2231</v>
      </c>
      <c r="J54" s="196">
        <v>5000</v>
      </c>
      <c r="K54" s="196"/>
      <c r="L54" s="196">
        <f t="shared" si="1"/>
        <v>7115</v>
      </c>
      <c r="M54" s="196">
        <f t="shared" si="2"/>
        <v>0</v>
      </c>
      <c r="N54" s="193"/>
    </row>
    <row r="55" spans="1:14" x14ac:dyDescent="0.2">
      <c r="A55" s="198">
        <v>5.7</v>
      </c>
      <c r="B55" s="193" t="s">
        <v>164</v>
      </c>
      <c r="C55" s="193">
        <v>179</v>
      </c>
      <c r="D55" s="193"/>
      <c r="E55" s="193">
        <v>178</v>
      </c>
      <c r="F55" s="193"/>
      <c r="G55" s="193">
        <v>0</v>
      </c>
      <c r="H55" s="193"/>
      <c r="I55" s="209">
        <v>2219</v>
      </c>
      <c r="J55" s="196"/>
      <c r="K55" s="196"/>
      <c r="L55" s="196">
        <f t="shared" si="1"/>
        <v>0</v>
      </c>
      <c r="M55" s="196">
        <f t="shared" si="2"/>
        <v>0</v>
      </c>
      <c r="N55" s="193"/>
    </row>
    <row r="56" spans="1:14" x14ac:dyDescent="0.2">
      <c r="A56" s="198">
        <v>5.8</v>
      </c>
      <c r="B56" s="193" t="s">
        <v>165</v>
      </c>
      <c r="C56" s="193">
        <v>300</v>
      </c>
      <c r="D56" s="193"/>
      <c r="E56" s="193">
        <v>300</v>
      </c>
      <c r="F56" s="193"/>
      <c r="G56" s="193">
        <v>300</v>
      </c>
      <c r="H56" s="193"/>
      <c r="I56" s="209">
        <v>2390</v>
      </c>
      <c r="J56" s="196">
        <v>300</v>
      </c>
      <c r="K56" s="196"/>
      <c r="L56" s="196">
        <f t="shared" si="1"/>
        <v>427</v>
      </c>
      <c r="M56" s="196">
        <f t="shared" si="2"/>
        <v>0</v>
      </c>
      <c r="N56" s="193"/>
    </row>
    <row r="57" spans="1:14" ht="24" x14ac:dyDescent="0.2">
      <c r="A57" s="197" t="s">
        <v>166</v>
      </c>
      <c r="B57" s="193" t="s">
        <v>167</v>
      </c>
      <c r="C57" s="193">
        <v>1112</v>
      </c>
      <c r="D57" s="193"/>
      <c r="E57" s="193">
        <v>1111</v>
      </c>
      <c r="F57" s="193"/>
      <c r="G57" s="193">
        <v>1500</v>
      </c>
      <c r="H57" s="193"/>
      <c r="I57" s="209">
        <v>2390</v>
      </c>
      <c r="J57" s="196">
        <v>1112</v>
      </c>
      <c r="K57" s="196"/>
      <c r="L57" s="196">
        <f t="shared" si="1"/>
        <v>1583</v>
      </c>
      <c r="M57" s="196">
        <f t="shared" si="2"/>
        <v>0</v>
      </c>
      <c r="N57" s="193"/>
    </row>
    <row r="58" spans="1:14" ht="24" x14ac:dyDescent="0.2">
      <c r="A58" s="198" t="s">
        <v>168</v>
      </c>
      <c r="B58" s="193" t="s">
        <v>169</v>
      </c>
      <c r="C58" s="193">
        <v>926</v>
      </c>
      <c r="D58" s="193"/>
      <c r="E58" s="193">
        <v>925</v>
      </c>
      <c r="F58" s="193"/>
      <c r="G58" s="193">
        <v>2000</v>
      </c>
      <c r="H58" s="193"/>
      <c r="I58" s="1740">
        <v>2243</v>
      </c>
      <c r="J58" s="196"/>
      <c r="K58" s="196"/>
      <c r="L58" s="196">
        <f t="shared" si="1"/>
        <v>0</v>
      </c>
      <c r="M58" s="196">
        <f t="shared" si="2"/>
        <v>0</v>
      </c>
      <c r="N58" s="193"/>
    </row>
    <row r="59" spans="1:14" x14ac:dyDescent="0.2">
      <c r="A59" s="198">
        <v>5.1100000000000003</v>
      </c>
      <c r="B59" s="193" t="s">
        <v>170</v>
      </c>
      <c r="C59" s="193">
        <v>240</v>
      </c>
      <c r="D59" s="193"/>
      <c r="E59" s="193">
        <v>240</v>
      </c>
      <c r="F59" s="193"/>
      <c r="G59" s="193">
        <v>0</v>
      </c>
      <c r="H59" s="193"/>
      <c r="I59" s="209">
        <v>5129</v>
      </c>
      <c r="J59" s="196"/>
      <c r="K59" s="196"/>
      <c r="L59" s="196">
        <f t="shared" si="1"/>
        <v>0</v>
      </c>
      <c r="M59" s="196">
        <f t="shared" si="2"/>
        <v>0</v>
      </c>
      <c r="N59" s="193"/>
    </row>
    <row r="60" spans="1:14" ht="24" x14ac:dyDescent="0.2">
      <c r="A60" s="198">
        <v>5.12</v>
      </c>
      <c r="B60" s="193" t="s">
        <v>171</v>
      </c>
      <c r="C60" s="193">
        <v>3000</v>
      </c>
      <c r="D60" s="193"/>
      <c r="E60" s="193">
        <v>2999</v>
      </c>
      <c r="F60" s="193"/>
      <c r="G60" s="193">
        <v>2000</v>
      </c>
      <c r="H60" s="193"/>
      <c r="I60" s="209">
        <v>2279</v>
      </c>
      <c r="J60" s="196"/>
      <c r="K60" s="196"/>
      <c r="L60" s="196">
        <f t="shared" si="1"/>
        <v>0</v>
      </c>
      <c r="M60" s="196">
        <f t="shared" si="2"/>
        <v>0</v>
      </c>
      <c r="N60" s="193"/>
    </row>
    <row r="61" spans="1:14" ht="42" customHeight="1" x14ac:dyDescent="0.2">
      <c r="A61" s="1949">
        <v>5.13</v>
      </c>
      <c r="B61" s="1951" t="s">
        <v>172</v>
      </c>
      <c r="C61" s="193">
        <v>0</v>
      </c>
      <c r="D61" s="193"/>
      <c r="E61" s="193">
        <v>0</v>
      </c>
      <c r="F61" s="193"/>
      <c r="G61" s="193">
        <v>13136</v>
      </c>
      <c r="H61" s="193"/>
      <c r="I61" s="209">
        <v>5239</v>
      </c>
      <c r="J61" s="196"/>
      <c r="K61" s="196"/>
      <c r="L61" s="196">
        <f t="shared" si="1"/>
        <v>0</v>
      </c>
      <c r="M61" s="196">
        <f t="shared" si="2"/>
        <v>0</v>
      </c>
      <c r="N61" s="1957" t="s">
        <v>173</v>
      </c>
    </row>
    <row r="62" spans="1:14" ht="42" customHeight="1" x14ac:dyDescent="0.2">
      <c r="A62" s="1950"/>
      <c r="B62" s="1952"/>
      <c r="C62" s="193">
        <v>0</v>
      </c>
      <c r="D62" s="193"/>
      <c r="E62" s="193">
        <v>0</v>
      </c>
      <c r="F62" s="193"/>
      <c r="G62" s="193">
        <v>26000</v>
      </c>
      <c r="H62" s="193"/>
      <c r="I62" s="209">
        <v>5121</v>
      </c>
      <c r="J62" s="196"/>
      <c r="K62" s="196"/>
      <c r="L62" s="196">
        <f t="shared" si="1"/>
        <v>0</v>
      </c>
      <c r="M62" s="196">
        <f t="shared" si="2"/>
        <v>0</v>
      </c>
      <c r="N62" s="1958"/>
    </row>
    <row r="63" spans="1:14" x14ac:dyDescent="0.2">
      <c r="A63" s="198">
        <v>5.14</v>
      </c>
      <c r="B63" s="193" t="s">
        <v>174</v>
      </c>
      <c r="C63" s="193">
        <v>0</v>
      </c>
      <c r="D63" s="193"/>
      <c r="E63" s="193">
        <v>0</v>
      </c>
      <c r="F63" s="193"/>
      <c r="G63" s="193">
        <v>10000</v>
      </c>
      <c r="H63" s="193"/>
      <c r="I63" s="1740">
        <v>2275</v>
      </c>
      <c r="J63" s="196"/>
      <c r="K63" s="196"/>
      <c r="L63" s="196">
        <f t="shared" si="1"/>
        <v>0</v>
      </c>
      <c r="M63" s="196">
        <f t="shared" si="2"/>
        <v>0</v>
      </c>
      <c r="N63" s="193"/>
    </row>
    <row r="64" spans="1:14" x14ac:dyDescent="0.2">
      <c r="A64" s="198">
        <v>6</v>
      </c>
      <c r="B64" s="193" t="s">
        <v>175</v>
      </c>
      <c r="C64" s="193">
        <v>0</v>
      </c>
      <c r="D64" s="196">
        <v>300</v>
      </c>
      <c r="E64" s="193">
        <v>0</v>
      </c>
      <c r="F64" s="196">
        <v>121.34</v>
      </c>
      <c r="G64" s="193">
        <v>0</v>
      </c>
      <c r="H64" s="196">
        <v>300</v>
      </c>
      <c r="I64" s="1737">
        <v>2390</v>
      </c>
      <c r="J64" s="196"/>
      <c r="K64" s="196">
        <v>300</v>
      </c>
      <c r="L64" s="196">
        <f t="shared" si="1"/>
        <v>0</v>
      </c>
      <c r="M64" s="196">
        <f t="shared" si="2"/>
        <v>427</v>
      </c>
      <c r="N64" s="193"/>
    </row>
    <row r="65" spans="1:14" x14ac:dyDescent="0.2">
      <c r="A65" s="198">
        <v>7</v>
      </c>
      <c r="B65" s="193" t="s">
        <v>176</v>
      </c>
      <c r="C65" s="193">
        <v>0</v>
      </c>
      <c r="D65" s="196">
        <v>900</v>
      </c>
      <c r="E65" s="193">
        <v>0</v>
      </c>
      <c r="F65" s="196">
        <v>352.92</v>
      </c>
      <c r="G65" s="193">
        <v>0</v>
      </c>
      <c r="H65" s="196">
        <v>900</v>
      </c>
      <c r="I65" s="1737">
        <v>2512</v>
      </c>
      <c r="J65" s="196"/>
      <c r="K65" s="196">
        <v>900</v>
      </c>
      <c r="L65" s="196">
        <f t="shared" si="1"/>
        <v>0</v>
      </c>
      <c r="M65" s="196">
        <f t="shared" si="2"/>
        <v>1281</v>
      </c>
      <c r="N65" s="193"/>
    </row>
    <row r="66" spans="1:14" x14ac:dyDescent="0.2">
      <c r="A66" s="1949">
        <v>8</v>
      </c>
      <c r="B66" s="1951" t="s">
        <v>177</v>
      </c>
      <c r="C66" s="193">
        <v>0</v>
      </c>
      <c r="D66" s="200">
        <v>635</v>
      </c>
      <c r="E66" s="193">
        <v>0</v>
      </c>
      <c r="F66" s="196">
        <v>0</v>
      </c>
      <c r="G66" s="193">
        <v>0</v>
      </c>
      <c r="H66" s="196">
        <v>1029</v>
      </c>
      <c r="I66" s="1737">
        <v>2390</v>
      </c>
      <c r="J66" s="196"/>
      <c r="K66" s="196">
        <v>1029</v>
      </c>
      <c r="L66" s="196">
        <f t="shared" si="1"/>
        <v>0</v>
      </c>
      <c r="M66" s="196">
        <f t="shared" si="2"/>
        <v>1465</v>
      </c>
      <c r="N66" s="193"/>
    </row>
    <row r="67" spans="1:14" ht="12.75" customHeight="1" x14ac:dyDescent="0.2">
      <c r="A67" s="1950"/>
      <c r="B67" s="1952"/>
      <c r="C67" s="193">
        <v>0</v>
      </c>
      <c r="D67" s="200">
        <v>394</v>
      </c>
      <c r="E67" s="193">
        <v>0</v>
      </c>
      <c r="F67" s="196">
        <v>394</v>
      </c>
      <c r="G67" s="193">
        <v>0</v>
      </c>
      <c r="H67" s="196">
        <v>0</v>
      </c>
      <c r="I67" s="1737">
        <v>2243</v>
      </c>
      <c r="J67" s="196"/>
      <c r="K67" s="196"/>
      <c r="L67" s="196">
        <f t="shared" si="1"/>
        <v>0</v>
      </c>
      <c r="M67" s="196">
        <f t="shared" si="2"/>
        <v>0</v>
      </c>
      <c r="N67" s="193"/>
    </row>
    <row r="68" spans="1:14" ht="12.75" x14ac:dyDescent="0.2">
      <c r="A68" s="194">
        <v>9</v>
      </c>
      <c r="B68" s="195" t="s">
        <v>179</v>
      </c>
      <c r="C68" s="193"/>
      <c r="D68" s="193"/>
      <c r="E68" s="193"/>
      <c r="F68" s="193"/>
      <c r="G68" s="193"/>
      <c r="H68" s="193"/>
      <c r="I68" s="209"/>
      <c r="J68" s="196"/>
      <c r="K68" s="196"/>
      <c r="L68" s="196">
        <f t="shared" si="1"/>
        <v>0</v>
      </c>
      <c r="M68" s="196">
        <f t="shared" si="2"/>
        <v>0</v>
      </c>
      <c r="N68" s="193"/>
    </row>
    <row r="69" spans="1:14" ht="24" x14ac:dyDescent="0.2">
      <c r="A69" s="210" t="s">
        <v>302</v>
      </c>
      <c r="B69" s="193" t="s">
        <v>181</v>
      </c>
      <c r="C69" s="193">
        <v>1500</v>
      </c>
      <c r="D69" s="193"/>
      <c r="E69" s="193">
        <v>1500</v>
      </c>
      <c r="F69" s="193"/>
      <c r="G69" s="193">
        <v>1500</v>
      </c>
      <c r="H69" s="193"/>
      <c r="I69" s="209">
        <v>2239</v>
      </c>
      <c r="J69" s="196">
        <v>1500</v>
      </c>
      <c r="K69" s="196"/>
      <c r="L69" s="196">
        <f t="shared" si="1"/>
        <v>2135</v>
      </c>
      <c r="M69" s="196">
        <f t="shared" si="2"/>
        <v>0</v>
      </c>
      <c r="N69" s="193"/>
    </row>
    <row r="70" spans="1:14" ht="24" x14ac:dyDescent="0.2">
      <c r="A70" s="198" t="s">
        <v>304</v>
      </c>
      <c r="B70" s="193" t="s">
        <v>178</v>
      </c>
      <c r="C70" s="193">
        <v>750</v>
      </c>
      <c r="D70" s="193"/>
      <c r="E70" s="193">
        <v>750</v>
      </c>
      <c r="F70" s="193"/>
      <c r="G70" s="193">
        <v>750</v>
      </c>
      <c r="H70" s="193"/>
      <c r="I70" s="209">
        <v>2231</v>
      </c>
      <c r="J70" s="196">
        <v>750</v>
      </c>
      <c r="K70" s="196"/>
      <c r="L70" s="196">
        <f t="shared" si="1"/>
        <v>1068</v>
      </c>
      <c r="M70" s="196">
        <f t="shared" si="2"/>
        <v>0</v>
      </c>
      <c r="N70" s="193"/>
    </row>
    <row r="71" spans="1:14" ht="24" x14ac:dyDescent="0.2">
      <c r="A71" s="198" t="s">
        <v>306</v>
      </c>
      <c r="B71" s="193" t="s">
        <v>184</v>
      </c>
      <c r="C71" s="193">
        <v>600</v>
      </c>
      <c r="D71" s="193"/>
      <c r="E71" s="193">
        <v>600</v>
      </c>
      <c r="F71" s="193"/>
      <c r="G71" s="193">
        <v>600</v>
      </c>
      <c r="H71" s="193"/>
      <c r="I71" s="209">
        <v>2239</v>
      </c>
      <c r="J71" s="196">
        <v>600</v>
      </c>
      <c r="K71" s="196"/>
      <c r="L71" s="196">
        <f t="shared" si="1"/>
        <v>854</v>
      </c>
      <c r="M71" s="196">
        <f t="shared" si="2"/>
        <v>0</v>
      </c>
      <c r="N71" s="193"/>
    </row>
    <row r="72" spans="1:14" x14ac:dyDescent="0.2">
      <c r="A72" s="1949" t="s">
        <v>308</v>
      </c>
      <c r="B72" s="1951" t="s">
        <v>185</v>
      </c>
      <c r="C72" s="193">
        <v>954</v>
      </c>
      <c r="D72" s="193"/>
      <c r="E72" s="193">
        <v>954</v>
      </c>
      <c r="F72" s="193"/>
      <c r="G72" s="193">
        <v>950</v>
      </c>
      <c r="H72" s="193"/>
      <c r="I72" s="209">
        <v>2122</v>
      </c>
      <c r="J72" s="196">
        <v>954</v>
      </c>
      <c r="K72" s="196"/>
      <c r="L72" s="196">
        <f t="shared" si="1"/>
        <v>1358</v>
      </c>
      <c r="M72" s="196">
        <f t="shared" si="2"/>
        <v>0</v>
      </c>
      <c r="N72" s="193"/>
    </row>
    <row r="73" spans="1:14" ht="12.75" customHeight="1" x14ac:dyDescent="0.2">
      <c r="A73" s="1950"/>
      <c r="B73" s="1952"/>
      <c r="C73" s="211">
        <v>96</v>
      </c>
      <c r="D73" s="211"/>
      <c r="E73" s="211">
        <v>96</v>
      </c>
      <c r="F73" s="211"/>
      <c r="G73" s="211">
        <v>100</v>
      </c>
      <c r="H73" s="211"/>
      <c r="I73" s="1741">
        <v>2121</v>
      </c>
      <c r="J73" s="211">
        <v>96</v>
      </c>
      <c r="K73" s="211"/>
      <c r="L73" s="196">
        <f t="shared" si="1"/>
        <v>137</v>
      </c>
      <c r="M73" s="196">
        <f t="shared" si="2"/>
        <v>0</v>
      </c>
      <c r="N73" s="205"/>
    </row>
    <row r="74" spans="1:14" x14ac:dyDescent="0.2">
      <c r="A74" s="202" t="s">
        <v>310</v>
      </c>
      <c r="B74" s="205" t="s">
        <v>186</v>
      </c>
      <c r="C74" s="211">
        <v>600</v>
      </c>
      <c r="D74" s="211"/>
      <c r="E74" s="211">
        <v>600</v>
      </c>
      <c r="F74" s="211"/>
      <c r="G74" s="211">
        <v>600</v>
      </c>
      <c r="H74" s="211"/>
      <c r="I74" s="1741">
        <v>2239</v>
      </c>
      <c r="J74" s="211">
        <v>600</v>
      </c>
      <c r="K74" s="211"/>
      <c r="L74" s="196">
        <f t="shared" si="1"/>
        <v>854</v>
      </c>
      <c r="M74" s="196">
        <f t="shared" si="2"/>
        <v>0</v>
      </c>
      <c r="N74" s="205"/>
    </row>
    <row r="75" spans="1:14" x14ac:dyDescent="0.2">
      <c r="C75" s="212"/>
      <c r="D75" s="212"/>
      <c r="E75" s="212"/>
      <c r="F75" s="212"/>
      <c r="G75" s="212"/>
      <c r="H75" s="212"/>
      <c r="J75" s="212"/>
      <c r="K75" s="212"/>
      <c r="L75" s="213"/>
      <c r="M75" s="213"/>
    </row>
    <row r="76" spans="1:14" x14ac:dyDescent="0.2">
      <c r="A76" s="214"/>
      <c r="B76" s="214"/>
      <c r="C76" s="214"/>
      <c r="D76" s="214"/>
      <c r="E76" s="214"/>
      <c r="F76" s="214"/>
      <c r="G76" s="214"/>
      <c r="H76" s="214"/>
      <c r="I76" s="214"/>
      <c r="J76" s="214"/>
      <c r="K76" s="214"/>
      <c r="L76" s="214"/>
      <c r="M76" s="214"/>
      <c r="N76" s="214"/>
    </row>
  </sheetData>
  <sheetProtection password="CA5B" sheet="1" objects="1" scenarios="1"/>
  <mergeCells count="30">
    <mergeCell ref="I1:N3"/>
    <mergeCell ref="C6:N6"/>
    <mergeCell ref="A8:N8"/>
    <mergeCell ref="A13:A15"/>
    <mergeCell ref="B13:B15"/>
    <mergeCell ref="C13:D14"/>
    <mergeCell ref="E13:F14"/>
    <mergeCell ref="G13:H14"/>
    <mergeCell ref="I13:I14"/>
    <mergeCell ref="J13:K14"/>
    <mergeCell ref="L13:M14"/>
    <mergeCell ref="N13:N14"/>
    <mergeCell ref="A16:B16"/>
    <mergeCell ref="A21:A24"/>
    <mergeCell ref="B21:B24"/>
    <mergeCell ref="A25:A26"/>
    <mergeCell ref="B25:B26"/>
    <mergeCell ref="A72:A73"/>
    <mergeCell ref="B72:B73"/>
    <mergeCell ref="G50:G51"/>
    <mergeCell ref="I50:I51"/>
    <mergeCell ref="N61:N62"/>
    <mergeCell ref="A66:A67"/>
    <mergeCell ref="B66:B67"/>
    <mergeCell ref="A52:A53"/>
    <mergeCell ref="B52:B53"/>
    <mergeCell ref="A61:A62"/>
    <mergeCell ref="B61:B62"/>
    <mergeCell ref="A50:A51"/>
    <mergeCell ref="B50:B51"/>
  </mergeCells>
  <pageMargins left="0" right="0" top="0.39370078740157483" bottom="0.78740157480314965" header="0.51181102362204722" footer="0.51181102362204722"/>
  <pageSetup paperSize="9" scale="55" orientation="portrait" r:id="rId1"/>
  <headerFooter alignWithMargins="0">
    <oddHeader xml:space="preserve">&amp;R&amp;"Times New Roman,Regular"&amp;10
</oddHeader>
    <oddFooter xml:space="preserve">&amp;R&amp;"Times New Roman,Regular"&amp;8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2"/>
  <sheetViews>
    <sheetView zoomScaleNormal="100" workbookViewId="0">
      <selection activeCell="K11" sqref="K11"/>
    </sheetView>
  </sheetViews>
  <sheetFormatPr defaultRowHeight="12" x14ac:dyDescent="0.2"/>
  <cols>
    <col min="1" max="1" width="6.140625" style="215" customWidth="1"/>
    <col min="2" max="2" width="39.7109375" style="215" customWidth="1"/>
    <col min="3" max="3" width="10.140625" style="215" customWidth="1"/>
    <col min="4" max="4" width="9.5703125" style="215" customWidth="1"/>
    <col min="5" max="5" width="10.28515625" style="215" customWidth="1"/>
    <col min="6" max="6" width="11.85546875" style="215" customWidth="1"/>
    <col min="7" max="7" width="9.7109375" style="215" hidden="1" customWidth="1"/>
    <col min="8" max="8" width="9.7109375" style="215" customWidth="1"/>
    <col min="9" max="9" width="16.7109375" style="215" customWidth="1"/>
    <col min="10" max="256" width="9.140625" style="215"/>
    <col min="257" max="257" width="6.140625" style="215" customWidth="1"/>
    <col min="258" max="258" width="39.7109375" style="215" customWidth="1"/>
    <col min="259" max="259" width="11.85546875" style="215" customWidth="1"/>
    <col min="260" max="260" width="11.140625" style="215" customWidth="1"/>
    <col min="261" max="261" width="10.28515625" style="215" customWidth="1"/>
    <col min="262" max="262" width="11.85546875" style="215" customWidth="1"/>
    <col min="263" max="264" width="9.7109375" style="215" customWidth="1"/>
    <col min="265" max="265" width="16.7109375" style="215" customWidth="1"/>
    <col min="266" max="512" width="9.140625" style="215"/>
    <col min="513" max="513" width="6.140625" style="215" customWidth="1"/>
    <col min="514" max="514" width="39.7109375" style="215" customWidth="1"/>
    <col min="515" max="515" width="11.85546875" style="215" customWidth="1"/>
    <col min="516" max="516" width="11.140625" style="215" customWidth="1"/>
    <col min="517" max="517" width="10.28515625" style="215" customWidth="1"/>
    <col min="518" max="518" width="11.85546875" style="215" customWidth="1"/>
    <col min="519" max="520" width="9.7109375" style="215" customWidth="1"/>
    <col min="521" max="521" width="16.7109375" style="215" customWidth="1"/>
    <col min="522" max="768" width="9.140625" style="215"/>
    <col min="769" max="769" width="6.140625" style="215" customWidth="1"/>
    <col min="770" max="770" width="39.7109375" style="215" customWidth="1"/>
    <col min="771" max="771" width="11.85546875" style="215" customWidth="1"/>
    <col min="772" max="772" width="11.140625" style="215" customWidth="1"/>
    <col min="773" max="773" width="10.28515625" style="215" customWidth="1"/>
    <col min="774" max="774" width="11.85546875" style="215" customWidth="1"/>
    <col min="775" max="776" width="9.7109375" style="215" customWidth="1"/>
    <col min="777" max="777" width="16.7109375" style="215" customWidth="1"/>
    <col min="778" max="1024" width="9.140625" style="215"/>
    <col min="1025" max="1025" width="6.140625" style="215" customWidth="1"/>
    <col min="1026" max="1026" width="39.7109375" style="215" customWidth="1"/>
    <col min="1027" max="1027" width="11.85546875" style="215" customWidth="1"/>
    <col min="1028" max="1028" width="11.140625" style="215" customWidth="1"/>
    <col min="1029" max="1029" width="10.28515625" style="215" customWidth="1"/>
    <col min="1030" max="1030" width="11.85546875" style="215" customWidth="1"/>
    <col min="1031" max="1032" width="9.7109375" style="215" customWidth="1"/>
    <col min="1033" max="1033" width="16.7109375" style="215" customWidth="1"/>
    <col min="1034" max="1280" width="9.140625" style="215"/>
    <col min="1281" max="1281" width="6.140625" style="215" customWidth="1"/>
    <col min="1282" max="1282" width="39.7109375" style="215" customWidth="1"/>
    <col min="1283" max="1283" width="11.85546875" style="215" customWidth="1"/>
    <col min="1284" max="1284" width="11.140625" style="215" customWidth="1"/>
    <col min="1285" max="1285" width="10.28515625" style="215" customWidth="1"/>
    <col min="1286" max="1286" width="11.85546875" style="215" customWidth="1"/>
    <col min="1287" max="1288" width="9.7109375" style="215" customWidth="1"/>
    <col min="1289" max="1289" width="16.7109375" style="215" customWidth="1"/>
    <col min="1290" max="1536" width="9.140625" style="215"/>
    <col min="1537" max="1537" width="6.140625" style="215" customWidth="1"/>
    <col min="1538" max="1538" width="39.7109375" style="215" customWidth="1"/>
    <col min="1539" max="1539" width="11.85546875" style="215" customWidth="1"/>
    <col min="1540" max="1540" width="11.140625" style="215" customWidth="1"/>
    <col min="1541" max="1541" width="10.28515625" style="215" customWidth="1"/>
    <col min="1542" max="1542" width="11.85546875" style="215" customWidth="1"/>
    <col min="1543" max="1544" width="9.7109375" style="215" customWidth="1"/>
    <col min="1545" max="1545" width="16.7109375" style="215" customWidth="1"/>
    <col min="1546" max="1792" width="9.140625" style="215"/>
    <col min="1793" max="1793" width="6.140625" style="215" customWidth="1"/>
    <col min="1794" max="1794" width="39.7109375" style="215" customWidth="1"/>
    <col min="1795" max="1795" width="11.85546875" style="215" customWidth="1"/>
    <col min="1796" max="1796" width="11.140625" style="215" customWidth="1"/>
    <col min="1797" max="1797" width="10.28515625" style="215" customWidth="1"/>
    <col min="1798" max="1798" width="11.85546875" style="215" customWidth="1"/>
    <col min="1799" max="1800" width="9.7109375" style="215" customWidth="1"/>
    <col min="1801" max="1801" width="16.7109375" style="215" customWidth="1"/>
    <col min="1802" max="2048" width="9.140625" style="215"/>
    <col min="2049" max="2049" width="6.140625" style="215" customWidth="1"/>
    <col min="2050" max="2050" width="39.7109375" style="215" customWidth="1"/>
    <col min="2051" max="2051" width="11.85546875" style="215" customWidth="1"/>
    <col min="2052" max="2052" width="11.140625" style="215" customWidth="1"/>
    <col min="2053" max="2053" width="10.28515625" style="215" customWidth="1"/>
    <col min="2054" max="2054" width="11.85546875" style="215" customWidth="1"/>
    <col min="2055" max="2056" width="9.7109375" style="215" customWidth="1"/>
    <col min="2057" max="2057" width="16.7109375" style="215" customWidth="1"/>
    <col min="2058" max="2304" width="9.140625" style="215"/>
    <col min="2305" max="2305" width="6.140625" style="215" customWidth="1"/>
    <col min="2306" max="2306" width="39.7109375" style="215" customWidth="1"/>
    <col min="2307" max="2307" width="11.85546875" style="215" customWidth="1"/>
    <col min="2308" max="2308" width="11.140625" style="215" customWidth="1"/>
    <col min="2309" max="2309" width="10.28515625" style="215" customWidth="1"/>
    <col min="2310" max="2310" width="11.85546875" style="215" customWidth="1"/>
    <col min="2311" max="2312" width="9.7109375" style="215" customWidth="1"/>
    <col min="2313" max="2313" width="16.7109375" style="215" customWidth="1"/>
    <col min="2314" max="2560" width="9.140625" style="215"/>
    <col min="2561" max="2561" width="6.140625" style="215" customWidth="1"/>
    <col min="2562" max="2562" width="39.7109375" style="215" customWidth="1"/>
    <col min="2563" max="2563" width="11.85546875" style="215" customWidth="1"/>
    <col min="2564" max="2564" width="11.140625" style="215" customWidth="1"/>
    <col min="2565" max="2565" width="10.28515625" style="215" customWidth="1"/>
    <col min="2566" max="2566" width="11.85546875" style="215" customWidth="1"/>
    <col min="2567" max="2568" width="9.7109375" style="215" customWidth="1"/>
    <col min="2569" max="2569" width="16.7109375" style="215" customWidth="1"/>
    <col min="2570" max="2816" width="9.140625" style="215"/>
    <col min="2817" max="2817" width="6.140625" style="215" customWidth="1"/>
    <col min="2818" max="2818" width="39.7109375" style="215" customWidth="1"/>
    <col min="2819" max="2819" width="11.85546875" style="215" customWidth="1"/>
    <col min="2820" max="2820" width="11.140625" style="215" customWidth="1"/>
    <col min="2821" max="2821" width="10.28515625" style="215" customWidth="1"/>
    <col min="2822" max="2822" width="11.85546875" style="215" customWidth="1"/>
    <col min="2823" max="2824" width="9.7109375" style="215" customWidth="1"/>
    <col min="2825" max="2825" width="16.7109375" style="215" customWidth="1"/>
    <col min="2826" max="3072" width="9.140625" style="215"/>
    <col min="3073" max="3073" width="6.140625" style="215" customWidth="1"/>
    <col min="3074" max="3074" width="39.7109375" style="215" customWidth="1"/>
    <col min="3075" max="3075" width="11.85546875" style="215" customWidth="1"/>
    <col min="3076" max="3076" width="11.140625" style="215" customWidth="1"/>
    <col min="3077" max="3077" width="10.28515625" style="215" customWidth="1"/>
    <col min="3078" max="3078" width="11.85546875" style="215" customWidth="1"/>
    <col min="3079" max="3080" width="9.7109375" style="215" customWidth="1"/>
    <col min="3081" max="3081" width="16.7109375" style="215" customWidth="1"/>
    <col min="3082" max="3328" width="9.140625" style="215"/>
    <col min="3329" max="3329" width="6.140625" style="215" customWidth="1"/>
    <col min="3330" max="3330" width="39.7109375" style="215" customWidth="1"/>
    <col min="3331" max="3331" width="11.85546875" style="215" customWidth="1"/>
    <col min="3332" max="3332" width="11.140625" style="215" customWidth="1"/>
    <col min="3333" max="3333" width="10.28515625" style="215" customWidth="1"/>
    <col min="3334" max="3334" width="11.85546875" style="215" customWidth="1"/>
    <col min="3335" max="3336" width="9.7109375" style="215" customWidth="1"/>
    <col min="3337" max="3337" width="16.7109375" style="215" customWidth="1"/>
    <col min="3338" max="3584" width="9.140625" style="215"/>
    <col min="3585" max="3585" width="6.140625" style="215" customWidth="1"/>
    <col min="3586" max="3586" width="39.7109375" style="215" customWidth="1"/>
    <col min="3587" max="3587" width="11.85546875" style="215" customWidth="1"/>
    <col min="3588" max="3588" width="11.140625" style="215" customWidth="1"/>
    <col min="3589" max="3589" width="10.28515625" style="215" customWidth="1"/>
    <col min="3590" max="3590" width="11.85546875" style="215" customWidth="1"/>
    <col min="3591" max="3592" width="9.7109375" style="215" customWidth="1"/>
    <col min="3593" max="3593" width="16.7109375" style="215" customWidth="1"/>
    <col min="3594" max="3840" width="9.140625" style="215"/>
    <col min="3841" max="3841" width="6.140625" style="215" customWidth="1"/>
    <col min="3842" max="3842" width="39.7109375" style="215" customWidth="1"/>
    <col min="3843" max="3843" width="11.85546875" style="215" customWidth="1"/>
    <col min="3844" max="3844" width="11.140625" style="215" customWidth="1"/>
    <col min="3845" max="3845" width="10.28515625" style="215" customWidth="1"/>
    <col min="3846" max="3846" width="11.85546875" style="215" customWidth="1"/>
    <col min="3847" max="3848" width="9.7109375" style="215" customWidth="1"/>
    <col min="3849" max="3849" width="16.7109375" style="215" customWidth="1"/>
    <col min="3850" max="4096" width="9.140625" style="215"/>
    <col min="4097" max="4097" width="6.140625" style="215" customWidth="1"/>
    <col min="4098" max="4098" width="39.7109375" style="215" customWidth="1"/>
    <col min="4099" max="4099" width="11.85546875" style="215" customWidth="1"/>
    <col min="4100" max="4100" width="11.140625" style="215" customWidth="1"/>
    <col min="4101" max="4101" width="10.28515625" style="215" customWidth="1"/>
    <col min="4102" max="4102" width="11.85546875" style="215" customWidth="1"/>
    <col min="4103" max="4104" width="9.7109375" style="215" customWidth="1"/>
    <col min="4105" max="4105" width="16.7109375" style="215" customWidth="1"/>
    <col min="4106" max="4352" width="9.140625" style="215"/>
    <col min="4353" max="4353" width="6.140625" style="215" customWidth="1"/>
    <col min="4354" max="4354" width="39.7109375" style="215" customWidth="1"/>
    <col min="4355" max="4355" width="11.85546875" style="215" customWidth="1"/>
    <col min="4356" max="4356" width="11.140625" style="215" customWidth="1"/>
    <col min="4357" max="4357" width="10.28515625" style="215" customWidth="1"/>
    <col min="4358" max="4358" width="11.85546875" style="215" customWidth="1"/>
    <col min="4359" max="4360" width="9.7109375" style="215" customWidth="1"/>
    <col min="4361" max="4361" width="16.7109375" style="215" customWidth="1"/>
    <col min="4362" max="4608" width="9.140625" style="215"/>
    <col min="4609" max="4609" width="6.140625" style="215" customWidth="1"/>
    <col min="4610" max="4610" width="39.7109375" style="215" customWidth="1"/>
    <col min="4611" max="4611" width="11.85546875" style="215" customWidth="1"/>
    <col min="4612" max="4612" width="11.140625" style="215" customWidth="1"/>
    <col min="4613" max="4613" width="10.28515625" style="215" customWidth="1"/>
    <col min="4614" max="4614" width="11.85546875" style="215" customWidth="1"/>
    <col min="4615" max="4616" width="9.7109375" style="215" customWidth="1"/>
    <col min="4617" max="4617" width="16.7109375" style="215" customWidth="1"/>
    <col min="4618" max="4864" width="9.140625" style="215"/>
    <col min="4865" max="4865" width="6.140625" style="215" customWidth="1"/>
    <col min="4866" max="4866" width="39.7109375" style="215" customWidth="1"/>
    <col min="4867" max="4867" width="11.85546875" style="215" customWidth="1"/>
    <col min="4868" max="4868" width="11.140625" style="215" customWidth="1"/>
    <col min="4869" max="4869" width="10.28515625" style="215" customWidth="1"/>
    <col min="4870" max="4870" width="11.85546875" style="215" customWidth="1"/>
    <col min="4871" max="4872" width="9.7109375" style="215" customWidth="1"/>
    <col min="4873" max="4873" width="16.7109375" style="215" customWidth="1"/>
    <col min="4874" max="5120" width="9.140625" style="215"/>
    <col min="5121" max="5121" width="6.140625" style="215" customWidth="1"/>
    <col min="5122" max="5122" width="39.7109375" style="215" customWidth="1"/>
    <col min="5123" max="5123" width="11.85546875" style="215" customWidth="1"/>
    <col min="5124" max="5124" width="11.140625" style="215" customWidth="1"/>
    <col min="5125" max="5125" width="10.28515625" style="215" customWidth="1"/>
    <col min="5126" max="5126" width="11.85546875" style="215" customWidth="1"/>
    <col min="5127" max="5128" width="9.7109375" style="215" customWidth="1"/>
    <col min="5129" max="5129" width="16.7109375" style="215" customWidth="1"/>
    <col min="5130" max="5376" width="9.140625" style="215"/>
    <col min="5377" max="5377" width="6.140625" style="215" customWidth="1"/>
    <col min="5378" max="5378" width="39.7109375" style="215" customWidth="1"/>
    <col min="5379" max="5379" width="11.85546875" style="215" customWidth="1"/>
    <col min="5380" max="5380" width="11.140625" style="215" customWidth="1"/>
    <col min="5381" max="5381" width="10.28515625" style="215" customWidth="1"/>
    <col min="5382" max="5382" width="11.85546875" style="215" customWidth="1"/>
    <col min="5383" max="5384" width="9.7109375" style="215" customWidth="1"/>
    <col min="5385" max="5385" width="16.7109375" style="215" customWidth="1"/>
    <col min="5386" max="5632" width="9.140625" style="215"/>
    <col min="5633" max="5633" width="6.140625" style="215" customWidth="1"/>
    <col min="5634" max="5634" width="39.7109375" style="215" customWidth="1"/>
    <col min="5635" max="5635" width="11.85546875" style="215" customWidth="1"/>
    <col min="5636" max="5636" width="11.140625" style="215" customWidth="1"/>
    <col min="5637" max="5637" width="10.28515625" style="215" customWidth="1"/>
    <col min="5638" max="5638" width="11.85546875" style="215" customWidth="1"/>
    <col min="5639" max="5640" width="9.7109375" style="215" customWidth="1"/>
    <col min="5641" max="5641" width="16.7109375" style="215" customWidth="1"/>
    <col min="5642" max="5888" width="9.140625" style="215"/>
    <col min="5889" max="5889" width="6.140625" style="215" customWidth="1"/>
    <col min="5890" max="5890" width="39.7109375" style="215" customWidth="1"/>
    <col min="5891" max="5891" width="11.85546875" style="215" customWidth="1"/>
    <col min="5892" max="5892" width="11.140625" style="215" customWidth="1"/>
    <col min="5893" max="5893" width="10.28515625" style="215" customWidth="1"/>
    <col min="5894" max="5894" width="11.85546875" style="215" customWidth="1"/>
    <col min="5895" max="5896" width="9.7109375" style="215" customWidth="1"/>
    <col min="5897" max="5897" width="16.7109375" style="215" customWidth="1"/>
    <col min="5898" max="6144" width="9.140625" style="215"/>
    <col min="6145" max="6145" width="6.140625" style="215" customWidth="1"/>
    <col min="6146" max="6146" width="39.7109375" style="215" customWidth="1"/>
    <col min="6147" max="6147" width="11.85546875" style="215" customWidth="1"/>
    <col min="6148" max="6148" width="11.140625" style="215" customWidth="1"/>
    <col min="6149" max="6149" width="10.28515625" style="215" customWidth="1"/>
    <col min="6150" max="6150" width="11.85546875" style="215" customWidth="1"/>
    <col min="6151" max="6152" width="9.7109375" style="215" customWidth="1"/>
    <col min="6153" max="6153" width="16.7109375" style="215" customWidth="1"/>
    <col min="6154" max="6400" width="9.140625" style="215"/>
    <col min="6401" max="6401" width="6.140625" style="215" customWidth="1"/>
    <col min="6402" max="6402" width="39.7109375" style="215" customWidth="1"/>
    <col min="6403" max="6403" width="11.85546875" style="215" customWidth="1"/>
    <col min="6404" max="6404" width="11.140625" style="215" customWidth="1"/>
    <col min="6405" max="6405" width="10.28515625" style="215" customWidth="1"/>
    <col min="6406" max="6406" width="11.85546875" style="215" customWidth="1"/>
    <col min="6407" max="6408" width="9.7109375" style="215" customWidth="1"/>
    <col min="6409" max="6409" width="16.7109375" style="215" customWidth="1"/>
    <col min="6410" max="6656" width="9.140625" style="215"/>
    <col min="6657" max="6657" width="6.140625" style="215" customWidth="1"/>
    <col min="6658" max="6658" width="39.7109375" style="215" customWidth="1"/>
    <col min="6659" max="6659" width="11.85546875" style="215" customWidth="1"/>
    <col min="6660" max="6660" width="11.140625" style="215" customWidth="1"/>
    <col min="6661" max="6661" width="10.28515625" style="215" customWidth="1"/>
    <col min="6662" max="6662" width="11.85546875" style="215" customWidth="1"/>
    <col min="6663" max="6664" width="9.7109375" style="215" customWidth="1"/>
    <col min="6665" max="6665" width="16.7109375" style="215" customWidth="1"/>
    <col min="6666" max="6912" width="9.140625" style="215"/>
    <col min="6913" max="6913" width="6.140625" style="215" customWidth="1"/>
    <col min="6914" max="6914" width="39.7109375" style="215" customWidth="1"/>
    <col min="6915" max="6915" width="11.85546875" style="215" customWidth="1"/>
    <col min="6916" max="6916" width="11.140625" style="215" customWidth="1"/>
    <col min="6917" max="6917" width="10.28515625" style="215" customWidth="1"/>
    <col min="6918" max="6918" width="11.85546875" style="215" customWidth="1"/>
    <col min="6919" max="6920" width="9.7109375" style="215" customWidth="1"/>
    <col min="6921" max="6921" width="16.7109375" style="215" customWidth="1"/>
    <col min="6922" max="7168" width="9.140625" style="215"/>
    <col min="7169" max="7169" width="6.140625" style="215" customWidth="1"/>
    <col min="7170" max="7170" width="39.7109375" style="215" customWidth="1"/>
    <col min="7171" max="7171" width="11.85546875" style="215" customWidth="1"/>
    <col min="7172" max="7172" width="11.140625" style="215" customWidth="1"/>
    <col min="7173" max="7173" width="10.28515625" style="215" customWidth="1"/>
    <col min="7174" max="7174" width="11.85546875" style="215" customWidth="1"/>
    <col min="7175" max="7176" width="9.7109375" style="215" customWidth="1"/>
    <col min="7177" max="7177" width="16.7109375" style="215" customWidth="1"/>
    <col min="7178" max="7424" width="9.140625" style="215"/>
    <col min="7425" max="7425" width="6.140625" style="215" customWidth="1"/>
    <col min="7426" max="7426" width="39.7109375" style="215" customWidth="1"/>
    <col min="7427" max="7427" width="11.85546875" style="215" customWidth="1"/>
    <col min="7428" max="7428" width="11.140625" style="215" customWidth="1"/>
    <col min="7429" max="7429" width="10.28515625" style="215" customWidth="1"/>
    <col min="7430" max="7430" width="11.85546875" style="215" customWidth="1"/>
    <col min="7431" max="7432" width="9.7109375" style="215" customWidth="1"/>
    <col min="7433" max="7433" width="16.7109375" style="215" customWidth="1"/>
    <col min="7434" max="7680" width="9.140625" style="215"/>
    <col min="7681" max="7681" width="6.140625" style="215" customWidth="1"/>
    <col min="7682" max="7682" width="39.7109375" style="215" customWidth="1"/>
    <col min="7683" max="7683" width="11.85546875" style="215" customWidth="1"/>
    <col min="7684" max="7684" width="11.140625" style="215" customWidth="1"/>
    <col min="7685" max="7685" width="10.28515625" style="215" customWidth="1"/>
    <col min="7686" max="7686" width="11.85546875" style="215" customWidth="1"/>
    <col min="7687" max="7688" width="9.7109375" style="215" customWidth="1"/>
    <col min="7689" max="7689" width="16.7109375" style="215" customWidth="1"/>
    <col min="7690" max="7936" width="9.140625" style="215"/>
    <col min="7937" max="7937" width="6.140625" style="215" customWidth="1"/>
    <col min="7938" max="7938" width="39.7109375" style="215" customWidth="1"/>
    <col min="7939" max="7939" width="11.85546875" style="215" customWidth="1"/>
    <col min="7940" max="7940" width="11.140625" style="215" customWidth="1"/>
    <col min="7941" max="7941" width="10.28515625" style="215" customWidth="1"/>
    <col min="7942" max="7942" width="11.85546875" style="215" customWidth="1"/>
    <col min="7943" max="7944" width="9.7109375" style="215" customWidth="1"/>
    <col min="7945" max="7945" width="16.7109375" style="215" customWidth="1"/>
    <col min="7946" max="8192" width="9.140625" style="215"/>
    <col min="8193" max="8193" width="6.140625" style="215" customWidth="1"/>
    <col min="8194" max="8194" width="39.7109375" style="215" customWidth="1"/>
    <col min="8195" max="8195" width="11.85546875" style="215" customWidth="1"/>
    <col min="8196" max="8196" width="11.140625" style="215" customWidth="1"/>
    <col min="8197" max="8197" width="10.28515625" style="215" customWidth="1"/>
    <col min="8198" max="8198" width="11.85546875" style="215" customWidth="1"/>
    <col min="8199" max="8200" width="9.7109375" style="215" customWidth="1"/>
    <col min="8201" max="8201" width="16.7109375" style="215" customWidth="1"/>
    <col min="8202" max="8448" width="9.140625" style="215"/>
    <col min="8449" max="8449" width="6.140625" style="215" customWidth="1"/>
    <col min="8450" max="8450" width="39.7109375" style="215" customWidth="1"/>
    <col min="8451" max="8451" width="11.85546875" style="215" customWidth="1"/>
    <col min="8452" max="8452" width="11.140625" style="215" customWidth="1"/>
    <col min="8453" max="8453" width="10.28515625" style="215" customWidth="1"/>
    <col min="8454" max="8454" width="11.85546875" style="215" customWidth="1"/>
    <col min="8455" max="8456" width="9.7109375" style="215" customWidth="1"/>
    <col min="8457" max="8457" width="16.7109375" style="215" customWidth="1"/>
    <col min="8458" max="8704" width="9.140625" style="215"/>
    <col min="8705" max="8705" width="6.140625" style="215" customWidth="1"/>
    <col min="8706" max="8706" width="39.7109375" style="215" customWidth="1"/>
    <col min="8707" max="8707" width="11.85546875" style="215" customWidth="1"/>
    <col min="8708" max="8708" width="11.140625" style="215" customWidth="1"/>
    <col min="8709" max="8709" width="10.28515625" style="215" customWidth="1"/>
    <col min="8710" max="8710" width="11.85546875" style="215" customWidth="1"/>
    <col min="8711" max="8712" width="9.7109375" style="215" customWidth="1"/>
    <col min="8713" max="8713" width="16.7109375" style="215" customWidth="1"/>
    <col min="8714" max="8960" width="9.140625" style="215"/>
    <col min="8961" max="8961" width="6.140625" style="215" customWidth="1"/>
    <col min="8962" max="8962" width="39.7109375" style="215" customWidth="1"/>
    <col min="8963" max="8963" width="11.85546875" style="215" customWidth="1"/>
    <col min="8964" max="8964" width="11.140625" style="215" customWidth="1"/>
    <col min="8965" max="8965" width="10.28515625" style="215" customWidth="1"/>
    <col min="8966" max="8966" width="11.85546875" style="215" customWidth="1"/>
    <col min="8967" max="8968" width="9.7109375" style="215" customWidth="1"/>
    <col min="8969" max="8969" width="16.7109375" style="215" customWidth="1"/>
    <col min="8970" max="9216" width="9.140625" style="215"/>
    <col min="9217" max="9217" width="6.140625" style="215" customWidth="1"/>
    <col min="9218" max="9218" width="39.7109375" style="215" customWidth="1"/>
    <col min="9219" max="9219" width="11.85546875" style="215" customWidth="1"/>
    <col min="9220" max="9220" width="11.140625" style="215" customWidth="1"/>
    <col min="9221" max="9221" width="10.28515625" style="215" customWidth="1"/>
    <col min="9222" max="9222" width="11.85546875" style="215" customWidth="1"/>
    <col min="9223" max="9224" width="9.7109375" style="215" customWidth="1"/>
    <col min="9225" max="9225" width="16.7109375" style="215" customWidth="1"/>
    <col min="9226" max="9472" width="9.140625" style="215"/>
    <col min="9473" max="9473" width="6.140625" style="215" customWidth="1"/>
    <col min="9474" max="9474" width="39.7109375" style="215" customWidth="1"/>
    <col min="9475" max="9475" width="11.85546875" style="215" customWidth="1"/>
    <col min="9476" max="9476" width="11.140625" style="215" customWidth="1"/>
    <col min="9477" max="9477" width="10.28515625" style="215" customWidth="1"/>
    <col min="9478" max="9478" width="11.85546875" style="215" customWidth="1"/>
    <col min="9479" max="9480" width="9.7109375" style="215" customWidth="1"/>
    <col min="9481" max="9481" width="16.7109375" style="215" customWidth="1"/>
    <col min="9482" max="9728" width="9.140625" style="215"/>
    <col min="9729" max="9729" width="6.140625" style="215" customWidth="1"/>
    <col min="9730" max="9730" width="39.7109375" style="215" customWidth="1"/>
    <col min="9731" max="9731" width="11.85546875" style="215" customWidth="1"/>
    <col min="9732" max="9732" width="11.140625" style="215" customWidth="1"/>
    <col min="9733" max="9733" width="10.28515625" style="215" customWidth="1"/>
    <col min="9734" max="9734" width="11.85546875" style="215" customWidth="1"/>
    <col min="9735" max="9736" width="9.7109375" style="215" customWidth="1"/>
    <col min="9737" max="9737" width="16.7109375" style="215" customWidth="1"/>
    <col min="9738" max="9984" width="9.140625" style="215"/>
    <col min="9985" max="9985" width="6.140625" style="215" customWidth="1"/>
    <col min="9986" max="9986" width="39.7109375" style="215" customWidth="1"/>
    <col min="9987" max="9987" width="11.85546875" style="215" customWidth="1"/>
    <col min="9988" max="9988" width="11.140625" style="215" customWidth="1"/>
    <col min="9989" max="9989" width="10.28515625" style="215" customWidth="1"/>
    <col min="9990" max="9990" width="11.85546875" style="215" customWidth="1"/>
    <col min="9991" max="9992" width="9.7109375" style="215" customWidth="1"/>
    <col min="9993" max="9993" width="16.7109375" style="215" customWidth="1"/>
    <col min="9994" max="10240" width="9.140625" style="215"/>
    <col min="10241" max="10241" width="6.140625" style="215" customWidth="1"/>
    <col min="10242" max="10242" width="39.7109375" style="215" customWidth="1"/>
    <col min="10243" max="10243" width="11.85546875" style="215" customWidth="1"/>
    <col min="10244" max="10244" width="11.140625" style="215" customWidth="1"/>
    <col min="10245" max="10245" width="10.28515625" style="215" customWidth="1"/>
    <col min="10246" max="10246" width="11.85546875" style="215" customWidth="1"/>
    <col min="10247" max="10248" width="9.7109375" style="215" customWidth="1"/>
    <col min="10249" max="10249" width="16.7109375" style="215" customWidth="1"/>
    <col min="10250" max="10496" width="9.140625" style="215"/>
    <col min="10497" max="10497" width="6.140625" style="215" customWidth="1"/>
    <col min="10498" max="10498" width="39.7109375" style="215" customWidth="1"/>
    <col min="10499" max="10499" width="11.85546875" style="215" customWidth="1"/>
    <col min="10500" max="10500" width="11.140625" style="215" customWidth="1"/>
    <col min="10501" max="10501" width="10.28515625" style="215" customWidth="1"/>
    <col min="10502" max="10502" width="11.85546875" style="215" customWidth="1"/>
    <col min="10503" max="10504" width="9.7109375" style="215" customWidth="1"/>
    <col min="10505" max="10505" width="16.7109375" style="215" customWidth="1"/>
    <col min="10506" max="10752" width="9.140625" style="215"/>
    <col min="10753" max="10753" width="6.140625" style="215" customWidth="1"/>
    <col min="10754" max="10754" width="39.7109375" style="215" customWidth="1"/>
    <col min="10755" max="10755" width="11.85546875" style="215" customWidth="1"/>
    <col min="10756" max="10756" width="11.140625" style="215" customWidth="1"/>
    <col min="10757" max="10757" width="10.28515625" style="215" customWidth="1"/>
    <col min="10758" max="10758" width="11.85546875" style="215" customWidth="1"/>
    <col min="10759" max="10760" width="9.7109375" style="215" customWidth="1"/>
    <col min="10761" max="10761" width="16.7109375" style="215" customWidth="1"/>
    <col min="10762" max="11008" width="9.140625" style="215"/>
    <col min="11009" max="11009" width="6.140625" style="215" customWidth="1"/>
    <col min="11010" max="11010" width="39.7109375" style="215" customWidth="1"/>
    <col min="11011" max="11011" width="11.85546875" style="215" customWidth="1"/>
    <col min="11012" max="11012" width="11.140625" style="215" customWidth="1"/>
    <col min="11013" max="11013" width="10.28515625" style="215" customWidth="1"/>
    <col min="11014" max="11014" width="11.85546875" style="215" customWidth="1"/>
    <col min="11015" max="11016" width="9.7109375" style="215" customWidth="1"/>
    <col min="11017" max="11017" width="16.7109375" style="215" customWidth="1"/>
    <col min="11018" max="11264" width="9.140625" style="215"/>
    <col min="11265" max="11265" width="6.140625" style="215" customWidth="1"/>
    <col min="11266" max="11266" width="39.7109375" style="215" customWidth="1"/>
    <col min="11267" max="11267" width="11.85546875" style="215" customWidth="1"/>
    <col min="11268" max="11268" width="11.140625" style="215" customWidth="1"/>
    <col min="11269" max="11269" width="10.28515625" style="215" customWidth="1"/>
    <col min="11270" max="11270" width="11.85546875" style="215" customWidth="1"/>
    <col min="11271" max="11272" width="9.7109375" style="215" customWidth="1"/>
    <col min="11273" max="11273" width="16.7109375" style="215" customWidth="1"/>
    <col min="11274" max="11520" width="9.140625" style="215"/>
    <col min="11521" max="11521" width="6.140625" style="215" customWidth="1"/>
    <col min="11522" max="11522" width="39.7109375" style="215" customWidth="1"/>
    <col min="11523" max="11523" width="11.85546875" style="215" customWidth="1"/>
    <col min="11524" max="11524" width="11.140625" style="215" customWidth="1"/>
    <col min="11525" max="11525" width="10.28515625" style="215" customWidth="1"/>
    <col min="11526" max="11526" width="11.85546875" style="215" customWidth="1"/>
    <col min="11527" max="11528" width="9.7109375" style="215" customWidth="1"/>
    <col min="11529" max="11529" width="16.7109375" style="215" customWidth="1"/>
    <col min="11530" max="11776" width="9.140625" style="215"/>
    <col min="11777" max="11777" width="6.140625" style="215" customWidth="1"/>
    <col min="11778" max="11778" width="39.7109375" style="215" customWidth="1"/>
    <col min="11779" max="11779" width="11.85546875" style="215" customWidth="1"/>
    <col min="11780" max="11780" width="11.140625" style="215" customWidth="1"/>
    <col min="11781" max="11781" width="10.28515625" style="215" customWidth="1"/>
    <col min="11782" max="11782" width="11.85546875" style="215" customWidth="1"/>
    <col min="11783" max="11784" width="9.7109375" style="215" customWidth="1"/>
    <col min="11785" max="11785" width="16.7109375" style="215" customWidth="1"/>
    <col min="11786" max="12032" width="9.140625" style="215"/>
    <col min="12033" max="12033" width="6.140625" style="215" customWidth="1"/>
    <col min="12034" max="12034" width="39.7109375" style="215" customWidth="1"/>
    <col min="12035" max="12035" width="11.85546875" style="215" customWidth="1"/>
    <col min="12036" max="12036" width="11.140625" style="215" customWidth="1"/>
    <col min="12037" max="12037" width="10.28515625" style="215" customWidth="1"/>
    <col min="12038" max="12038" width="11.85546875" style="215" customWidth="1"/>
    <col min="12039" max="12040" width="9.7109375" style="215" customWidth="1"/>
    <col min="12041" max="12041" width="16.7109375" style="215" customWidth="1"/>
    <col min="12042" max="12288" width="9.140625" style="215"/>
    <col min="12289" max="12289" width="6.140625" style="215" customWidth="1"/>
    <col min="12290" max="12290" width="39.7109375" style="215" customWidth="1"/>
    <col min="12291" max="12291" width="11.85546875" style="215" customWidth="1"/>
    <col min="12292" max="12292" width="11.140625" style="215" customWidth="1"/>
    <col min="12293" max="12293" width="10.28515625" style="215" customWidth="1"/>
    <col min="12294" max="12294" width="11.85546875" style="215" customWidth="1"/>
    <col min="12295" max="12296" width="9.7109375" style="215" customWidth="1"/>
    <col min="12297" max="12297" width="16.7109375" style="215" customWidth="1"/>
    <col min="12298" max="12544" width="9.140625" style="215"/>
    <col min="12545" max="12545" width="6.140625" style="215" customWidth="1"/>
    <col min="12546" max="12546" width="39.7109375" style="215" customWidth="1"/>
    <col min="12547" max="12547" width="11.85546875" style="215" customWidth="1"/>
    <col min="12548" max="12548" width="11.140625" style="215" customWidth="1"/>
    <col min="12549" max="12549" width="10.28515625" style="215" customWidth="1"/>
    <col min="12550" max="12550" width="11.85546875" style="215" customWidth="1"/>
    <col min="12551" max="12552" width="9.7109375" style="215" customWidth="1"/>
    <col min="12553" max="12553" width="16.7109375" style="215" customWidth="1"/>
    <col min="12554" max="12800" width="9.140625" style="215"/>
    <col min="12801" max="12801" width="6.140625" style="215" customWidth="1"/>
    <col min="12802" max="12802" width="39.7109375" style="215" customWidth="1"/>
    <col min="12803" max="12803" width="11.85546875" style="215" customWidth="1"/>
    <col min="12804" max="12804" width="11.140625" style="215" customWidth="1"/>
    <col min="12805" max="12805" width="10.28515625" style="215" customWidth="1"/>
    <col min="12806" max="12806" width="11.85546875" style="215" customWidth="1"/>
    <col min="12807" max="12808" width="9.7109375" style="215" customWidth="1"/>
    <col min="12809" max="12809" width="16.7109375" style="215" customWidth="1"/>
    <col min="12810" max="13056" width="9.140625" style="215"/>
    <col min="13057" max="13057" width="6.140625" style="215" customWidth="1"/>
    <col min="13058" max="13058" width="39.7109375" style="215" customWidth="1"/>
    <col min="13059" max="13059" width="11.85546875" style="215" customWidth="1"/>
    <col min="13060" max="13060" width="11.140625" style="215" customWidth="1"/>
    <col min="13061" max="13061" width="10.28515625" style="215" customWidth="1"/>
    <col min="13062" max="13062" width="11.85546875" style="215" customWidth="1"/>
    <col min="13063" max="13064" width="9.7109375" style="215" customWidth="1"/>
    <col min="13065" max="13065" width="16.7109375" style="215" customWidth="1"/>
    <col min="13066" max="13312" width="9.140625" style="215"/>
    <col min="13313" max="13313" width="6.140625" style="215" customWidth="1"/>
    <col min="13314" max="13314" width="39.7109375" style="215" customWidth="1"/>
    <col min="13315" max="13315" width="11.85546875" style="215" customWidth="1"/>
    <col min="13316" max="13316" width="11.140625" style="215" customWidth="1"/>
    <col min="13317" max="13317" width="10.28515625" style="215" customWidth="1"/>
    <col min="13318" max="13318" width="11.85546875" style="215" customWidth="1"/>
    <col min="13319" max="13320" width="9.7109375" style="215" customWidth="1"/>
    <col min="13321" max="13321" width="16.7109375" style="215" customWidth="1"/>
    <col min="13322" max="13568" width="9.140625" style="215"/>
    <col min="13569" max="13569" width="6.140625" style="215" customWidth="1"/>
    <col min="13570" max="13570" width="39.7109375" style="215" customWidth="1"/>
    <col min="13571" max="13571" width="11.85546875" style="215" customWidth="1"/>
    <col min="13572" max="13572" width="11.140625" style="215" customWidth="1"/>
    <col min="13573" max="13573" width="10.28515625" style="215" customWidth="1"/>
    <col min="13574" max="13574" width="11.85546875" style="215" customWidth="1"/>
    <col min="13575" max="13576" width="9.7109375" style="215" customWidth="1"/>
    <col min="13577" max="13577" width="16.7109375" style="215" customWidth="1"/>
    <col min="13578" max="13824" width="9.140625" style="215"/>
    <col min="13825" max="13825" width="6.140625" style="215" customWidth="1"/>
    <col min="13826" max="13826" width="39.7109375" style="215" customWidth="1"/>
    <col min="13827" max="13827" width="11.85546875" style="215" customWidth="1"/>
    <col min="13828" max="13828" width="11.140625" style="215" customWidth="1"/>
    <col min="13829" max="13829" width="10.28515625" style="215" customWidth="1"/>
    <col min="13830" max="13830" width="11.85546875" style="215" customWidth="1"/>
    <col min="13831" max="13832" width="9.7109375" style="215" customWidth="1"/>
    <col min="13833" max="13833" width="16.7109375" style="215" customWidth="1"/>
    <col min="13834" max="14080" width="9.140625" style="215"/>
    <col min="14081" max="14081" width="6.140625" style="215" customWidth="1"/>
    <col min="14082" max="14082" width="39.7109375" style="215" customWidth="1"/>
    <col min="14083" max="14083" width="11.85546875" style="215" customWidth="1"/>
    <col min="14084" max="14084" width="11.140625" style="215" customWidth="1"/>
    <col min="14085" max="14085" width="10.28515625" style="215" customWidth="1"/>
    <col min="14086" max="14086" width="11.85546875" style="215" customWidth="1"/>
    <col min="14087" max="14088" width="9.7109375" style="215" customWidth="1"/>
    <col min="14089" max="14089" width="16.7109375" style="215" customWidth="1"/>
    <col min="14090" max="14336" width="9.140625" style="215"/>
    <col min="14337" max="14337" width="6.140625" style="215" customWidth="1"/>
    <col min="14338" max="14338" width="39.7109375" style="215" customWidth="1"/>
    <col min="14339" max="14339" width="11.85546875" style="215" customWidth="1"/>
    <col min="14340" max="14340" width="11.140625" style="215" customWidth="1"/>
    <col min="14341" max="14341" width="10.28515625" style="215" customWidth="1"/>
    <col min="14342" max="14342" width="11.85546875" style="215" customWidth="1"/>
    <col min="14343" max="14344" width="9.7109375" style="215" customWidth="1"/>
    <col min="14345" max="14345" width="16.7109375" style="215" customWidth="1"/>
    <col min="14346" max="14592" width="9.140625" style="215"/>
    <col min="14593" max="14593" width="6.140625" style="215" customWidth="1"/>
    <col min="14594" max="14594" width="39.7109375" style="215" customWidth="1"/>
    <col min="14595" max="14595" width="11.85546875" style="215" customWidth="1"/>
    <col min="14596" max="14596" width="11.140625" style="215" customWidth="1"/>
    <col min="14597" max="14597" width="10.28515625" style="215" customWidth="1"/>
    <col min="14598" max="14598" width="11.85546875" style="215" customWidth="1"/>
    <col min="14599" max="14600" width="9.7109375" style="215" customWidth="1"/>
    <col min="14601" max="14601" width="16.7109375" style="215" customWidth="1"/>
    <col min="14602" max="14848" width="9.140625" style="215"/>
    <col min="14849" max="14849" width="6.140625" style="215" customWidth="1"/>
    <col min="14850" max="14850" width="39.7109375" style="215" customWidth="1"/>
    <col min="14851" max="14851" width="11.85546875" style="215" customWidth="1"/>
    <col min="14852" max="14852" width="11.140625" style="215" customWidth="1"/>
    <col min="14853" max="14853" width="10.28515625" style="215" customWidth="1"/>
    <col min="14854" max="14854" width="11.85546875" style="215" customWidth="1"/>
    <col min="14855" max="14856" width="9.7109375" style="215" customWidth="1"/>
    <col min="14857" max="14857" width="16.7109375" style="215" customWidth="1"/>
    <col min="14858" max="15104" width="9.140625" style="215"/>
    <col min="15105" max="15105" width="6.140625" style="215" customWidth="1"/>
    <col min="15106" max="15106" width="39.7109375" style="215" customWidth="1"/>
    <col min="15107" max="15107" width="11.85546875" style="215" customWidth="1"/>
    <col min="15108" max="15108" width="11.140625" style="215" customWidth="1"/>
    <col min="15109" max="15109" width="10.28515625" style="215" customWidth="1"/>
    <col min="15110" max="15110" width="11.85546875" style="215" customWidth="1"/>
    <col min="15111" max="15112" width="9.7109375" style="215" customWidth="1"/>
    <col min="15113" max="15113" width="16.7109375" style="215" customWidth="1"/>
    <col min="15114" max="15360" width="9.140625" style="215"/>
    <col min="15361" max="15361" width="6.140625" style="215" customWidth="1"/>
    <col min="15362" max="15362" width="39.7109375" style="215" customWidth="1"/>
    <col min="15363" max="15363" width="11.85546875" style="215" customWidth="1"/>
    <col min="15364" max="15364" width="11.140625" style="215" customWidth="1"/>
    <col min="15365" max="15365" width="10.28515625" style="215" customWidth="1"/>
    <col min="15366" max="15366" width="11.85546875" style="215" customWidth="1"/>
    <col min="15367" max="15368" width="9.7109375" style="215" customWidth="1"/>
    <col min="15369" max="15369" width="16.7109375" style="215" customWidth="1"/>
    <col min="15370" max="15616" width="9.140625" style="215"/>
    <col min="15617" max="15617" width="6.140625" style="215" customWidth="1"/>
    <col min="15618" max="15618" width="39.7109375" style="215" customWidth="1"/>
    <col min="15619" max="15619" width="11.85546875" style="215" customWidth="1"/>
    <col min="15620" max="15620" width="11.140625" style="215" customWidth="1"/>
    <col min="15621" max="15621" width="10.28515625" style="215" customWidth="1"/>
    <col min="15622" max="15622" width="11.85546875" style="215" customWidth="1"/>
    <col min="15623" max="15624" width="9.7109375" style="215" customWidth="1"/>
    <col min="15625" max="15625" width="16.7109375" style="215" customWidth="1"/>
    <col min="15626" max="15872" width="9.140625" style="215"/>
    <col min="15873" max="15873" width="6.140625" style="215" customWidth="1"/>
    <col min="15874" max="15874" width="39.7109375" style="215" customWidth="1"/>
    <col min="15875" max="15875" width="11.85546875" style="215" customWidth="1"/>
    <col min="15876" max="15876" width="11.140625" style="215" customWidth="1"/>
    <col min="15877" max="15877" width="10.28515625" style="215" customWidth="1"/>
    <col min="15878" max="15878" width="11.85546875" style="215" customWidth="1"/>
    <col min="15879" max="15880" width="9.7109375" style="215" customWidth="1"/>
    <col min="15881" max="15881" width="16.7109375" style="215" customWidth="1"/>
    <col min="15882" max="16128" width="9.140625" style="215"/>
    <col min="16129" max="16129" width="6.140625" style="215" customWidth="1"/>
    <col min="16130" max="16130" width="39.7109375" style="215" customWidth="1"/>
    <col min="16131" max="16131" width="11.85546875" style="215" customWidth="1"/>
    <col min="16132" max="16132" width="11.140625" style="215" customWidth="1"/>
    <col min="16133" max="16133" width="10.28515625" style="215" customWidth="1"/>
    <col min="16134" max="16134" width="11.85546875" style="215" customWidth="1"/>
    <col min="16135" max="16136" width="9.7109375" style="215" customWidth="1"/>
    <col min="16137" max="16137" width="16.7109375" style="215" customWidth="1"/>
    <col min="16138" max="16384" width="9.140625" style="215"/>
  </cols>
  <sheetData>
    <row r="1" spans="1:9" x14ac:dyDescent="0.2">
      <c r="E1" s="1978" t="s">
        <v>2192</v>
      </c>
      <c r="F1" s="1979"/>
      <c r="G1" s="1979"/>
      <c r="H1" s="1979"/>
      <c r="I1" s="1979"/>
    </row>
    <row r="2" spans="1:9" x14ac:dyDescent="0.2">
      <c r="E2" s="1979"/>
      <c r="F2" s="1979"/>
      <c r="G2" s="1979"/>
      <c r="H2" s="1979"/>
      <c r="I2" s="1979"/>
    </row>
    <row r="3" spans="1:9" x14ac:dyDescent="0.2">
      <c r="B3" s="216"/>
      <c r="C3" s="216"/>
      <c r="D3" s="216"/>
      <c r="E3" s="1979"/>
      <c r="F3" s="1979"/>
      <c r="G3" s="1979"/>
      <c r="H3" s="1979"/>
      <c r="I3" s="1979"/>
    </row>
    <row r="4" spans="1:9" x14ac:dyDescent="0.2">
      <c r="B4" s="216"/>
      <c r="C4" s="216"/>
      <c r="D4" s="216"/>
      <c r="E4" s="1880"/>
      <c r="F4" s="1880"/>
      <c r="G4" s="1880"/>
      <c r="H4" s="1880"/>
      <c r="I4" s="1880"/>
    </row>
    <row r="5" spans="1:9" ht="15.75" x14ac:dyDescent="0.25">
      <c r="A5" s="522"/>
      <c r="B5" s="216"/>
      <c r="C5" s="216"/>
      <c r="D5" s="216"/>
      <c r="E5" s="1880"/>
      <c r="F5" s="1880"/>
      <c r="G5" s="1880"/>
      <c r="H5" s="1880"/>
      <c r="I5" s="1880"/>
    </row>
    <row r="6" spans="1:9" ht="15.75" x14ac:dyDescent="0.25">
      <c r="A6" s="522" t="s">
        <v>112</v>
      </c>
      <c r="B6" s="216"/>
      <c r="C6" s="216"/>
      <c r="D6" s="216"/>
      <c r="E6" s="1880"/>
      <c r="F6" s="1880"/>
      <c r="G6" s="1880"/>
      <c r="H6" s="1880"/>
      <c r="I6" s="1880"/>
    </row>
    <row r="7" spans="1:9" ht="15.75" x14ac:dyDescent="0.25">
      <c r="A7" s="522"/>
      <c r="B7" s="216"/>
      <c r="C7" s="216"/>
      <c r="D7" s="216"/>
      <c r="E7" s="1880"/>
      <c r="F7" s="1880"/>
      <c r="G7" s="1880"/>
      <c r="H7" s="1880"/>
      <c r="I7" s="1880"/>
    </row>
    <row r="8" spans="1:9" ht="15.75" x14ac:dyDescent="0.25">
      <c r="A8" s="522"/>
      <c r="B8" s="216"/>
      <c r="C8" s="217"/>
      <c r="D8" s="217"/>
      <c r="E8" s="217"/>
      <c r="F8" s="217"/>
      <c r="G8" s="217"/>
      <c r="H8" s="217"/>
      <c r="I8" s="217"/>
    </row>
    <row r="9" spans="1:9" ht="18.75" x14ac:dyDescent="0.3">
      <c r="A9" s="1988" t="s">
        <v>113</v>
      </c>
      <c r="B9" s="1988"/>
      <c r="C9" s="1988"/>
      <c r="D9" s="1988"/>
      <c r="E9" s="1988"/>
      <c r="F9" s="1988"/>
      <c r="G9" s="1988"/>
      <c r="H9" s="1988"/>
      <c r="I9" s="1988"/>
    </row>
    <row r="10" spans="1:9" ht="12" customHeight="1" x14ac:dyDescent="0.3">
      <c r="A10" s="523"/>
      <c r="B10" s="523"/>
      <c r="C10" s="523"/>
      <c r="D10" s="523"/>
      <c r="E10" s="523"/>
      <c r="F10" s="523"/>
      <c r="G10" s="523"/>
      <c r="H10" s="523"/>
      <c r="I10" s="523"/>
    </row>
    <row r="11" spans="1:9" ht="30.75" customHeight="1" x14ac:dyDescent="0.25">
      <c r="A11" s="522" t="s">
        <v>753</v>
      </c>
      <c r="C11" s="1990" t="s">
        <v>1807</v>
      </c>
      <c r="D11" s="1990"/>
      <c r="E11" s="1990"/>
      <c r="F11" s="1990"/>
      <c r="G11" s="1990"/>
      <c r="H11" s="1990"/>
      <c r="I11" s="1990"/>
    </row>
    <row r="12" spans="1:9" ht="15.75" x14ac:dyDescent="0.25">
      <c r="A12" s="522" t="s">
        <v>115</v>
      </c>
      <c r="C12" s="524" t="s">
        <v>754</v>
      </c>
      <c r="D12" s="219"/>
      <c r="E12" s="219"/>
      <c r="F12" s="219"/>
      <c r="G12" s="219"/>
      <c r="H12" s="219"/>
      <c r="I12" s="219"/>
    </row>
    <row r="13" spans="1:9" ht="15.75" x14ac:dyDescent="0.25">
      <c r="A13" s="522" t="s">
        <v>117</v>
      </c>
      <c r="C13" s="524" t="s">
        <v>755</v>
      </c>
      <c r="D13" s="219"/>
      <c r="E13" s="219"/>
      <c r="F13" s="219"/>
      <c r="G13" s="219"/>
      <c r="H13" s="219"/>
      <c r="I13" s="219"/>
    </row>
    <row r="14" spans="1:9" ht="15.75" x14ac:dyDescent="0.25">
      <c r="A14" s="522"/>
      <c r="C14" s="429"/>
      <c r="D14" s="429"/>
      <c r="E14" s="429"/>
      <c r="F14" s="429"/>
      <c r="G14" s="429"/>
      <c r="H14" s="429"/>
      <c r="I14" s="429"/>
    </row>
    <row r="15" spans="1:9" ht="12.75" x14ac:dyDescent="0.2">
      <c r="A15" s="1989" t="s">
        <v>47</v>
      </c>
      <c r="B15" s="1989" t="s">
        <v>119</v>
      </c>
      <c r="C15" s="1989" t="s">
        <v>51</v>
      </c>
      <c r="D15" s="1989" t="s">
        <v>52</v>
      </c>
      <c r="E15" s="1989" t="s">
        <v>756</v>
      </c>
      <c r="F15" s="525"/>
      <c r="G15" s="525"/>
      <c r="H15" s="525"/>
      <c r="I15" s="1989" t="s">
        <v>126</v>
      </c>
    </row>
    <row r="16" spans="1:9" ht="51" x14ac:dyDescent="0.2">
      <c r="A16" s="1989"/>
      <c r="B16" s="1989"/>
      <c r="C16" s="1989"/>
      <c r="D16" s="1989"/>
      <c r="E16" s="1989"/>
      <c r="F16" s="526" t="s">
        <v>129</v>
      </c>
      <c r="G16" s="526" t="s">
        <v>124</v>
      </c>
      <c r="H16" s="526" t="s">
        <v>2165</v>
      </c>
      <c r="I16" s="1989"/>
    </row>
    <row r="17" spans="1:11" ht="12.75" x14ac:dyDescent="0.2">
      <c r="A17" s="1980" t="s">
        <v>2182</v>
      </c>
      <c r="B17" s="1981"/>
      <c r="C17" s="527">
        <f>SUM(C18:C22)</f>
        <v>184024</v>
      </c>
      <c r="D17" s="527">
        <f>SUM(D18:D22)</f>
        <v>184024</v>
      </c>
      <c r="E17" s="527">
        <f>SUM(E18:E22)</f>
        <v>184024</v>
      </c>
      <c r="F17" s="527"/>
      <c r="G17" s="527">
        <f>SUM(G18:G22)</f>
        <v>411730</v>
      </c>
      <c r="H17" s="527">
        <f>SUM(H18:H22)</f>
        <v>585841</v>
      </c>
      <c r="I17" s="528"/>
    </row>
    <row r="18" spans="1:11" ht="12.75" x14ac:dyDescent="0.2">
      <c r="A18" s="526">
        <v>1</v>
      </c>
      <c r="B18" s="529" t="s">
        <v>757</v>
      </c>
      <c r="C18" s="530">
        <v>47640</v>
      </c>
      <c r="D18" s="530">
        <v>47640</v>
      </c>
      <c r="E18" s="530">
        <v>47640</v>
      </c>
      <c r="F18" s="530">
        <v>2276</v>
      </c>
      <c r="G18" s="530">
        <v>47640</v>
      </c>
      <c r="H18" s="1011">
        <f>ROUNDUP(G18/0.702804,0)</f>
        <v>67786</v>
      </c>
      <c r="I18" s="531"/>
    </row>
    <row r="19" spans="1:11" ht="12.75" x14ac:dyDescent="0.2">
      <c r="A19" s="526">
        <v>2</v>
      </c>
      <c r="B19" s="529" t="s">
        <v>758</v>
      </c>
      <c r="C19" s="530">
        <v>97294</v>
      </c>
      <c r="D19" s="530">
        <v>97294</v>
      </c>
      <c r="E19" s="530">
        <v>97294</v>
      </c>
      <c r="F19" s="530">
        <v>2279</v>
      </c>
      <c r="G19" s="530">
        <v>325000</v>
      </c>
      <c r="H19" s="1011">
        <f t="shared" ref="H19:H22" si="0">ROUNDUP(G19/0.702804,0)</f>
        <v>462434</v>
      </c>
      <c r="I19" s="531"/>
    </row>
    <row r="20" spans="1:11" ht="12.75" x14ac:dyDescent="0.2">
      <c r="A20" s="1982">
        <v>3</v>
      </c>
      <c r="B20" s="1985" t="s">
        <v>759</v>
      </c>
      <c r="C20" s="530">
        <v>10045</v>
      </c>
      <c r="D20" s="530">
        <v>10045</v>
      </c>
      <c r="E20" s="530">
        <v>10045</v>
      </c>
      <c r="F20" s="530">
        <v>2519</v>
      </c>
      <c r="G20" s="530">
        <v>10045</v>
      </c>
      <c r="H20" s="1011">
        <f t="shared" si="0"/>
        <v>14293</v>
      </c>
      <c r="I20" s="531"/>
      <c r="K20" s="938"/>
    </row>
    <row r="21" spans="1:11" ht="12.75" customHeight="1" x14ac:dyDescent="0.2">
      <c r="A21" s="1983"/>
      <c r="B21" s="1986"/>
      <c r="C21" s="530">
        <v>26045</v>
      </c>
      <c r="D21" s="530">
        <v>26045</v>
      </c>
      <c r="E21" s="530">
        <v>26045</v>
      </c>
      <c r="F21" s="530">
        <v>2276</v>
      </c>
      <c r="G21" s="530">
        <v>26045</v>
      </c>
      <c r="H21" s="1011">
        <f t="shared" si="0"/>
        <v>37059</v>
      </c>
      <c r="I21" s="531"/>
    </row>
    <row r="22" spans="1:11" ht="12.75" customHeight="1" x14ac:dyDescent="0.2">
      <c r="A22" s="1984"/>
      <c r="B22" s="1987"/>
      <c r="C22" s="530">
        <v>3000</v>
      </c>
      <c r="D22" s="530">
        <v>3000</v>
      </c>
      <c r="E22" s="530">
        <v>3000</v>
      </c>
      <c r="F22" s="530">
        <v>2272</v>
      </c>
      <c r="G22" s="530">
        <v>3000</v>
      </c>
      <c r="H22" s="1011">
        <f t="shared" si="0"/>
        <v>4269</v>
      </c>
      <c r="I22" s="531"/>
    </row>
    <row r="23" spans="1:11" x14ac:dyDescent="0.2">
      <c r="A23" s="443"/>
      <c r="B23" s="443"/>
      <c r="C23" s="443"/>
      <c r="D23" s="443"/>
      <c r="E23" s="443"/>
      <c r="F23" s="443"/>
      <c r="G23" s="443"/>
      <c r="H23" s="443"/>
      <c r="I23" s="532"/>
    </row>
    <row r="32" spans="1:11" s="522" customFormat="1" ht="15.75" x14ac:dyDescent="0.25"/>
  </sheetData>
  <sheetProtection password="CA5B" sheet="1" objects="1" scenarios="1"/>
  <mergeCells count="12">
    <mergeCell ref="E1:I3"/>
    <mergeCell ref="A17:B17"/>
    <mergeCell ref="A20:A22"/>
    <mergeCell ref="B20:B22"/>
    <mergeCell ref="A9:I9"/>
    <mergeCell ref="A15:A16"/>
    <mergeCell ref="B15:B16"/>
    <mergeCell ref="C15:C16"/>
    <mergeCell ref="D15:D16"/>
    <mergeCell ref="E15:E16"/>
    <mergeCell ref="I15:I16"/>
    <mergeCell ref="C11:I11"/>
  </mergeCells>
  <pageMargins left="0.98425196850393704" right="0.39370078740157483" top="0.59055118110236227" bottom="0.78740157480314965" header="0.51181102362204722" footer="0.51181102362204722"/>
  <pageSetup paperSize="9" scale="65" orientation="portrait" r:id="rId1"/>
  <headerFooter alignWithMargins="0">
    <oddFooter xml:space="preserve">&amp;R&amp;"Times New Roman,Regular"&amp;8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1"/>
  <sheetViews>
    <sheetView zoomScaleNormal="100" workbookViewId="0">
      <selection activeCell="K12" sqref="K12"/>
    </sheetView>
  </sheetViews>
  <sheetFormatPr defaultRowHeight="12" x14ac:dyDescent="0.2"/>
  <cols>
    <col min="1" max="1" width="6.140625" style="215" customWidth="1"/>
    <col min="2" max="2" width="30.140625" style="215" customWidth="1"/>
    <col min="3" max="3" width="11.85546875" style="215" customWidth="1"/>
    <col min="4" max="4" width="11.140625" style="215" customWidth="1"/>
    <col min="5" max="5" width="10.28515625" style="215" customWidth="1"/>
    <col min="6" max="6" width="10.5703125" style="215" customWidth="1"/>
    <col min="7" max="7" width="9.140625" style="215" hidden="1" customWidth="1"/>
    <col min="8" max="8" width="9.140625" style="215" customWidth="1"/>
    <col min="9" max="9" width="25.5703125" style="215" customWidth="1"/>
    <col min="10" max="253" width="9.140625" style="215"/>
    <col min="254" max="254" width="6.140625" style="215" customWidth="1"/>
    <col min="255" max="255" width="30.140625" style="215" customWidth="1"/>
    <col min="256" max="256" width="11.85546875" style="215" customWidth="1"/>
    <col min="257" max="257" width="11.140625" style="215" customWidth="1"/>
    <col min="258" max="258" width="10.28515625" style="215" customWidth="1"/>
    <col min="259" max="259" width="10.5703125" style="215" customWidth="1"/>
    <col min="260" max="261" width="9.140625" style="215" customWidth="1"/>
    <col min="262" max="262" width="25.5703125" style="215" customWidth="1"/>
    <col min="263" max="509" width="9.140625" style="215"/>
    <col min="510" max="510" width="6.140625" style="215" customWidth="1"/>
    <col min="511" max="511" width="30.140625" style="215" customWidth="1"/>
    <col min="512" max="512" width="11.85546875" style="215" customWidth="1"/>
    <col min="513" max="513" width="11.140625" style="215" customWidth="1"/>
    <col min="514" max="514" width="10.28515625" style="215" customWidth="1"/>
    <col min="515" max="515" width="10.5703125" style="215" customWidth="1"/>
    <col min="516" max="517" width="9.140625" style="215" customWidth="1"/>
    <col min="518" max="518" width="25.5703125" style="215" customWidth="1"/>
    <col min="519" max="765" width="9.140625" style="215"/>
    <col min="766" max="766" width="6.140625" style="215" customWidth="1"/>
    <col min="767" max="767" width="30.140625" style="215" customWidth="1"/>
    <col min="768" max="768" width="11.85546875" style="215" customWidth="1"/>
    <col min="769" max="769" width="11.140625" style="215" customWidth="1"/>
    <col min="770" max="770" width="10.28515625" style="215" customWidth="1"/>
    <col min="771" max="771" width="10.5703125" style="215" customWidth="1"/>
    <col min="772" max="773" width="9.140625" style="215" customWidth="1"/>
    <col min="774" max="774" width="25.5703125" style="215" customWidth="1"/>
    <col min="775" max="1021" width="9.140625" style="215"/>
    <col min="1022" max="1022" width="6.140625" style="215" customWidth="1"/>
    <col min="1023" max="1023" width="30.140625" style="215" customWidth="1"/>
    <col min="1024" max="1024" width="11.85546875" style="215" customWidth="1"/>
    <col min="1025" max="1025" width="11.140625" style="215" customWidth="1"/>
    <col min="1026" max="1026" width="10.28515625" style="215" customWidth="1"/>
    <col min="1027" max="1027" width="10.5703125" style="215" customWidth="1"/>
    <col min="1028" max="1029" width="9.140625" style="215" customWidth="1"/>
    <col min="1030" max="1030" width="25.5703125" style="215" customWidth="1"/>
    <col min="1031" max="1277" width="9.140625" style="215"/>
    <col min="1278" max="1278" width="6.140625" style="215" customWidth="1"/>
    <col min="1279" max="1279" width="30.140625" style="215" customWidth="1"/>
    <col min="1280" max="1280" width="11.85546875" style="215" customWidth="1"/>
    <col min="1281" max="1281" width="11.140625" style="215" customWidth="1"/>
    <col min="1282" max="1282" width="10.28515625" style="215" customWidth="1"/>
    <col min="1283" max="1283" width="10.5703125" style="215" customWidth="1"/>
    <col min="1284" max="1285" width="9.140625" style="215" customWidth="1"/>
    <col min="1286" max="1286" width="25.5703125" style="215" customWidth="1"/>
    <col min="1287" max="1533" width="9.140625" style="215"/>
    <col min="1534" max="1534" width="6.140625" style="215" customWidth="1"/>
    <col min="1535" max="1535" width="30.140625" style="215" customWidth="1"/>
    <col min="1536" max="1536" width="11.85546875" style="215" customWidth="1"/>
    <col min="1537" max="1537" width="11.140625" style="215" customWidth="1"/>
    <col min="1538" max="1538" width="10.28515625" style="215" customWidth="1"/>
    <col min="1539" max="1539" width="10.5703125" style="215" customWidth="1"/>
    <col min="1540" max="1541" width="9.140625" style="215" customWidth="1"/>
    <col min="1542" max="1542" width="25.5703125" style="215" customWidth="1"/>
    <col min="1543" max="1789" width="9.140625" style="215"/>
    <col min="1790" max="1790" width="6.140625" style="215" customWidth="1"/>
    <col min="1791" max="1791" width="30.140625" style="215" customWidth="1"/>
    <col min="1792" max="1792" width="11.85546875" style="215" customWidth="1"/>
    <col min="1793" max="1793" width="11.140625" style="215" customWidth="1"/>
    <col min="1794" max="1794" width="10.28515625" style="215" customWidth="1"/>
    <col min="1795" max="1795" width="10.5703125" style="215" customWidth="1"/>
    <col min="1796" max="1797" width="9.140625" style="215" customWidth="1"/>
    <col min="1798" max="1798" width="25.5703125" style="215" customWidth="1"/>
    <col min="1799" max="2045" width="9.140625" style="215"/>
    <col min="2046" max="2046" width="6.140625" style="215" customWidth="1"/>
    <col min="2047" max="2047" width="30.140625" style="215" customWidth="1"/>
    <col min="2048" max="2048" width="11.85546875" style="215" customWidth="1"/>
    <col min="2049" max="2049" width="11.140625" style="215" customWidth="1"/>
    <col min="2050" max="2050" width="10.28515625" style="215" customWidth="1"/>
    <col min="2051" max="2051" width="10.5703125" style="215" customWidth="1"/>
    <col min="2052" max="2053" width="9.140625" style="215" customWidth="1"/>
    <col min="2054" max="2054" width="25.5703125" style="215" customWidth="1"/>
    <col min="2055" max="2301" width="9.140625" style="215"/>
    <col min="2302" max="2302" width="6.140625" style="215" customWidth="1"/>
    <col min="2303" max="2303" width="30.140625" style="215" customWidth="1"/>
    <col min="2304" max="2304" width="11.85546875" style="215" customWidth="1"/>
    <col min="2305" max="2305" width="11.140625" style="215" customWidth="1"/>
    <col min="2306" max="2306" width="10.28515625" style="215" customWidth="1"/>
    <col min="2307" max="2307" width="10.5703125" style="215" customWidth="1"/>
    <col min="2308" max="2309" width="9.140625" style="215" customWidth="1"/>
    <col min="2310" max="2310" width="25.5703125" style="215" customWidth="1"/>
    <col min="2311" max="2557" width="9.140625" style="215"/>
    <col min="2558" max="2558" width="6.140625" style="215" customWidth="1"/>
    <col min="2559" max="2559" width="30.140625" style="215" customWidth="1"/>
    <col min="2560" max="2560" width="11.85546875" style="215" customWidth="1"/>
    <col min="2561" max="2561" width="11.140625" style="215" customWidth="1"/>
    <col min="2562" max="2562" width="10.28515625" style="215" customWidth="1"/>
    <col min="2563" max="2563" width="10.5703125" style="215" customWidth="1"/>
    <col min="2564" max="2565" width="9.140625" style="215" customWidth="1"/>
    <col min="2566" max="2566" width="25.5703125" style="215" customWidth="1"/>
    <col min="2567" max="2813" width="9.140625" style="215"/>
    <col min="2814" max="2814" width="6.140625" style="215" customWidth="1"/>
    <col min="2815" max="2815" width="30.140625" style="215" customWidth="1"/>
    <col min="2816" max="2816" width="11.85546875" style="215" customWidth="1"/>
    <col min="2817" max="2817" width="11.140625" style="215" customWidth="1"/>
    <col min="2818" max="2818" width="10.28515625" style="215" customWidth="1"/>
    <col min="2819" max="2819" width="10.5703125" style="215" customWidth="1"/>
    <col min="2820" max="2821" width="9.140625" style="215" customWidth="1"/>
    <col min="2822" max="2822" width="25.5703125" style="215" customWidth="1"/>
    <col min="2823" max="3069" width="9.140625" style="215"/>
    <col min="3070" max="3070" width="6.140625" style="215" customWidth="1"/>
    <col min="3071" max="3071" width="30.140625" style="215" customWidth="1"/>
    <col min="3072" max="3072" width="11.85546875" style="215" customWidth="1"/>
    <col min="3073" max="3073" width="11.140625" style="215" customWidth="1"/>
    <col min="3074" max="3074" width="10.28515625" style="215" customWidth="1"/>
    <col min="3075" max="3075" width="10.5703125" style="215" customWidth="1"/>
    <col min="3076" max="3077" width="9.140625" style="215" customWidth="1"/>
    <col min="3078" max="3078" width="25.5703125" style="215" customWidth="1"/>
    <col min="3079" max="3325" width="9.140625" style="215"/>
    <col min="3326" max="3326" width="6.140625" style="215" customWidth="1"/>
    <col min="3327" max="3327" width="30.140625" style="215" customWidth="1"/>
    <col min="3328" max="3328" width="11.85546875" style="215" customWidth="1"/>
    <col min="3329" max="3329" width="11.140625" style="215" customWidth="1"/>
    <col min="3330" max="3330" width="10.28515625" style="215" customWidth="1"/>
    <col min="3331" max="3331" width="10.5703125" style="215" customWidth="1"/>
    <col min="3332" max="3333" width="9.140625" style="215" customWidth="1"/>
    <col min="3334" max="3334" width="25.5703125" style="215" customWidth="1"/>
    <col min="3335" max="3581" width="9.140625" style="215"/>
    <col min="3582" max="3582" width="6.140625" style="215" customWidth="1"/>
    <col min="3583" max="3583" width="30.140625" style="215" customWidth="1"/>
    <col min="3584" max="3584" width="11.85546875" style="215" customWidth="1"/>
    <col min="3585" max="3585" width="11.140625" style="215" customWidth="1"/>
    <col min="3586" max="3586" width="10.28515625" style="215" customWidth="1"/>
    <col min="3587" max="3587" width="10.5703125" style="215" customWidth="1"/>
    <col min="3588" max="3589" width="9.140625" style="215" customWidth="1"/>
    <col min="3590" max="3590" width="25.5703125" style="215" customWidth="1"/>
    <col min="3591" max="3837" width="9.140625" style="215"/>
    <col min="3838" max="3838" width="6.140625" style="215" customWidth="1"/>
    <col min="3839" max="3839" width="30.140625" style="215" customWidth="1"/>
    <col min="3840" max="3840" width="11.85546875" style="215" customWidth="1"/>
    <col min="3841" max="3841" width="11.140625" style="215" customWidth="1"/>
    <col min="3842" max="3842" width="10.28515625" style="215" customWidth="1"/>
    <col min="3843" max="3843" width="10.5703125" style="215" customWidth="1"/>
    <col min="3844" max="3845" width="9.140625" style="215" customWidth="1"/>
    <col min="3846" max="3846" width="25.5703125" style="215" customWidth="1"/>
    <col min="3847" max="4093" width="9.140625" style="215"/>
    <col min="4094" max="4094" width="6.140625" style="215" customWidth="1"/>
    <col min="4095" max="4095" width="30.140625" style="215" customWidth="1"/>
    <col min="4096" max="4096" width="11.85546875" style="215" customWidth="1"/>
    <col min="4097" max="4097" width="11.140625" style="215" customWidth="1"/>
    <col min="4098" max="4098" width="10.28515625" style="215" customWidth="1"/>
    <col min="4099" max="4099" width="10.5703125" style="215" customWidth="1"/>
    <col min="4100" max="4101" width="9.140625" style="215" customWidth="1"/>
    <col min="4102" max="4102" width="25.5703125" style="215" customWidth="1"/>
    <col min="4103" max="4349" width="9.140625" style="215"/>
    <col min="4350" max="4350" width="6.140625" style="215" customWidth="1"/>
    <col min="4351" max="4351" width="30.140625" style="215" customWidth="1"/>
    <col min="4352" max="4352" width="11.85546875" style="215" customWidth="1"/>
    <col min="4353" max="4353" width="11.140625" style="215" customWidth="1"/>
    <col min="4354" max="4354" width="10.28515625" style="215" customWidth="1"/>
    <col min="4355" max="4355" width="10.5703125" style="215" customWidth="1"/>
    <col min="4356" max="4357" width="9.140625" style="215" customWidth="1"/>
    <col min="4358" max="4358" width="25.5703125" style="215" customWidth="1"/>
    <col min="4359" max="4605" width="9.140625" style="215"/>
    <col min="4606" max="4606" width="6.140625" style="215" customWidth="1"/>
    <col min="4607" max="4607" width="30.140625" style="215" customWidth="1"/>
    <col min="4608" max="4608" width="11.85546875" style="215" customWidth="1"/>
    <col min="4609" max="4609" width="11.140625" style="215" customWidth="1"/>
    <col min="4610" max="4610" width="10.28515625" style="215" customWidth="1"/>
    <col min="4611" max="4611" width="10.5703125" style="215" customWidth="1"/>
    <col min="4612" max="4613" width="9.140625" style="215" customWidth="1"/>
    <col min="4614" max="4614" width="25.5703125" style="215" customWidth="1"/>
    <col min="4615" max="4861" width="9.140625" style="215"/>
    <col min="4862" max="4862" width="6.140625" style="215" customWidth="1"/>
    <col min="4863" max="4863" width="30.140625" style="215" customWidth="1"/>
    <col min="4864" max="4864" width="11.85546875" style="215" customWidth="1"/>
    <col min="4865" max="4865" width="11.140625" style="215" customWidth="1"/>
    <col min="4866" max="4866" width="10.28515625" style="215" customWidth="1"/>
    <col min="4867" max="4867" width="10.5703125" style="215" customWidth="1"/>
    <col min="4868" max="4869" width="9.140625" style="215" customWidth="1"/>
    <col min="4870" max="4870" width="25.5703125" style="215" customWidth="1"/>
    <col min="4871" max="5117" width="9.140625" style="215"/>
    <col min="5118" max="5118" width="6.140625" style="215" customWidth="1"/>
    <col min="5119" max="5119" width="30.140625" style="215" customWidth="1"/>
    <col min="5120" max="5120" width="11.85546875" style="215" customWidth="1"/>
    <col min="5121" max="5121" width="11.140625" style="215" customWidth="1"/>
    <col min="5122" max="5122" width="10.28515625" style="215" customWidth="1"/>
    <col min="5123" max="5123" width="10.5703125" style="215" customWidth="1"/>
    <col min="5124" max="5125" width="9.140625" style="215" customWidth="1"/>
    <col min="5126" max="5126" width="25.5703125" style="215" customWidth="1"/>
    <col min="5127" max="5373" width="9.140625" style="215"/>
    <col min="5374" max="5374" width="6.140625" style="215" customWidth="1"/>
    <col min="5375" max="5375" width="30.140625" style="215" customWidth="1"/>
    <col min="5376" max="5376" width="11.85546875" style="215" customWidth="1"/>
    <col min="5377" max="5377" width="11.140625" style="215" customWidth="1"/>
    <col min="5378" max="5378" width="10.28515625" style="215" customWidth="1"/>
    <col min="5379" max="5379" width="10.5703125" style="215" customWidth="1"/>
    <col min="5380" max="5381" width="9.140625" style="215" customWidth="1"/>
    <col min="5382" max="5382" width="25.5703125" style="215" customWidth="1"/>
    <col min="5383" max="5629" width="9.140625" style="215"/>
    <col min="5630" max="5630" width="6.140625" style="215" customWidth="1"/>
    <col min="5631" max="5631" width="30.140625" style="215" customWidth="1"/>
    <col min="5632" max="5632" width="11.85546875" style="215" customWidth="1"/>
    <col min="5633" max="5633" width="11.140625" style="215" customWidth="1"/>
    <col min="5634" max="5634" width="10.28515625" style="215" customWidth="1"/>
    <col min="5635" max="5635" width="10.5703125" style="215" customWidth="1"/>
    <col min="5636" max="5637" width="9.140625" style="215" customWidth="1"/>
    <col min="5638" max="5638" width="25.5703125" style="215" customWidth="1"/>
    <col min="5639" max="5885" width="9.140625" style="215"/>
    <col min="5886" max="5886" width="6.140625" style="215" customWidth="1"/>
    <col min="5887" max="5887" width="30.140625" style="215" customWidth="1"/>
    <col min="5888" max="5888" width="11.85546875" style="215" customWidth="1"/>
    <col min="5889" max="5889" width="11.140625" style="215" customWidth="1"/>
    <col min="5890" max="5890" width="10.28515625" style="215" customWidth="1"/>
    <col min="5891" max="5891" width="10.5703125" style="215" customWidth="1"/>
    <col min="5892" max="5893" width="9.140625" style="215" customWidth="1"/>
    <col min="5894" max="5894" width="25.5703125" style="215" customWidth="1"/>
    <col min="5895" max="6141" width="9.140625" style="215"/>
    <col min="6142" max="6142" width="6.140625" style="215" customWidth="1"/>
    <col min="6143" max="6143" width="30.140625" style="215" customWidth="1"/>
    <col min="6144" max="6144" width="11.85546875" style="215" customWidth="1"/>
    <col min="6145" max="6145" width="11.140625" style="215" customWidth="1"/>
    <col min="6146" max="6146" width="10.28515625" style="215" customWidth="1"/>
    <col min="6147" max="6147" width="10.5703125" style="215" customWidth="1"/>
    <col min="6148" max="6149" width="9.140625" style="215" customWidth="1"/>
    <col min="6150" max="6150" width="25.5703125" style="215" customWidth="1"/>
    <col min="6151" max="6397" width="9.140625" style="215"/>
    <col min="6398" max="6398" width="6.140625" style="215" customWidth="1"/>
    <col min="6399" max="6399" width="30.140625" style="215" customWidth="1"/>
    <col min="6400" max="6400" width="11.85546875" style="215" customWidth="1"/>
    <col min="6401" max="6401" width="11.140625" style="215" customWidth="1"/>
    <col min="6402" max="6402" width="10.28515625" style="215" customWidth="1"/>
    <col min="6403" max="6403" width="10.5703125" style="215" customWidth="1"/>
    <col min="6404" max="6405" width="9.140625" style="215" customWidth="1"/>
    <col min="6406" max="6406" width="25.5703125" style="215" customWidth="1"/>
    <col min="6407" max="6653" width="9.140625" style="215"/>
    <col min="6654" max="6654" width="6.140625" style="215" customWidth="1"/>
    <col min="6655" max="6655" width="30.140625" style="215" customWidth="1"/>
    <col min="6656" max="6656" width="11.85546875" style="215" customWidth="1"/>
    <col min="6657" max="6657" width="11.140625" style="215" customWidth="1"/>
    <col min="6658" max="6658" width="10.28515625" style="215" customWidth="1"/>
    <col min="6659" max="6659" width="10.5703125" style="215" customWidth="1"/>
    <col min="6660" max="6661" width="9.140625" style="215" customWidth="1"/>
    <col min="6662" max="6662" width="25.5703125" style="215" customWidth="1"/>
    <col min="6663" max="6909" width="9.140625" style="215"/>
    <col min="6910" max="6910" width="6.140625" style="215" customWidth="1"/>
    <col min="6911" max="6911" width="30.140625" style="215" customWidth="1"/>
    <col min="6912" max="6912" width="11.85546875" style="215" customWidth="1"/>
    <col min="6913" max="6913" width="11.140625" style="215" customWidth="1"/>
    <col min="6914" max="6914" width="10.28515625" style="215" customWidth="1"/>
    <col min="6915" max="6915" width="10.5703125" style="215" customWidth="1"/>
    <col min="6916" max="6917" width="9.140625" style="215" customWidth="1"/>
    <col min="6918" max="6918" width="25.5703125" style="215" customWidth="1"/>
    <col min="6919" max="7165" width="9.140625" style="215"/>
    <col min="7166" max="7166" width="6.140625" style="215" customWidth="1"/>
    <col min="7167" max="7167" width="30.140625" style="215" customWidth="1"/>
    <col min="7168" max="7168" width="11.85546875" style="215" customWidth="1"/>
    <col min="7169" max="7169" width="11.140625" style="215" customWidth="1"/>
    <col min="7170" max="7170" width="10.28515625" style="215" customWidth="1"/>
    <col min="7171" max="7171" width="10.5703125" style="215" customWidth="1"/>
    <col min="7172" max="7173" width="9.140625" style="215" customWidth="1"/>
    <col min="7174" max="7174" width="25.5703125" style="215" customWidth="1"/>
    <col min="7175" max="7421" width="9.140625" style="215"/>
    <col min="7422" max="7422" width="6.140625" style="215" customWidth="1"/>
    <col min="7423" max="7423" width="30.140625" style="215" customWidth="1"/>
    <col min="7424" max="7424" width="11.85546875" style="215" customWidth="1"/>
    <col min="7425" max="7425" width="11.140625" style="215" customWidth="1"/>
    <col min="7426" max="7426" width="10.28515625" style="215" customWidth="1"/>
    <col min="7427" max="7427" width="10.5703125" style="215" customWidth="1"/>
    <col min="7428" max="7429" width="9.140625" style="215" customWidth="1"/>
    <col min="7430" max="7430" width="25.5703125" style="215" customWidth="1"/>
    <col min="7431" max="7677" width="9.140625" style="215"/>
    <col min="7678" max="7678" width="6.140625" style="215" customWidth="1"/>
    <col min="7679" max="7679" width="30.140625" style="215" customWidth="1"/>
    <col min="7680" max="7680" width="11.85546875" style="215" customWidth="1"/>
    <col min="7681" max="7681" width="11.140625" style="215" customWidth="1"/>
    <col min="7682" max="7682" width="10.28515625" style="215" customWidth="1"/>
    <col min="7683" max="7683" width="10.5703125" style="215" customWidth="1"/>
    <col min="7684" max="7685" width="9.140625" style="215" customWidth="1"/>
    <col min="7686" max="7686" width="25.5703125" style="215" customWidth="1"/>
    <col min="7687" max="7933" width="9.140625" style="215"/>
    <col min="7934" max="7934" width="6.140625" style="215" customWidth="1"/>
    <col min="7935" max="7935" width="30.140625" style="215" customWidth="1"/>
    <col min="7936" max="7936" width="11.85546875" style="215" customWidth="1"/>
    <col min="7937" max="7937" width="11.140625" style="215" customWidth="1"/>
    <col min="7938" max="7938" width="10.28515625" style="215" customWidth="1"/>
    <col min="7939" max="7939" width="10.5703125" style="215" customWidth="1"/>
    <col min="7940" max="7941" width="9.140625" style="215" customWidth="1"/>
    <col min="7942" max="7942" width="25.5703125" style="215" customWidth="1"/>
    <col min="7943" max="8189" width="9.140625" style="215"/>
    <col min="8190" max="8190" width="6.140625" style="215" customWidth="1"/>
    <col min="8191" max="8191" width="30.140625" style="215" customWidth="1"/>
    <col min="8192" max="8192" width="11.85546875" style="215" customWidth="1"/>
    <col min="8193" max="8193" width="11.140625" style="215" customWidth="1"/>
    <col min="8194" max="8194" width="10.28515625" style="215" customWidth="1"/>
    <col min="8195" max="8195" width="10.5703125" style="215" customWidth="1"/>
    <col min="8196" max="8197" width="9.140625" style="215" customWidth="1"/>
    <col min="8198" max="8198" width="25.5703125" style="215" customWidth="1"/>
    <col min="8199" max="8445" width="9.140625" style="215"/>
    <col min="8446" max="8446" width="6.140625" style="215" customWidth="1"/>
    <col min="8447" max="8447" width="30.140625" style="215" customWidth="1"/>
    <col min="8448" max="8448" width="11.85546875" style="215" customWidth="1"/>
    <col min="8449" max="8449" width="11.140625" style="215" customWidth="1"/>
    <col min="8450" max="8450" width="10.28515625" style="215" customWidth="1"/>
    <col min="8451" max="8451" width="10.5703125" style="215" customWidth="1"/>
    <col min="8452" max="8453" width="9.140625" style="215" customWidth="1"/>
    <col min="8454" max="8454" width="25.5703125" style="215" customWidth="1"/>
    <col min="8455" max="8701" width="9.140625" style="215"/>
    <col min="8702" max="8702" width="6.140625" style="215" customWidth="1"/>
    <col min="8703" max="8703" width="30.140625" style="215" customWidth="1"/>
    <col min="8704" max="8704" width="11.85546875" style="215" customWidth="1"/>
    <col min="8705" max="8705" width="11.140625" style="215" customWidth="1"/>
    <col min="8706" max="8706" width="10.28515625" style="215" customWidth="1"/>
    <col min="8707" max="8707" width="10.5703125" style="215" customWidth="1"/>
    <col min="8708" max="8709" width="9.140625" style="215" customWidth="1"/>
    <col min="8710" max="8710" width="25.5703125" style="215" customWidth="1"/>
    <col min="8711" max="8957" width="9.140625" style="215"/>
    <col min="8958" max="8958" width="6.140625" style="215" customWidth="1"/>
    <col min="8959" max="8959" width="30.140625" style="215" customWidth="1"/>
    <col min="8960" max="8960" width="11.85546875" style="215" customWidth="1"/>
    <col min="8961" max="8961" width="11.140625" style="215" customWidth="1"/>
    <col min="8962" max="8962" width="10.28515625" style="215" customWidth="1"/>
    <col min="8963" max="8963" width="10.5703125" style="215" customWidth="1"/>
    <col min="8964" max="8965" width="9.140625" style="215" customWidth="1"/>
    <col min="8966" max="8966" width="25.5703125" style="215" customWidth="1"/>
    <col min="8967" max="9213" width="9.140625" style="215"/>
    <col min="9214" max="9214" width="6.140625" style="215" customWidth="1"/>
    <col min="9215" max="9215" width="30.140625" style="215" customWidth="1"/>
    <col min="9216" max="9216" width="11.85546875" style="215" customWidth="1"/>
    <col min="9217" max="9217" width="11.140625" style="215" customWidth="1"/>
    <col min="9218" max="9218" width="10.28515625" style="215" customWidth="1"/>
    <col min="9219" max="9219" width="10.5703125" style="215" customWidth="1"/>
    <col min="9220" max="9221" width="9.140625" style="215" customWidth="1"/>
    <col min="9222" max="9222" width="25.5703125" style="215" customWidth="1"/>
    <col min="9223" max="9469" width="9.140625" style="215"/>
    <col min="9470" max="9470" width="6.140625" style="215" customWidth="1"/>
    <col min="9471" max="9471" width="30.140625" style="215" customWidth="1"/>
    <col min="9472" max="9472" width="11.85546875" style="215" customWidth="1"/>
    <col min="9473" max="9473" width="11.140625" style="215" customWidth="1"/>
    <col min="9474" max="9474" width="10.28515625" style="215" customWidth="1"/>
    <col min="9475" max="9475" width="10.5703125" style="215" customWidth="1"/>
    <col min="9476" max="9477" width="9.140625" style="215" customWidth="1"/>
    <col min="9478" max="9478" width="25.5703125" style="215" customWidth="1"/>
    <col min="9479" max="9725" width="9.140625" style="215"/>
    <col min="9726" max="9726" width="6.140625" style="215" customWidth="1"/>
    <col min="9727" max="9727" width="30.140625" style="215" customWidth="1"/>
    <col min="9728" max="9728" width="11.85546875" style="215" customWidth="1"/>
    <col min="9729" max="9729" width="11.140625" style="215" customWidth="1"/>
    <col min="9730" max="9730" width="10.28515625" style="215" customWidth="1"/>
    <col min="9731" max="9731" width="10.5703125" style="215" customWidth="1"/>
    <col min="9732" max="9733" width="9.140625" style="215" customWidth="1"/>
    <col min="9734" max="9734" width="25.5703125" style="215" customWidth="1"/>
    <col min="9735" max="9981" width="9.140625" style="215"/>
    <col min="9982" max="9982" width="6.140625" style="215" customWidth="1"/>
    <col min="9983" max="9983" width="30.140625" style="215" customWidth="1"/>
    <col min="9984" max="9984" width="11.85546875" style="215" customWidth="1"/>
    <col min="9985" max="9985" width="11.140625" style="215" customWidth="1"/>
    <col min="9986" max="9986" width="10.28515625" style="215" customWidth="1"/>
    <col min="9987" max="9987" width="10.5703125" style="215" customWidth="1"/>
    <col min="9988" max="9989" width="9.140625" style="215" customWidth="1"/>
    <col min="9990" max="9990" width="25.5703125" style="215" customWidth="1"/>
    <col min="9991" max="10237" width="9.140625" style="215"/>
    <col min="10238" max="10238" width="6.140625" style="215" customWidth="1"/>
    <col min="10239" max="10239" width="30.140625" style="215" customWidth="1"/>
    <col min="10240" max="10240" width="11.85546875" style="215" customWidth="1"/>
    <col min="10241" max="10241" width="11.140625" style="215" customWidth="1"/>
    <col min="10242" max="10242" width="10.28515625" style="215" customWidth="1"/>
    <col min="10243" max="10243" width="10.5703125" style="215" customWidth="1"/>
    <col min="10244" max="10245" width="9.140625" style="215" customWidth="1"/>
    <col min="10246" max="10246" width="25.5703125" style="215" customWidth="1"/>
    <col min="10247" max="10493" width="9.140625" style="215"/>
    <col min="10494" max="10494" width="6.140625" style="215" customWidth="1"/>
    <col min="10495" max="10495" width="30.140625" style="215" customWidth="1"/>
    <col min="10496" max="10496" width="11.85546875" style="215" customWidth="1"/>
    <col min="10497" max="10497" width="11.140625" style="215" customWidth="1"/>
    <col min="10498" max="10498" width="10.28515625" style="215" customWidth="1"/>
    <col min="10499" max="10499" width="10.5703125" style="215" customWidth="1"/>
    <col min="10500" max="10501" width="9.140625" style="215" customWidth="1"/>
    <col min="10502" max="10502" width="25.5703125" style="215" customWidth="1"/>
    <col min="10503" max="10749" width="9.140625" style="215"/>
    <col min="10750" max="10750" width="6.140625" style="215" customWidth="1"/>
    <col min="10751" max="10751" width="30.140625" style="215" customWidth="1"/>
    <col min="10752" max="10752" width="11.85546875" style="215" customWidth="1"/>
    <col min="10753" max="10753" width="11.140625" style="215" customWidth="1"/>
    <col min="10754" max="10754" width="10.28515625" style="215" customWidth="1"/>
    <col min="10755" max="10755" width="10.5703125" style="215" customWidth="1"/>
    <col min="10756" max="10757" width="9.140625" style="215" customWidth="1"/>
    <col min="10758" max="10758" width="25.5703125" style="215" customWidth="1"/>
    <col min="10759" max="11005" width="9.140625" style="215"/>
    <col min="11006" max="11006" width="6.140625" style="215" customWidth="1"/>
    <col min="11007" max="11007" width="30.140625" style="215" customWidth="1"/>
    <col min="11008" max="11008" width="11.85546875" style="215" customWidth="1"/>
    <col min="11009" max="11009" width="11.140625" style="215" customWidth="1"/>
    <col min="11010" max="11010" width="10.28515625" style="215" customWidth="1"/>
    <col min="11011" max="11011" width="10.5703125" style="215" customWidth="1"/>
    <col min="11012" max="11013" width="9.140625" style="215" customWidth="1"/>
    <col min="11014" max="11014" width="25.5703125" style="215" customWidth="1"/>
    <col min="11015" max="11261" width="9.140625" style="215"/>
    <col min="11262" max="11262" width="6.140625" style="215" customWidth="1"/>
    <col min="11263" max="11263" width="30.140625" style="215" customWidth="1"/>
    <col min="11264" max="11264" width="11.85546875" style="215" customWidth="1"/>
    <col min="11265" max="11265" width="11.140625" style="215" customWidth="1"/>
    <col min="11266" max="11266" width="10.28515625" style="215" customWidth="1"/>
    <col min="11267" max="11267" width="10.5703125" style="215" customWidth="1"/>
    <col min="11268" max="11269" width="9.140625" style="215" customWidth="1"/>
    <col min="11270" max="11270" width="25.5703125" style="215" customWidth="1"/>
    <col min="11271" max="11517" width="9.140625" style="215"/>
    <col min="11518" max="11518" width="6.140625" style="215" customWidth="1"/>
    <col min="11519" max="11519" width="30.140625" style="215" customWidth="1"/>
    <col min="11520" max="11520" width="11.85546875" style="215" customWidth="1"/>
    <col min="11521" max="11521" width="11.140625" style="215" customWidth="1"/>
    <col min="11522" max="11522" width="10.28515625" style="215" customWidth="1"/>
    <col min="11523" max="11523" width="10.5703125" style="215" customWidth="1"/>
    <col min="11524" max="11525" width="9.140625" style="215" customWidth="1"/>
    <col min="11526" max="11526" width="25.5703125" style="215" customWidth="1"/>
    <col min="11527" max="11773" width="9.140625" style="215"/>
    <col min="11774" max="11774" width="6.140625" style="215" customWidth="1"/>
    <col min="11775" max="11775" width="30.140625" style="215" customWidth="1"/>
    <col min="11776" max="11776" width="11.85546875" style="215" customWidth="1"/>
    <col min="11777" max="11777" width="11.140625" style="215" customWidth="1"/>
    <col min="11778" max="11778" width="10.28515625" style="215" customWidth="1"/>
    <col min="11779" max="11779" width="10.5703125" style="215" customWidth="1"/>
    <col min="11780" max="11781" width="9.140625" style="215" customWidth="1"/>
    <col min="11782" max="11782" width="25.5703125" style="215" customWidth="1"/>
    <col min="11783" max="12029" width="9.140625" style="215"/>
    <col min="12030" max="12030" width="6.140625" style="215" customWidth="1"/>
    <col min="12031" max="12031" width="30.140625" style="215" customWidth="1"/>
    <col min="12032" max="12032" width="11.85546875" style="215" customWidth="1"/>
    <col min="12033" max="12033" width="11.140625" style="215" customWidth="1"/>
    <col min="12034" max="12034" width="10.28515625" style="215" customWidth="1"/>
    <col min="12035" max="12035" width="10.5703125" style="215" customWidth="1"/>
    <col min="12036" max="12037" width="9.140625" style="215" customWidth="1"/>
    <col min="12038" max="12038" width="25.5703125" style="215" customWidth="1"/>
    <col min="12039" max="12285" width="9.140625" style="215"/>
    <col min="12286" max="12286" width="6.140625" style="215" customWidth="1"/>
    <col min="12287" max="12287" width="30.140625" style="215" customWidth="1"/>
    <col min="12288" max="12288" width="11.85546875" style="215" customWidth="1"/>
    <col min="12289" max="12289" width="11.140625" style="215" customWidth="1"/>
    <col min="12290" max="12290" width="10.28515625" style="215" customWidth="1"/>
    <col min="12291" max="12291" width="10.5703125" style="215" customWidth="1"/>
    <col min="12292" max="12293" width="9.140625" style="215" customWidth="1"/>
    <col min="12294" max="12294" width="25.5703125" style="215" customWidth="1"/>
    <col min="12295" max="12541" width="9.140625" style="215"/>
    <col min="12542" max="12542" width="6.140625" style="215" customWidth="1"/>
    <col min="12543" max="12543" width="30.140625" style="215" customWidth="1"/>
    <col min="12544" max="12544" width="11.85546875" style="215" customWidth="1"/>
    <col min="12545" max="12545" width="11.140625" style="215" customWidth="1"/>
    <col min="12546" max="12546" width="10.28515625" style="215" customWidth="1"/>
    <col min="12547" max="12547" width="10.5703125" style="215" customWidth="1"/>
    <col min="12548" max="12549" width="9.140625" style="215" customWidth="1"/>
    <col min="12550" max="12550" width="25.5703125" style="215" customWidth="1"/>
    <col min="12551" max="12797" width="9.140625" style="215"/>
    <col min="12798" max="12798" width="6.140625" style="215" customWidth="1"/>
    <col min="12799" max="12799" width="30.140625" style="215" customWidth="1"/>
    <col min="12800" max="12800" width="11.85546875" style="215" customWidth="1"/>
    <col min="12801" max="12801" width="11.140625" style="215" customWidth="1"/>
    <col min="12802" max="12802" width="10.28515625" style="215" customWidth="1"/>
    <col min="12803" max="12803" width="10.5703125" style="215" customWidth="1"/>
    <col min="12804" max="12805" width="9.140625" style="215" customWidth="1"/>
    <col min="12806" max="12806" width="25.5703125" style="215" customWidth="1"/>
    <col min="12807" max="13053" width="9.140625" style="215"/>
    <col min="13054" max="13054" width="6.140625" style="215" customWidth="1"/>
    <col min="13055" max="13055" width="30.140625" style="215" customWidth="1"/>
    <col min="13056" max="13056" width="11.85546875" style="215" customWidth="1"/>
    <col min="13057" max="13057" width="11.140625" style="215" customWidth="1"/>
    <col min="13058" max="13058" width="10.28515625" style="215" customWidth="1"/>
    <col min="13059" max="13059" width="10.5703125" style="215" customWidth="1"/>
    <col min="13060" max="13061" width="9.140625" style="215" customWidth="1"/>
    <col min="13062" max="13062" width="25.5703125" style="215" customWidth="1"/>
    <col min="13063" max="13309" width="9.140625" style="215"/>
    <col min="13310" max="13310" width="6.140625" style="215" customWidth="1"/>
    <col min="13311" max="13311" width="30.140625" style="215" customWidth="1"/>
    <col min="13312" max="13312" width="11.85546875" style="215" customWidth="1"/>
    <col min="13313" max="13313" width="11.140625" style="215" customWidth="1"/>
    <col min="13314" max="13314" width="10.28515625" style="215" customWidth="1"/>
    <col min="13315" max="13315" width="10.5703125" style="215" customWidth="1"/>
    <col min="13316" max="13317" width="9.140625" style="215" customWidth="1"/>
    <col min="13318" max="13318" width="25.5703125" style="215" customWidth="1"/>
    <col min="13319" max="13565" width="9.140625" style="215"/>
    <col min="13566" max="13566" width="6.140625" style="215" customWidth="1"/>
    <col min="13567" max="13567" width="30.140625" style="215" customWidth="1"/>
    <col min="13568" max="13568" width="11.85546875" style="215" customWidth="1"/>
    <col min="13569" max="13569" width="11.140625" style="215" customWidth="1"/>
    <col min="13570" max="13570" width="10.28515625" style="215" customWidth="1"/>
    <col min="13571" max="13571" width="10.5703125" style="215" customWidth="1"/>
    <col min="13572" max="13573" width="9.140625" style="215" customWidth="1"/>
    <col min="13574" max="13574" width="25.5703125" style="215" customWidth="1"/>
    <col min="13575" max="13821" width="9.140625" style="215"/>
    <col min="13822" max="13822" width="6.140625" style="215" customWidth="1"/>
    <col min="13823" max="13823" width="30.140625" style="215" customWidth="1"/>
    <col min="13824" max="13824" width="11.85546875" style="215" customWidth="1"/>
    <col min="13825" max="13825" width="11.140625" style="215" customWidth="1"/>
    <col min="13826" max="13826" width="10.28515625" style="215" customWidth="1"/>
    <col min="13827" max="13827" width="10.5703125" style="215" customWidth="1"/>
    <col min="13828" max="13829" width="9.140625" style="215" customWidth="1"/>
    <col min="13830" max="13830" width="25.5703125" style="215" customWidth="1"/>
    <col min="13831" max="14077" width="9.140625" style="215"/>
    <col min="14078" max="14078" width="6.140625" style="215" customWidth="1"/>
    <col min="14079" max="14079" width="30.140625" style="215" customWidth="1"/>
    <col min="14080" max="14080" width="11.85546875" style="215" customWidth="1"/>
    <col min="14081" max="14081" width="11.140625" style="215" customWidth="1"/>
    <col min="14082" max="14082" width="10.28515625" style="215" customWidth="1"/>
    <col min="14083" max="14083" width="10.5703125" style="215" customWidth="1"/>
    <col min="14084" max="14085" width="9.140625" style="215" customWidth="1"/>
    <col min="14086" max="14086" width="25.5703125" style="215" customWidth="1"/>
    <col min="14087" max="14333" width="9.140625" style="215"/>
    <col min="14334" max="14334" width="6.140625" style="215" customWidth="1"/>
    <col min="14335" max="14335" width="30.140625" style="215" customWidth="1"/>
    <col min="14336" max="14336" width="11.85546875" style="215" customWidth="1"/>
    <col min="14337" max="14337" width="11.140625" style="215" customWidth="1"/>
    <col min="14338" max="14338" width="10.28515625" style="215" customWidth="1"/>
    <col min="14339" max="14339" width="10.5703125" style="215" customWidth="1"/>
    <col min="14340" max="14341" width="9.140625" style="215" customWidth="1"/>
    <col min="14342" max="14342" width="25.5703125" style="215" customWidth="1"/>
    <col min="14343" max="14589" width="9.140625" style="215"/>
    <col min="14590" max="14590" width="6.140625" style="215" customWidth="1"/>
    <col min="14591" max="14591" width="30.140625" style="215" customWidth="1"/>
    <col min="14592" max="14592" width="11.85546875" style="215" customWidth="1"/>
    <col min="14593" max="14593" width="11.140625" style="215" customWidth="1"/>
    <col min="14594" max="14594" width="10.28515625" style="215" customWidth="1"/>
    <col min="14595" max="14595" width="10.5703125" style="215" customWidth="1"/>
    <col min="14596" max="14597" width="9.140625" style="215" customWidth="1"/>
    <col min="14598" max="14598" width="25.5703125" style="215" customWidth="1"/>
    <col min="14599" max="14845" width="9.140625" style="215"/>
    <col min="14846" max="14846" width="6.140625" style="215" customWidth="1"/>
    <col min="14847" max="14847" width="30.140625" style="215" customWidth="1"/>
    <col min="14848" max="14848" width="11.85546875" style="215" customWidth="1"/>
    <col min="14849" max="14849" width="11.140625" style="215" customWidth="1"/>
    <col min="14850" max="14850" width="10.28515625" style="215" customWidth="1"/>
    <col min="14851" max="14851" width="10.5703125" style="215" customWidth="1"/>
    <col min="14852" max="14853" width="9.140625" style="215" customWidth="1"/>
    <col min="14854" max="14854" width="25.5703125" style="215" customWidth="1"/>
    <col min="14855" max="15101" width="9.140625" style="215"/>
    <col min="15102" max="15102" width="6.140625" style="215" customWidth="1"/>
    <col min="15103" max="15103" width="30.140625" style="215" customWidth="1"/>
    <col min="15104" max="15104" width="11.85546875" style="215" customWidth="1"/>
    <col min="15105" max="15105" width="11.140625" style="215" customWidth="1"/>
    <col min="15106" max="15106" width="10.28515625" style="215" customWidth="1"/>
    <col min="15107" max="15107" width="10.5703125" style="215" customWidth="1"/>
    <col min="15108" max="15109" width="9.140625" style="215" customWidth="1"/>
    <col min="15110" max="15110" width="25.5703125" style="215" customWidth="1"/>
    <col min="15111" max="15357" width="9.140625" style="215"/>
    <col min="15358" max="15358" width="6.140625" style="215" customWidth="1"/>
    <col min="15359" max="15359" width="30.140625" style="215" customWidth="1"/>
    <col min="15360" max="15360" width="11.85546875" style="215" customWidth="1"/>
    <col min="15361" max="15361" width="11.140625" style="215" customWidth="1"/>
    <col min="15362" max="15362" width="10.28515625" style="215" customWidth="1"/>
    <col min="15363" max="15363" width="10.5703125" style="215" customWidth="1"/>
    <col min="15364" max="15365" width="9.140625" style="215" customWidth="1"/>
    <col min="15366" max="15366" width="25.5703125" style="215" customWidth="1"/>
    <col min="15367" max="15613" width="9.140625" style="215"/>
    <col min="15614" max="15614" width="6.140625" style="215" customWidth="1"/>
    <col min="15615" max="15615" width="30.140625" style="215" customWidth="1"/>
    <col min="15616" max="15616" width="11.85546875" style="215" customWidth="1"/>
    <col min="15617" max="15617" width="11.140625" style="215" customWidth="1"/>
    <col min="15618" max="15618" width="10.28515625" style="215" customWidth="1"/>
    <col min="15619" max="15619" width="10.5703125" style="215" customWidth="1"/>
    <col min="15620" max="15621" width="9.140625" style="215" customWidth="1"/>
    <col min="15622" max="15622" width="25.5703125" style="215" customWidth="1"/>
    <col min="15623" max="15869" width="9.140625" style="215"/>
    <col min="15870" max="15870" width="6.140625" style="215" customWidth="1"/>
    <col min="15871" max="15871" width="30.140625" style="215" customWidth="1"/>
    <col min="15872" max="15872" width="11.85546875" style="215" customWidth="1"/>
    <col min="15873" max="15873" width="11.140625" style="215" customWidth="1"/>
    <col min="15874" max="15874" width="10.28515625" style="215" customWidth="1"/>
    <col min="15875" max="15875" width="10.5703125" style="215" customWidth="1"/>
    <col min="15876" max="15877" width="9.140625" style="215" customWidth="1"/>
    <col min="15878" max="15878" width="25.5703125" style="215" customWidth="1"/>
    <col min="15879" max="16125" width="9.140625" style="215"/>
    <col min="16126" max="16126" width="6.140625" style="215" customWidth="1"/>
    <col min="16127" max="16127" width="30.140625" style="215" customWidth="1"/>
    <col min="16128" max="16128" width="11.85546875" style="215" customWidth="1"/>
    <col min="16129" max="16129" width="11.140625" style="215" customWidth="1"/>
    <col min="16130" max="16130" width="10.28515625" style="215" customWidth="1"/>
    <col min="16131" max="16131" width="10.5703125" style="215" customWidth="1"/>
    <col min="16132" max="16133" width="9.140625" style="215" customWidth="1"/>
    <col min="16134" max="16134" width="25.5703125" style="215" customWidth="1"/>
    <col min="16135" max="16384" width="9.140625" style="215"/>
  </cols>
  <sheetData>
    <row r="1" spans="1:9" x14ac:dyDescent="0.2">
      <c r="B1" s="216"/>
      <c r="C1" s="216"/>
      <c r="D1" s="216"/>
      <c r="E1" s="216"/>
      <c r="F1" s="1978" t="s">
        <v>2193</v>
      </c>
      <c r="G1" s="1979"/>
      <c r="H1" s="1979"/>
      <c r="I1" s="1979"/>
    </row>
    <row r="2" spans="1:9" x14ac:dyDescent="0.2">
      <c r="B2" s="216"/>
      <c r="C2" s="216"/>
      <c r="D2" s="216"/>
      <c r="E2" s="216"/>
      <c r="F2" s="1979"/>
      <c r="G2" s="1979"/>
      <c r="H2" s="1979"/>
      <c r="I2" s="1979"/>
    </row>
    <row r="3" spans="1:9" x14ac:dyDescent="0.2">
      <c r="B3" s="216"/>
      <c r="C3" s="216"/>
      <c r="D3" s="216"/>
      <c r="E3" s="216"/>
      <c r="F3" s="1979"/>
      <c r="G3" s="1979"/>
      <c r="H3" s="1979"/>
      <c r="I3" s="1979"/>
    </row>
    <row r="4" spans="1:9" x14ac:dyDescent="0.2">
      <c r="B4" s="216"/>
      <c r="C4" s="216"/>
      <c r="D4" s="216"/>
      <c r="E4" s="216"/>
      <c r="F4" s="1880"/>
      <c r="G4" s="1880"/>
      <c r="H4" s="1880"/>
      <c r="I4" s="1880"/>
    </row>
    <row r="5" spans="1:9" x14ac:dyDescent="0.2">
      <c r="B5" s="216"/>
      <c r="C5" s="216"/>
      <c r="D5" s="216"/>
      <c r="E5" s="216"/>
      <c r="F5" s="1880"/>
      <c r="G5" s="1880"/>
      <c r="H5" s="1880"/>
      <c r="I5" s="1880"/>
    </row>
    <row r="6" spans="1:9" x14ac:dyDescent="0.2">
      <c r="B6" s="216"/>
      <c r="C6" s="216"/>
      <c r="D6" s="216"/>
      <c r="E6" s="216"/>
      <c r="F6" s="1880"/>
      <c r="G6" s="1880"/>
      <c r="H6" s="1880"/>
      <c r="I6" s="1880"/>
    </row>
    <row r="7" spans="1:9" x14ac:dyDescent="0.2">
      <c r="B7" s="216"/>
      <c r="C7" s="216"/>
      <c r="D7" s="216"/>
      <c r="E7" s="216"/>
      <c r="F7" s="1880"/>
      <c r="G7" s="1880"/>
      <c r="H7" s="1880"/>
      <c r="I7" s="1880"/>
    </row>
    <row r="8" spans="1:9" x14ac:dyDescent="0.2">
      <c r="A8" s="215" t="s">
        <v>112</v>
      </c>
      <c r="B8" s="216"/>
      <c r="C8" s="216"/>
      <c r="D8" s="216"/>
      <c r="E8" s="216"/>
      <c r="F8" s="1880"/>
      <c r="G8" s="1880"/>
      <c r="H8" s="1880"/>
      <c r="I8" s="1880"/>
    </row>
    <row r="9" spans="1:9" ht="15.75" x14ac:dyDescent="0.25">
      <c r="A9" s="522"/>
      <c r="B9" s="216"/>
      <c r="C9" s="217"/>
      <c r="D9" s="217"/>
      <c r="E9" s="217"/>
      <c r="F9" s="217"/>
      <c r="G9" s="217"/>
      <c r="H9" s="217"/>
      <c r="I9" s="217"/>
    </row>
    <row r="10" spans="1:9" ht="18.75" x14ac:dyDescent="0.3">
      <c r="A10" s="1988" t="s">
        <v>113</v>
      </c>
      <c r="B10" s="1988"/>
      <c r="C10" s="1988"/>
      <c r="D10" s="1988"/>
      <c r="E10" s="1988"/>
      <c r="F10" s="1988"/>
      <c r="G10" s="1988"/>
      <c r="H10" s="1988"/>
      <c r="I10" s="1988"/>
    </row>
    <row r="11" spans="1:9" ht="18.75" x14ac:dyDescent="0.3">
      <c r="A11" s="523"/>
      <c r="B11" s="523"/>
      <c r="C11" s="523"/>
      <c r="D11" s="523"/>
      <c r="E11" s="523"/>
      <c r="F11" s="523"/>
      <c r="G11" s="523"/>
      <c r="H11" s="523"/>
      <c r="I11" s="523"/>
    </row>
    <row r="12" spans="1:9" ht="15.75" x14ac:dyDescent="0.25">
      <c r="A12" s="215" t="s">
        <v>748</v>
      </c>
      <c r="C12" s="2005" t="s">
        <v>1804</v>
      </c>
      <c r="D12" s="2005"/>
      <c r="E12" s="2005"/>
      <c r="F12" s="2005"/>
      <c r="G12" s="2005"/>
      <c r="H12" s="2005"/>
      <c r="I12" s="2005"/>
    </row>
    <row r="13" spans="1:9" x14ac:dyDescent="0.2">
      <c r="A13" s="215" t="s">
        <v>115</v>
      </c>
      <c r="C13" s="2006" t="s">
        <v>561</v>
      </c>
      <c r="D13" s="2006"/>
      <c r="E13" s="2006"/>
      <c r="F13" s="2006"/>
      <c r="G13" s="2006"/>
      <c r="H13" s="2006"/>
      <c r="I13" s="2006"/>
    </row>
    <row r="14" spans="1:9" x14ac:dyDescent="0.2">
      <c r="A14" s="215" t="s">
        <v>117</v>
      </c>
      <c r="C14" s="2007" t="s">
        <v>1306</v>
      </c>
      <c r="D14" s="2007"/>
      <c r="E14" s="2007"/>
      <c r="F14" s="2007"/>
      <c r="G14" s="2007"/>
      <c r="H14" s="2007"/>
      <c r="I14" s="2007"/>
    </row>
    <row r="15" spans="1:9" x14ac:dyDescent="0.2">
      <c r="A15" s="2008" t="s">
        <v>47</v>
      </c>
      <c r="B15" s="2010" t="s">
        <v>119</v>
      </c>
      <c r="C15" s="2010" t="s">
        <v>120</v>
      </c>
      <c r="D15" s="2010" t="s">
        <v>121</v>
      </c>
      <c r="E15" s="2010" t="s">
        <v>122</v>
      </c>
      <c r="F15" s="763"/>
      <c r="G15" s="763"/>
      <c r="H15" s="763"/>
      <c r="I15" s="2012" t="s">
        <v>126</v>
      </c>
    </row>
    <row r="16" spans="1:9" ht="48" x14ac:dyDescent="0.2">
      <c r="A16" s="2009"/>
      <c r="B16" s="2011"/>
      <c r="C16" s="2011"/>
      <c r="D16" s="2011"/>
      <c r="E16" s="2011"/>
      <c r="F16" s="405" t="s">
        <v>129</v>
      </c>
      <c r="G16" s="405" t="s">
        <v>124</v>
      </c>
      <c r="H16" s="405" t="s">
        <v>2165</v>
      </c>
      <c r="I16" s="2013"/>
    </row>
    <row r="17" spans="1:9" x14ac:dyDescent="0.2">
      <c r="A17" s="2003" t="s">
        <v>1532</v>
      </c>
      <c r="B17" s="2004"/>
      <c r="C17" s="764">
        <f>SUM(C18:C29)</f>
        <v>2823</v>
      </c>
      <c r="D17" s="764">
        <f>SUM(D18:D29)</f>
        <v>2356</v>
      </c>
      <c r="E17" s="764">
        <f>SUM(E18:E29)</f>
        <v>70440</v>
      </c>
      <c r="F17" s="764"/>
      <c r="G17" s="764">
        <f>SUM(G18:G29)</f>
        <v>65178</v>
      </c>
      <c r="H17" s="764">
        <f>SUM(H18:H29)</f>
        <v>92743</v>
      </c>
      <c r="I17" s="765"/>
    </row>
    <row r="18" spans="1:9" ht="36" x14ac:dyDescent="0.2">
      <c r="A18" s="1996">
        <v>1</v>
      </c>
      <c r="B18" s="1993" t="s">
        <v>1972</v>
      </c>
      <c r="C18" s="766">
        <v>2178</v>
      </c>
      <c r="D18" s="766">
        <v>2178</v>
      </c>
      <c r="E18" s="766">
        <v>3000</v>
      </c>
      <c r="F18" s="770">
        <v>2279</v>
      </c>
      <c r="G18" s="766">
        <v>2178</v>
      </c>
      <c r="H18" s="766">
        <f>ROUNDUP(G18/0.702804,0)</f>
        <v>3100</v>
      </c>
      <c r="I18" s="768" t="s">
        <v>1307</v>
      </c>
    </row>
    <row r="19" spans="1:9" ht="24" x14ac:dyDescent="0.2">
      <c r="A19" s="1997"/>
      <c r="B19" s="1994"/>
      <c r="C19" s="766">
        <v>0</v>
      </c>
      <c r="D19" s="766">
        <v>0</v>
      </c>
      <c r="E19" s="766">
        <v>6000</v>
      </c>
      <c r="F19" s="770">
        <v>2279</v>
      </c>
      <c r="G19" s="766">
        <f>6000+2000</f>
        <v>8000</v>
      </c>
      <c r="H19" s="766">
        <f t="shared" ref="H19:H27" si="0">ROUNDUP(G19/0.702804,0)</f>
        <v>11383</v>
      </c>
      <c r="I19" s="768" t="s">
        <v>1308</v>
      </c>
    </row>
    <row r="20" spans="1:9" ht="38.25" customHeight="1" x14ac:dyDescent="0.2">
      <c r="A20" s="1997"/>
      <c r="B20" s="1994"/>
      <c r="C20" s="766">
        <v>0</v>
      </c>
      <c r="D20" s="766">
        <v>0</v>
      </c>
      <c r="E20" s="766">
        <v>30000</v>
      </c>
      <c r="F20" s="770">
        <v>5250</v>
      </c>
      <c r="G20" s="766">
        <v>30000</v>
      </c>
      <c r="H20" s="766">
        <f t="shared" si="0"/>
        <v>42687</v>
      </c>
      <c r="I20" s="768" t="s">
        <v>1973</v>
      </c>
    </row>
    <row r="21" spans="1:9" ht="15" customHeight="1" x14ac:dyDescent="0.2">
      <c r="A21" s="1997"/>
      <c r="B21" s="1994"/>
      <c r="C21" s="771"/>
      <c r="D21" s="771"/>
      <c r="E21" s="771">
        <v>5000</v>
      </c>
      <c r="F21" s="770">
        <v>5250</v>
      </c>
      <c r="G21" s="766">
        <v>5000</v>
      </c>
      <c r="H21" s="766">
        <f t="shared" si="0"/>
        <v>7115</v>
      </c>
      <c r="I21" s="768" t="s">
        <v>1974</v>
      </c>
    </row>
    <row r="22" spans="1:9" ht="41.25" customHeight="1" x14ac:dyDescent="0.2">
      <c r="A22" s="1998"/>
      <c r="B22" s="1995"/>
      <c r="C22" s="771"/>
      <c r="D22" s="771"/>
      <c r="E22" s="771">
        <v>100</v>
      </c>
      <c r="F22" s="770">
        <v>2232</v>
      </c>
      <c r="G22" s="766"/>
      <c r="H22" s="766">
        <f t="shared" si="0"/>
        <v>0</v>
      </c>
      <c r="I22" s="768" t="s">
        <v>1310</v>
      </c>
    </row>
    <row r="23" spans="1:9" ht="24" x14ac:dyDescent="0.2">
      <c r="A23" s="2001">
        <v>2</v>
      </c>
      <c r="B23" s="2002" t="s">
        <v>1311</v>
      </c>
      <c r="C23" s="772">
        <v>40</v>
      </c>
      <c r="D23" s="771">
        <v>24</v>
      </c>
      <c r="E23" s="771">
        <v>40</v>
      </c>
      <c r="F23" s="770">
        <v>2111</v>
      </c>
      <c r="G23" s="766"/>
      <c r="H23" s="766">
        <f t="shared" si="0"/>
        <v>0</v>
      </c>
      <c r="I23" s="768" t="s">
        <v>1312</v>
      </c>
    </row>
    <row r="24" spans="1:9" x14ac:dyDescent="0.2">
      <c r="A24" s="2001"/>
      <c r="B24" s="2002"/>
      <c r="C24" s="772">
        <v>300</v>
      </c>
      <c r="D24" s="771">
        <v>0</v>
      </c>
      <c r="E24" s="771">
        <v>300</v>
      </c>
      <c r="F24" s="770">
        <v>2112</v>
      </c>
      <c r="G24" s="766"/>
      <c r="H24" s="766">
        <f t="shared" si="0"/>
        <v>0</v>
      </c>
      <c r="I24" s="768" t="s">
        <v>1313</v>
      </c>
    </row>
    <row r="25" spans="1:9" ht="24" x14ac:dyDescent="0.2">
      <c r="A25" s="2001"/>
      <c r="B25" s="2002"/>
      <c r="C25" s="771">
        <v>0</v>
      </c>
      <c r="D25" s="771">
        <v>0</v>
      </c>
      <c r="E25" s="771">
        <v>1300</v>
      </c>
      <c r="F25" s="770">
        <v>2121</v>
      </c>
      <c r="G25" s="766"/>
      <c r="H25" s="766">
        <f t="shared" si="0"/>
        <v>0</v>
      </c>
      <c r="I25" s="768" t="s">
        <v>1314</v>
      </c>
    </row>
    <row r="26" spans="1:9" x14ac:dyDescent="0.2">
      <c r="A26" s="2001"/>
      <c r="B26" s="2002"/>
      <c r="C26" s="771">
        <v>0</v>
      </c>
      <c r="D26" s="771">
        <v>0</v>
      </c>
      <c r="E26" s="771">
        <v>4700</v>
      </c>
      <c r="F26" s="770">
        <v>2122</v>
      </c>
      <c r="G26" s="766"/>
      <c r="H26" s="766">
        <f t="shared" si="0"/>
        <v>0</v>
      </c>
      <c r="I26" s="768" t="s">
        <v>1315</v>
      </c>
    </row>
    <row r="27" spans="1:9" ht="36" x14ac:dyDescent="0.2">
      <c r="A27" s="1255">
        <v>3</v>
      </c>
      <c r="B27" s="1270" t="s">
        <v>1947</v>
      </c>
      <c r="C27" s="772"/>
      <c r="D27" s="771"/>
      <c r="E27" s="771">
        <v>20000</v>
      </c>
      <c r="F27" s="1742">
        <v>2275</v>
      </c>
      <c r="G27" s="771">
        <v>20000</v>
      </c>
      <c r="H27" s="766">
        <f t="shared" si="0"/>
        <v>28458</v>
      </c>
      <c r="I27" s="781"/>
    </row>
    <row r="28" spans="1:9" ht="21" customHeight="1" x14ac:dyDescent="0.2">
      <c r="A28" s="1999">
        <v>4</v>
      </c>
      <c r="B28" s="1991" t="s">
        <v>1309</v>
      </c>
      <c r="C28" s="772">
        <v>155</v>
      </c>
      <c r="D28" s="771">
        <v>154</v>
      </c>
      <c r="E28" s="771">
        <v>0</v>
      </c>
      <c r="F28" s="770">
        <v>2262</v>
      </c>
      <c r="G28" s="771"/>
      <c r="H28" s="771"/>
      <c r="I28" s="781"/>
    </row>
    <row r="29" spans="1:9" ht="21" customHeight="1" x14ac:dyDescent="0.2">
      <c r="A29" s="2000"/>
      <c r="B29" s="1992"/>
      <c r="C29" s="1883">
        <v>150</v>
      </c>
      <c r="D29" s="776"/>
      <c r="E29" s="776">
        <v>0</v>
      </c>
      <c r="F29" s="1065">
        <v>2279</v>
      </c>
      <c r="G29" s="776"/>
      <c r="H29" s="776"/>
      <c r="I29" s="791"/>
    </row>
    <row r="30" spans="1:9" x14ac:dyDescent="0.2">
      <c r="A30" s="1884"/>
      <c r="B30" s="1884"/>
      <c r="C30" s="1885"/>
      <c r="D30" s="1885"/>
      <c r="E30" s="1885"/>
      <c r="F30" s="1885"/>
      <c r="G30" s="1885"/>
      <c r="H30" s="1885"/>
      <c r="I30" s="1886"/>
    </row>
    <row r="31" spans="1:9" x14ac:dyDescent="0.2">
      <c r="A31" s="426"/>
      <c r="B31" s="426"/>
      <c r="C31" s="236"/>
      <c r="D31" s="236"/>
      <c r="E31" s="236"/>
      <c r="F31" s="236"/>
      <c r="G31" s="236"/>
      <c r="H31" s="236"/>
      <c r="I31" s="236"/>
    </row>
    <row r="32" spans="1:9" x14ac:dyDescent="0.2">
      <c r="A32" s="426"/>
      <c r="B32" s="426"/>
      <c r="C32" s="1268"/>
      <c r="D32" s="1268"/>
      <c r="E32" s="1268"/>
      <c r="F32" s="1268"/>
      <c r="G32" s="1268"/>
      <c r="H32" s="1268"/>
      <c r="I32" s="1268"/>
    </row>
    <row r="33" spans="1:9" x14ac:dyDescent="0.2">
      <c r="A33" s="1263"/>
      <c r="B33" s="1263"/>
      <c r="C33" s="1263"/>
      <c r="D33" s="1263"/>
      <c r="E33" s="1263"/>
      <c r="F33" s="516"/>
      <c r="G33" s="516"/>
      <c r="H33" s="516"/>
      <c r="I33" s="1263"/>
    </row>
    <row r="34" spans="1:9" x14ac:dyDescent="0.2">
      <c r="A34" s="1263"/>
      <c r="B34" s="1263"/>
      <c r="C34" s="1263"/>
      <c r="D34" s="1263"/>
      <c r="E34" s="1263"/>
      <c r="F34" s="516"/>
      <c r="G34" s="516"/>
      <c r="H34" s="516"/>
      <c r="I34" s="1263"/>
    </row>
    <row r="35" spans="1:9" x14ac:dyDescent="0.2">
      <c r="A35" s="509"/>
      <c r="B35" s="509"/>
      <c r="C35" s="1262"/>
      <c r="D35" s="1262"/>
      <c r="E35" s="1262"/>
      <c r="F35" s="1262"/>
      <c r="G35" s="1262"/>
      <c r="H35" s="1262"/>
      <c r="I35" s="1263"/>
    </row>
    <row r="36" spans="1:9" x14ac:dyDescent="0.2">
      <c r="A36" s="1264"/>
      <c r="B36" s="1263"/>
      <c r="C36" s="1265"/>
      <c r="D36" s="1265"/>
      <c r="E36" s="1266"/>
      <c r="F36" s="1262"/>
      <c r="G36" s="1266"/>
      <c r="H36" s="1266"/>
      <c r="I36" s="1263"/>
    </row>
    <row r="37" spans="1:9" x14ac:dyDescent="0.2">
      <c r="A37" s="686"/>
      <c r="B37" s="686"/>
      <c r="C37" s="1267"/>
      <c r="D37" s="1267"/>
      <c r="E37" s="1267"/>
      <c r="F37" s="1267"/>
      <c r="G37" s="1267"/>
      <c r="H37" s="1267"/>
      <c r="I37" s="426"/>
    </row>
    <row r="38" spans="1:9" x14ac:dyDescent="0.2">
      <c r="A38" s="775"/>
      <c r="B38" s="775"/>
      <c r="C38" s="485"/>
      <c r="D38" s="485"/>
      <c r="E38" s="485"/>
      <c r="F38" s="485"/>
      <c r="G38" s="485"/>
      <c r="H38" s="485"/>
      <c r="I38" s="443"/>
    </row>
    <row r="39" spans="1:9" x14ac:dyDescent="0.2">
      <c r="A39" s="775"/>
      <c r="B39" s="775"/>
      <c r="C39" s="485"/>
      <c r="D39" s="485"/>
      <c r="E39" s="485"/>
      <c r="F39" s="485"/>
      <c r="G39" s="485"/>
      <c r="H39" s="485"/>
      <c r="I39" s="443"/>
    </row>
    <row r="40" spans="1:9" x14ac:dyDescent="0.2">
      <c r="A40" s="775"/>
      <c r="B40" s="775"/>
      <c r="C40" s="485"/>
      <c r="D40" s="485"/>
      <c r="E40" s="485"/>
      <c r="F40" s="485"/>
      <c r="G40" s="485"/>
      <c r="H40" s="485"/>
      <c r="I40" s="443"/>
    </row>
    <row r="41" spans="1:9" x14ac:dyDescent="0.2">
      <c r="A41" s="775"/>
      <c r="B41" s="775"/>
      <c r="C41" s="485"/>
      <c r="D41" s="485"/>
      <c r="E41" s="485"/>
      <c r="F41" s="485"/>
      <c r="G41" s="485"/>
      <c r="H41" s="485"/>
      <c r="I41" s="443"/>
    </row>
  </sheetData>
  <sheetProtection password="CA5B" sheet="1" objects="1" scenarios="1"/>
  <mergeCells count="18">
    <mergeCell ref="F1:I3"/>
    <mergeCell ref="A17:B17"/>
    <mergeCell ref="A10:I10"/>
    <mergeCell ref="C12:I12"/>
    <mergeCell ref="C13:I13"/>
    <mergeCell ref="C14:I14"/>
    <mergeCell ref="A15:A16"/>
    <mergeCell ref="B15:B16"/>
    <mergeCell ref="C15:C16"/>
    <mergeCell ref="D15:D16"/>
    <mergeCell ref="E15:E16"/>
    <mergeCell ref="I15:I16"/>
    <mergeCell ref="B28:B29"/>
    <mergeCell ref="B18:B22"/>
    <mergeCell ref="A18:A22"/>
    <mergeCell ref="A28:A29"/>
    <mergeCell ref="A23:A26"/>
    <mergeCell ref="B23:B26"/>
  </mergeCells>
  <pageMargins left="0.78740157480314965" right="0.39370078740157483" top="0.39370078740157483" bottom="0.78740157480314965" header="0.51181102362204722" footer="0.51181102362204722"/>
  <pageSetup paperSize="9" scale="75" orientation="portrait" r:id="rId1"/>
  <headerFooter alignWithMargins="0">
    <oddFooter xml:space="preserve">&amp;R&amp;"Times New Roman,Regular"&amp;8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2"/>
  <sheetViews>
    <sheetView zoomScaleNormal="100" workbookViewId="0">
      <selection activeCell="L13" sqref="L13"/>
    </sheetView>
  </sheetViews>
  <sheetFormatPr defaultRowHeight="12" x14ac:dyDescent="0.2"/>
  <cols>
    <col min="1" max="1" width="6.140625" style="215" customWidth="1"/>
    <col min="2" max="2" width="28.28515625" style="215" customWidth="1"/>
    <col min="3" max="3" width="11.85546875" style="215" customWidth="1"/>
    <col min="4" max="4" width="11.140625" style="215" customWidth="1"/>
    <col min="5" max="5" width="10.28515625" style="215" customWidth="1"/>
    <col min="6" max="6" width="10.5703125" style="215" customWidth="1"/>
    <col min="7" max="7" width="9.140625" style="215" hidden="1" customWidth="1"/>
    <col min="8" max="8" width="9.7109375" style="215" customWidth="1"/>
    <col min="9" max="9" width="23" style="215" customWidth="1"/>
    <col min="10" max="252" width="9.140625" style="215"/>
    <col min="253" max="253" width="6.140625" style="215" customWidth="1"/>
    <col min="254" max="254" width="28.28515625" style="215" customWidth="1"/>
    <col min="255" max="255" width="11.85546875" style="215" customWidth="1"/>
    <col min="256" max="256" width="11.140625" style="215" customWidth="1"/>
    <col min="257" max="257" width="10.28515625" style="215" customWidth="1"/>
    <col min="258" max="258" width="10.5703125" style="215" customWidth="1"/>
    <col min="259" max="260" width="9.140625" style="215" customWidth="1"/>
    <col min="261" max="261" width="23" style="215" customWidth="1"/>
    <col min="262" max="508" width="9.140625" style="215"/>
    <col min="509" max="509" width="6.140625" style="215" customWidth="1"/>
    <col min="510" max="510" width="28.28515625" style="215" customWidth="1"/>
    <col min="511" max="511" width="11.85546875" style="215" customWidth="1"/>
    <col min="512" max="512" width="11.140625" style="215" customWidth="1"/>
    <col min="513" max="513" width="10.28515625" style="215" customWidth="1"/>
    <col min="514" max="514" width="10.5703125" style="215" customWidth="1"/>
    <col min="515" max="516" width="9.140625" style="215" customWidth="1"/>
    <col min="517" max="517" width="23" style="215" customWidth="1"/>
    <col min="518" max="764" width="9.140625" style="215"/>
    <col min="765" max="765" width="6.140625" style="215" customWidth="1"/>
    <col min="766" max="766" width="28.28515625" style="215" customWidth="1"/>
    <col min="767" max="767" width="11.85546875" style="215" customWidth="1"/>
    <col min="768" max="768" width="11.140625" style="215" customWidth="1"/>
    <col min="769" max="769" width="10.28515625" style="215" customWidth="1"/>
    <col min="770" max="770" width="10.5703125" style="215" customWidth="1"/>
    <col min="771" max="772" width="9.140625" style="215" customWidth="1"/>
    <col min="773" max="773" width="23" style="215" customWidth="1"/>
    <col min="774" max="1020" width="9.140625" style="215"/>
    <col min="1021" max="1021" width="6.140625" style="215" customWidth="1"/>
    <col min="1022" max="1022" width="28.28515625" style="215" customWidth="1"/>
    <col min="1023" max="1023" width="11.85546875" style="215" customWidth="1"/>
    <col min="1024" max="1024" width="11.140625" style="215" customWidth="1"/>
    <col min="1025" max="1025" width="10.28515625" style="215" customWidth="1"/>
    <col min="1026" max="1026" width="10.5703125" style="215" customWidth="1"/>
    <col min="1027" max="1028" width="9.140625" style="215" customWidth="1"/>
    <col min="1029" max="1029" width="23" style="215" customWidth="1"/>
    <col min="1030" max="1276" width="9.140625" style="215"/>
    <col min="1277" max="1277" width="6.140625" style="215" customWidth="1"/>
    <col min="1278" max="1278" width="28.28515625" style="215" customWidth="1"/>
    <col min="1279" max="1279" width="11.85546875" style="215" customWidth="1"/>
    <col min="1280" max="1280" width="11.140625" style="215" customWidth="1"/>
    <col min="1281" max="1281" width="10.28515625" style="215" customWidth="1"/>
    <col min="1282" max="1282" width="10.5703125" style="215" customWidth="1"/>
    <col min="1283" max="1284" width="9.140625" style="215" customWidth="1"/>
    <col min="1285" max="1285" width="23" style="215" customWidth="1"/>
    <col min="1286" max="1532" width="9.140625" style="215"/>
    <col min="1533" max="1533" width="6.140625" style="215" customWidth="1"/>
    <col min="1534" max="1534" width="28.28515625" style="215" customWidth="1"/>
    <col min="1535" max="1535" width="11.85546875" style="215" customWidth="1"/>
    <col min="1536" max="1536" width="11.140625" style="215" customWidth="1"/>
    <col min="1537" max="1537" width="10.28515625" style="215" customWidth="1"/>
    <col min="1538" max="1538" width="10.5703125" style="215" customWidth="1"/>
    <col min="1539" max="1540" width="9.140625" style="215" customWidth="1"/>
    <col min="1541" max="1541" width="23" style="215" customWidth="1"/>
    <col min="1542" max="1788" width="9.140625" style="215"/>
    <col min="1789" max="1789" width="6.140625" style="215" customWidth="1"/>
    <col min="1790" max="1790" width="28.28515625" style="215" customWidth="1"/>
    <col min="1791" max="1791" width="11.85546875" style="215" customWidth="1"/>
    <col min="1792" max="1792" width="11.140625" style="215" customWidth="1"/>
    <col min="1793" max="1793" width="10.28515625" style="215" customWidth="1"/>
    <col min="1794" max="1794" width="10.5703125" style="215" customWidth="1"/>
    <col min="1795" max="1796" width="9.140625" style="215" customWidth="1"/>
    <col min="1797" max="1797" width="23" style="215" customWidth="1"/>
    <col min="1798" max="2044" width="9.140625" style="215"/>
    <col min="2045" max="2045" width="6.140625" style="215" customWidth="1"/>
    <col min="2046" max="2046" width="28.28515625" style="215" customWidth="1"/>
    <col min="2047" max="2047" width="11.85546875" style="215" customWidth="1"/>
    <col min="2048" max="2048" width="11.140625" style="215" customWidth="1"/>
    <col min="2049" max="2049" width="10.28515625" style="215" customWidth="1"/>
    <col min="2050" max="2050" width="10.5703125" style="215" customWidth="1"/>
    <col min="2051" max="2052" width="9.140625" style="215" customWidth="1"/>
    <col min="2053" max="2053" width="23" style="215" customWidth="1"/>
    <col min="2054" max="2300" width="9.140625" style="215"/>
    <col min="2301" max="2301" width="6.140625" style="215" customWidth="1"/>
    <col min="2302" max="2302" width="28.28515625" style="215" customWidth="1"/>
    <col min="2303" max="2303" width="11.85546875" style="215" customWidth="1"/>
    <col min="2304" max="2304" width="11.140625" style="215" customWidth="1"/>
    <col min="2305" max="2305" width="10.28515625" style="215" customWidth="1"/>
    <col min="2306" max="2306" width="10.5703125" style="215" customWidth="1"/>
    <col min="2307" max="2308" width="9.140625" style="215" customWidth="1"/>
    <col min="2309" max="2309" width="23" style="215" customWidth="1"/>
    <col min="2310" max="2556" width="9.140625" style="215"/>
    <col min="2557" max="2557" width="6.140625" style="215" customWidth="1"/>
    <col min="2558" max="2558" width="28.28515625" style="215" customWidth="1"/>
    <col min="2559" max="2559" width="11.85546875" style="215" customWidth="1"/>
    <col min="2560" max="2560" width="11.140625" style="215" customWidth="1"/>
    <col min="2561" max="2561" width="10.28515625" style="215" customWidth="1"/>
    <col min="2562" max="2562" width="10.5703125" style="215" customWidth="1"/>
    <col min="2563" max="2564" width="9.140625" style="215" customWidth="1"/>
    <col min="2565" max="2565" width="23" style="215" customWidth="1"/>
    <col min="2566" max="2812" width="9.140625" style="215"/>
    <col min="2813" max="2813" width="6.140625" style="215" customWidth="1"/>
    <col min="2814" max="2814" width="28.28515625" style="215" customWidth="1"/>
    <col min="2815" max="2815" width="11.85546875" style="215" customWidth="1"/>
    <col min="2816" max="2816" width="11.140625" style="215" customWidth="1"/>
    <col min="2817" max="2817" width="10.28515625" style="215" customWidth="1"/>
    <col min="2818" max="2818" width="10.5703125" style="215" customWidth="1"/>
    <col min="2819" max="2820" width="9.140625" style="215" customWidth="1"/>
    <col min="2821" max="2821" width="23" style="215" customWidth="1"/>
    <col min="2822" max="3068" width="9.140625" style="215"/>
    <col min="3069" max="3069" width="6.140625" style="215" customWidth="1"/>
    <col min="3070" max="3070" width="28.28515625" style="215" customWidth="1"/>
    <col min="3071" max="3071" width="11.85546875" style="215" customWidth="1"/>
    <col min="3072" max="3072" width="11.140625" style="215" customWidth="1"/>
    <col min="3073" max="3073" width="10.28515625" style="215" customWidth="1"/>
    <col min="3074" max="3074" width="10.5703125" style="215" customWidth="1"/>
    <col min="3075" max="3076" width="9.140625" style="215" customWidth="1"/>
    <col min="3077" max="3077" width="23" style="215" customWidth="1"/>
    <col min="3078" max="3324" width="9.140625" style="215"/>
    <col min="3325" max="3325" width="6.140625" style="215" customWidth="1"/>
    <col min="3326" max="3326" width="28.28515625" style="215" customWidth="1"/>
    <col min="3327" max="3327" width="11.85546875" style="215" customWidth="1"/>
    <col min="3328" max="3328" width="11.140625" style="215" customWidth="1"/>
    <col min="3329" max="3329" width="10.28515625" style="215" customWidth="1"/>
    <col min="3330" max="3330" width="10.5703125" style="215" customWidth="1"/>
    <col min="3331" max="3332" width="9.140625" style="215" customWidth="1"/>
    <col min="3333" max="3333" width="23" style="215" customWidth="1"/>
    <col min="3334" max="3580" width="9.140625" style="215"/>
    <col min="3581" max="3581" width="6.140625" style="215" customWidth="1"/>
    <col min="3582" max="3582" width="28.28515625" style="215" customWidth="1"/>
    <col min="3583" max="3583" width="11.85546875" style="215" customWidth="1"/>
    <col min="3584" max="3584" width="11.140625" style="215" customWidth="1"/>
    <col min="3585" max="3585" width="10.28515625" style="215" customWidth="1"/>
    <col min="3586" max="3586" width="10.5703125" style="215" customWidth="1"/>
    <col min="3587" max="3588" width="9.140625" style="215" customWidth="1"/>
    <col min="3589" max="3589" width="23" style="215" customWidth="1"/>
    <col min="3590" max="3836" width="9.140625" style="215"/>
    <col min="3837" max="3837" width="6.140625" style="215" customWidth="1"/>
    <col min="3838" max="3838" width="28.28515625" style="215" customWidth="1"/>
    <col min="3839" max="3839" width="11.85546875" style="215" customWidth="1"/>
    <col min="3840" max="3840" width="11.140625" style="215" customWidth="1"/>
    <col min="3841" max="3841" width="10.28515625" style="215" customWidth="1"/>
    <col min="3842" max="3842" width="10.5703125" style="215" customWidth="1"/>
    <col min="3843" max="3844" width="9.140625" style="215" customWidth="1"/>
    <col min="3845" max="3845" width="23" style="215" customWidth="1"/>
    <col min="3846" max="4092" width="9.140625" style="215"/>
    <col min="4093" max="4093" width="6.140625" style="215" customWidth="1"/>
    <col min="4094" max="4094" width="28.28515625" style="215" customWidth="1"/>
    <col min="4095" max="4095" width="11.85546875" style="215" customWidth="1"/>
    <col min="4096" max="4096" width="11.140625" style="215" customWidth="1"/>
    <col min="4097" max="4097" width="10.28515625" style="215" customWidth="1"/>
    <col min="4098" max="4098" width="10.5703125" style="215" customWidth="1"/>
    <col min="4099" max="4100" width="9.140625" style="215" customWidth="1"/>
    <col min="4101" max="4101" width="23" style="215" customWidth="1"/>
    <col min="4102" max="4348" width="9.140625" style="215"/>
    <col min="4349" max="4349" width="6.140625" style="215" customWidth="1"/>
    <col min="4350" max="4350" width="28.28515625" style="215" customWidth="1"/>
    <col min="4351" max="4351" width="11.85546875" style="215" customWidth="1"/>
    <col min="4352" max="4352" width="11.140625" style="215" customWidth="1"/>
    <col min="4353" max="4353" width="10.28515625" style="215" customWidth="1"/>
    <col min="4354" max="4354" width="10.5703125" style="215" customWidth="1"/>
    <col min="4355" max="4356" width="9.140625" style="215" customWidth="1"/>
    <col min="4357" max="4357" width="23" style="215" customWidth="1"/>
    <col min="4358" max="4604" width="9.140625" style="215"/>
    <col min="4605" max="4605" width="6.140625" style="215" customWidth="1"/>
    <col min="4606" max="4606" width="28.28515625" style="215" customWidth="1"/>
    <col min="4607" max="4607" width="11.85546875" style="215" customWidth="1"/>
    <col min="4608" max="4608" width="11.140625" style="215" customWidth="1"/>
    <col min="4609" max="4609" width="10.28515625" style="215" customWidth="1"/>
    <col min="4610" max="4610" width="10.5703125" style="215" customWidth="1"/>
    <col min="4611" max="4612" width="9.140625" style="215" customWidth="1"/>
    <col min="4613" max="4613" width="23" style="215" customWidth="1"/>
    <col min="4614" max="4860" width="9.140625" style="215"/>
    <col min="4861" max="4861" width="6.140625" style="215" customWidth="1"/>
    <col min="4862" max="4862" width="28.28515625" style="215" customWidth="1"/>
    <col min="4863" max="4863" width="11.85546875" style="215" customWidth="1"/>
    <col min="4864" max="4864" width="11.140625" style="215" customWidth="1"/>
    <col min="4865" max="4865" width="10.28515625" style="215" customWidth="1"/>
    <col min="4866" max="4866" width="10.5703125" style="215" customWidth="1"/>
    <col min="4867" max="4868" width="9.140625" style="215" customWidth="1"/>
    <col min="4869" max="4869" width="23" style="215" customWidth="1"/>
    <col min="4870" max="5116" width="9.140625" style="215"/>
    <col min="5117" max="5117" width="6.140625" style="215" customWidth="1"/>
    <col min="5118" max="5118" width="28.28515625" style="215" customWidth="1"/>
    <col min="5119" max="5119" width="11.85546875" style="215" customWidth="1"/>
    <col min="5120" max="5120" width="11.140625" style="215" customWidth="1"/>
    <col min="5121" max="5121" width="10.28515625" style="215" customWidth="1"/>
    <col min="5122" max="5122" width="10.5703125" style="215" customWidth="1"/>
    <col min="5123" max="5124" width="9.140625" style="215" customWidth="1"/>
    <col min="5125" max="5125" width="23" style="215" customWidth="1"/>
    <col min="5126" max="5372" width="9.140625" style="215"/>
    <col min="5373" max="5373" width="6.140625" style="215" customWidth="1"/>
    <col min="5374" max="5374" width="28.28515625" style="215" customWidth="1"/>
    <col min="5375" max="5375" width="11.85546875" style="215" customWidth="1"/>
    <col min="5376" max="5376" width="11.140625" style="215" customWidth="1"/>
    <col min="5377" max="5377" width="10.28515625" style="215" customWidth="1"/>
    <col min="5378" max="5378" width="10.5703125" style="215" customWidth="1"/>
    <col min="5379" max="5380" width="9.140625" style="215" customWidth="1"/>
    <col min="5381" max="5381" width="23" style="215" customWidth="1"/>
    <col min="5382" max="5628" width="9.140625" style="215"/>
    <col min="5629" max="5629" width="6.140625" style="215" customWidth="1"/>
    <col min="5630" max="5630" width="28.28515625" style="215" customWidth="1"/>
    <col min="5631" max="5631" width="11.85546875" style="215" customWidth="1"/>
    <col min="5632" max="5632" width="11.140625" style="215" customWidth="1"/>
    <col min="5633" max="5633" width="10.28515625" style="215" customWidth="1"/>
    <col min="5634" max="5634" width="10.5703125" style="215" customWidth="1"/>
    <col min="5635" max="5636" width="9.140625" style="215" customWidth="1"/>
    <col min="5637" max="5637" width="23" style="215" customWidth="1"/>
    <col min="5638" max="5884" width="9.140625" style="215"/>
    <col min="5885" max="5885" width="6.140625" style="215" customWidth="1"/>
    <col min="5886" max="5886" width="28.28515625" style="215" customWidth="1"/>
    <col min="5887" max="5887" width="11.85546875" style="215" customWidth="1"/>
    <col min="5888" max="5888" width="11.140625" style="215" customWidth="1"/>
    <col min="5889" max="5889" width="10.28515625" style="215" customWidth="1"/>
    <col min="5890" max="5890" width="10.5703125" style="215" customWidth="1"/>
    <col min="5891" max="5892" width="9.140625" style="215" customWidth="1"/>
    <col min="5893" max="5893" width="23" style="215" customWidth="1"/>
    <col min="5894" max="6140" width="9.140625" style="215"/>
    <col min="6141" max="6141" width="6.140625" style="215" customWidth="1"/>
    <col min="6142" max="6142" width="28.28515625" style="215" customWidth="1"/>
    <col min="6143" max="6143" width="11.85546875" style="215" customWidth="1"/>
    <col min="6144" max="6144" width="11.140625" style="215" customWidth="1"/>
    <col min="6145" max="6145" width="10.28515625" style="215" customWidth="1"/>
    <col min="6146" max="6146" width="10.5703125" style="215" customWidth="1"/>
    <col min="6147" max="6148" width="9.140625" style="215" customWidth="1"/>
    <col min="6149" max="6149" width="23" style="215" customWidth="1"/>
    <col min="6150" max="6396" width="9.140625" style="215"/>
    <col min="6397" max="6397" width="6.140625" style="215" customWidth="1"/>
    <col min="6398" max="6398" width="28.28515625" style="215" customWidth="1"/>
    <col min="6399" max="6399" width="11.85546875" style="215" customWidth="1"/>
    <col min="6400" max="6400" width="11.140625" style="215" customWidth="1"/>
    <col min="6401" max="6401" width="10.28515625" style="215" customWidth="1"/>
    <col min="6402" max="6402" width="10.5703125" style="215" customWidth="1"/>
    <col min="6403" max="6404" width="9.140625" style="215" customWidth="1"/>
    <col min="6405" max="6405" width="23" style="215" customWidth="1"/>
    <col min="6406" max="6652" width="9.140625" style="215"/>
    <col min="6653" max="6653" width="6.140625" style="215" customWidth="1"/>
    <col min="6654" max="6654" width="28.28515625" style="215" customWidth="1"/>
    <col min="6655" max="6655" width="11.85546875" style="215" customWidth="1"/>
    <col min="6656" max="6656" width="11.140625" style="215" customWidth="1"/>
    <col min="6657" max="6657" width="10.28515625" style="215" customWidth="1"/>
    <col min="6658" max="6658" width="10.5703125" style="215" customWidth="1"/>
    <col min="6659" max="6660" width="9.140625" style="215" customWidth="1"/>
    <col min="6661" max="6661" width="23" style="215" customWidth="1"/>
    <col min="6662" max="6908" width="9.140625" style="215"/>
    <col min="6909" max="6909" width="6.140625" style="215" customWidth="1"/>
    <col min="6910" max="6910" width="28.28515625" style="215" customWidth="1"/>
    <col min="6911" max="6911" width="11.85546875" style="215" customWidth="1"/>
    <col min="6912" max="6912" width="11.140625" style="215" customWidth="1"/>
    <col min="6913" max="6913" width="10.28515625" style="215" customWidth="1"/>
    <col min="6914" max="6914" width="10.5703125" style="215" customWidth="1"/>
    <col min="6915" max="6916" width="9.140625" style="215" customWidth="1"/>
    <col min="6917" max="6917" width="23" style="215" customWidth="1"/>
    <col min="6918" max="7164" width="9.140625" style="215"/>
    <col min="7165" max="7165" width="6.140625" style="215" customWidth="1"/>
    <col min="7166" max="7166" width="28.28515625" style="215" customWidth="1"/>
    <col min="7167" max="7167" width="11.85546875" style="215" customWidth="1"/>
    <col min="7168" max="7168" width="11.140625" style="215" customWidth="1"/>
    <col min="7169" max="7169" width="10.28515625" style="215" customWidth="1"/>
    <col min="7170" max="7170" width="10.5703125" style="215" customWidth="1"/>
    <col min="7171" max="7172" width="9.140625" style="215" customWidth="1"/>
    <col min="7173" max="7173" width="23" style="215" customWidth="1"/>
    <col min="7174" max="7420" width="9.140625" style="215"/>
    <col min="7421" max="7421" width="6.140625" style="215" customWidth="1"/>
    <col min="7422" max="7422" width="28.28515625" style="215" customWidth="1"/>
    <col min="7423" max="7423" width="11.85546875" style="215" customWidth="1"/>
    <col min="7424" max="7424" width="11.140625" style="215" customWidth="1"/>
    <col min="7425" max="7425" width="10.28515625" style="215" customWidth="1"/>
    <col min="7426" max="7426" width="10.5703125" style="215" customWidth="1"/>
    <col min="7427" max="7428" width="9.140625" style="215" customWidth="1"/>
    <col min="7429" max="7429" width="23" style="215" customWidth="1"/>
    <col min="7430" max="7676" width="9.140625" style="215"/>
    <col min="7677" max="7677" width="6.140625" style="215" customWidth="1"/>
    <col min="7678" max="7678" width="28.28515625" style="215" customWidth="1"/>
    <col min="7679" max="7679" width="11.85546875" style="215" customWidth="1"/>
    <col min="7680" max="7680" width="11.140625" style="215" customWidth="1"/>
    <col min="7681" max="7681" width="10.28515625" style="215" customWidth="1"/>
    <col min="7682" max="7682" width="10.5703125" style="215" customWidth="1"/>
    <col min="7683" max="7684" width="9.140625" style="215" customWidth="1"/>
    <col min="7685" max="7685" width="23" style="215" customWidth="1"/>
    <col min="7686" max="7932" width="9.140625" style="215"/>
    <col min="7933" max="7933" width="6.140625" style="215" customWidth="1"/>
    <col min="7934" max="7934" width="28.28515625" style="215" customWidth="1"/>
    <col min="7935" max="7935" width="11.85546875" style="215" customWidth="1"/>
    <col min="7936" max="7936" width="11.140625" style="215" customWidth="1"/>
    <col min="7937" max="7937" width="10.28515625" style="215" customWidth="1"/>
    <col min="7938" max="7938" width="10.5703125" style="215" customWidth="1"/>
    <col min="7939" max="7940" width="9.140625" style="215" customWidth="1"/>
    <col min="7941" max="7941" width="23" style="215" customWidth="1"/>
    <col min="7942" max="8188" width="9.140625" style="215"/>
    <col min="8189" max="8189" width="6.140625" style="215" customWidth="1"/>
    <col min="8190" max="8190" width="28.28515625" style="215" customWidth="1"/>
    <col min="8191" max="8191" width="11.85546875" style="215" customWidth="1"/>
    <col min="8192" max="8192" width="11.140625" style="215" customWidth="1"/>
    <col min="8193" max="8193" width="10.28515625" style="215" customWidth="1"/>
    <col min="8194" max="8194" width="10.5703125" style="215" customWidth="1"/>
    <col min="8195" max="8196" width="9.140625" style="215" customWidth="1"/>
    <col min="8197" max="8197" width="23" style="215" customWidth="1"/>
    <col min="8198" max="8444" width="9.140625" style="215"/>
    <col min="8445" max="8445" width="6.140625" style="215" customWidth="1"/>
    <col min="8446" max="8446" width="28.28515625" style="215" customWidth="1"/>
    <col min="8447" max="8447" width="11.85546875" style="215" customWidth="1"/>
    <col min="8448" max="8448" width="11.140625" style="215" customWidth="1"/>
    <col min="8449" max="8449" width="10.28515625" style="215" customWidth="1"/>
    <col min="8450" max="8450" width="10.5703125" style="215" customWidth="1"/>
    <col min="8451" max="8452" width="9.140625" style="215" customWidth="1"/>
    <col min="8453" max="8453" width="23" style="215" customWidth="1"/>
    <col min="8454" max="8700" width="9.140625" style="215"/>
    <col min="8701" max="8701" width="6.140625" style="215" customWidth="1"/>
    <col min="8702" max="8702" width="28.28515625" style="215" customWidth="1"/>
    <col min="8703" max="8703" width="11.85546875" style="215" customWidth="1"/>
    <col min="8704" max="8704" width="11.140625" style="215" customWidth="1"/>
    <col min="8705" max="8705" width="10.28515625" style="215" customWidth="1"/>
    <col min="8706" max="8706" width="10.5703125" style="215" customWidth="1"/>
    <col min="8707" max="8708" width="9.140625" style="215" customWidth="1"/>
    <col min="8709" max="8709" width="23" style="215" customWidth="1"/>
    <col min="8710" max="8956" width="9.140625" style="215"/>
    <col min="8957" max="8957" width="6.140625" style="215" customWidth="1"/>
    <col min="8958" max="8958" width="28.28515625" style="215" customWidth="1"/>
    <col min="8959" max="8959" width="11.85546875" style="215" customWidth="1"/>
    <col min="8960" max="8960" width="11.140625" style="215" customWidth="1"/>
    <col min="8961" max="8961" width="10.28515625" style="215" customWidth="1"/>
    <col min="8962" max="8962" width="10.5703125" style="215" customWidth="1"/>
    <col min="8963" max="8964" width="9.140625" style="215" customWidth="1"/>
    <col min="8965" max="8965" width="23" style="215" customWidth="1"/>
    <col min="8966" max="9212" width="9.140625" style="215"/>
    <col min="9213" max="9213" width="6.140625" style="215" customWidth="1"/>
    <col min="9214" max="9214" width="28.28515625" style="215" customWidth="1"/>
    <col min="9215" max="9215" width="11.85546875" style="215" customWidth="1"/>
    <col min="9216" max="9216" width="11.140625" style="215" customWidth="1"/>
    <col min="9217" max="9217" width="10.28515625" style="215" customWidth="1"/>
    <col min="9218" max="9218" width="10.5703125" style="215" customWidth="1"/>
    <col min="9219" max="9220" width="9.140625" style="215" customWidth="1"/>
    <col min="9221" max="9221" width="23" style="215" customWidth="1"/>
    <col min="9222" max="9468" width="9.140625" style="215"/>
    <col min="9469" max="9469" width="6.140625" style="215" customWidth="1"/>
    <col min="9470" max="9470" width="28.28515625" style="215" customWidth="1"/>
    <col min="9471" max="9471" width="11.85546875" style="215" customWidth="1"/>
    <col min="9472" max="9472" width="11.140625" style="215" customWidth="1"/>
    <col min="9473" max="9473" width="10.28515625" style="215" customWidth="1"/>
    <col min="9474" max="9474" width="10.5703125" style="215" customWidth="1"/>
    <col min="9475" max="9476" width="9.140625" style="215" customWidth="1"/>
    <col min="9477" max="9477" width="23" style="215" customWidth="1"/>
    <col min="9478" max="9724" width="9.140625" style="215"/>
    <col min="9725" max="9725" width="6.140625" style="215" customWidth="1"/>
    <col min="9726" max="9726" width="28.28515625" style="215" customWidth="1"/>
    <col min="9727" max="9727" width="11.85546875" style="215" customWidth="1"/>
    <col min="9728" max="9728" width="11.140625" style="215" customWidth="1"/>
    <col min="9729" max="9729" width="10.28515625" style="215" customWidth="1"/>
    <col min="9730" max="9730" width="10.5703125" style="215" customWidth="1"/>
    <col min="9731" max="9732" width="9.140625" style="215" customWidth="1"/>
    <col min="9733" max="9733" width="23" style="215" customWidth="1"/>
    <col min="9734" max="9980" width="9.140625" style="215"/>
    <col min="9981" max="9981" width="6.140625" style="215" customWidth="1"/>
    <col min="9982" max="9982" width="28.28515625" style="215" customWidth="1"/>
    <col min="9983" max="9983" width="11.85546875" style="215" customWidth="1"/>
    <col min="9984" max="9984" width="11.140625" style="215" customWidth="1"/>
    <col min="9985" max="9985" width="10.28515625" style="215" customWidth="1"/>
    <col min="9986" max="9986" width="10.5703125" style="215" customWidth="1"/>
    <col min="9987" max="9988" width="9.140625" style="215" customWidth="1"/>
    <col min="9989" max="9989" width="23" style="215" customWidth="1"/>
    <col min="9990" max="10236" width="9.140625" style="215"/>
    <col min="10237" max="10237" width="6.140625" style="215" customWidth="1"/>
    <col min="10238" max="10238" width="28.28515625" style="215" customWidth="1"/>
    <col min="10239" max="10239" width="11.85546875" style="215" customWidth="1"/>
    <col min="10240" max="10240" width="11.140625" style="215" customWidth="1"/>
    <col min="10241" max="10241" width="10.28515625" style="215" customWidth="1"/>
    <col min="10242" max="10242" width="10.5703125" style="215" customWidth="1"/>
    <col min="10243" max="10244" width="9.140625" style="215" customWidth="1"/>
    <col min="10245" max="10245" width="23" style="215" customWidth="1"/>
    <col min="10246" max="10492" width="9.140625" style="215"/>
    <col min="10493" max="10493" width="6.140625" style="215" customWidth="1"/>
    <col min="10494" max="10494" width="28.28515625" style="215" customWidth="1"/>
    <col min="10495" max="10495" width="11.85546875" style="215" customWidth="1"/>
    <col min="10496" max="10496" width="11.140625" style="215" customWidth="1"/>
    <col min="10497" max="10497" width="10.28515625" style="215" customWidth="1"/>
    <col min="10498" max="10498" width="10.5703125" style="215" customWidth="1"/>
    <col min="10499" max="10500" width="9.140625" style="215" customWidth="1"/>
    <col min="10501" max="10501" width="23" style="215" customWidth="1"/>
    <col min="10502" max="10748" width="9.140625" style="215"/>
    <col min="10749" max="10749" width="6.140625" style="215" customWidth="1"/>
    <col min="10750" max="10750" width="28.28515625" style="215" customWidth="1"/>
    <col min="10751" max="10751" width="11.85546875" style="215" customWidth="1"/>
    <col min="10752" max="10752" width="11.140625" style="215" customWidth="1"/>
    <col min="10753" max="10753" width="10.28515625" style="215" customWidth="1"/>
    <col min="10754" max="10754" width="10.5703125" style="215" customWidth="1"/>
    <col min="10755" max="10756" width="9.140625" style="215" customWidth="1"/>
    <col min="10757" max="10757" width="23" style="215" customWidth="1"/>
    <col min="10758" max="11004" width="9.140625" style="215"/>
    <col min="11005" max="11005" width="6.140625" style="215" customWidth="1"/>
    <col min="11006" max="11006" width="28.28515625" style="215" customWidth="1"/>
    <col min="11007" max="11007" width="11.85546875" style="215" customWidth="1"/>
    <col min="11008" max="11008" width="11.140625" style="215" customWidth="1"/>
    <col min="11009" max="11009" width="10.28515625" style="215" customWidth="1"/>
    <col min="11010" max="11010" width="10.5703125" style="215" customWidth="1"/>
    <col min="11011" max="11012" width="9.140625" style="215" customWidth="1"/>
    <col min="11013" max="11013" width="23" style="215" customWidth="1"/>
    <col min="11014" max="11260" width="9.140625" style="215"/>
    <col min="11261" max="11261" width="6.140625" style="215" customWidth="1"/>
    <col min="11262" max="11262" width="28.28515625" style="215" customWidth="1"/>
    <col min="11263" max="11263" width="11.85546875" style="215" customWidth="1"/>
    <col min="11264" max="11264" width="11.140625" style="215" customWidth="1"/>
    <col min="11265" max="11265" width="10.28515625" style="215" customWidth="1"/>
    <col min="11266" max="11266" width="10.5703125" style="215" customWidth="1"/>
    <col min="11267" max="11268" width="9.140625" style="215" customWidth="1"/>
    <col min="11269" max="11269" width="23" style="215" customWidth="1"/>
    <col min="11270" max="11516" width="9.140625" style="215"/>
    <col min="11517" max="11517" width="6.140625" style="215" customWidth="1"/>
    <col min="11518" max="11518" width="28.28515625" style="215" customWidth="1"/>
    <col min="11519" max="11519" width="11.85546875" style="215" customWidth="1"/>
    <col min="11520" max="11520" width="11.140625" style="215" customWidth="1"/>
    <col min="11521" max="11521" width="10.28515625" style="215" customWidth="1"/>
    <col min="11522" max="11522" width="10.5703125" style="215" customWidth="1"/>
    <col min="11523" max="11524" width="9.140625" style="215" customWidth="1"/>
    <col min="11525" max="11525" width="23" style="215" customWidth="1"/>
    <col min="11526" max="11772" width="9.140625" style="215"/>
    <col min="11773" max="11773" width="6.140625" style="215" customWidth="1"/>
    <col min="11774" max="11774" width="28.28515625" style="215" customWidth="1"/>
    <col min="11775" max="11775" width="11.85546875" style="215" customWidth="1"/>
    <col min="11776" max="11776" width="11.140625" style="215" customWidth="1"/>
    <col min="11777" max="11777" width="10.28515625" style="215" customWidth="1"/>
    <col min="11778" max="11778" width="10.5703125" style="215" customWidth="1"/>
    <col min="11779" max="11780" width="9.140625" style="215" customWidth="1"/>
    <col min="11781" max="11781" width="23" style="215" customWidth="1"/>
    <col min="11782" max="12028" width="9.140625" style="215"/>
    <col min="12029" max="12029" width="6.140625" style="215" customWidth="1"/>
    <col min="12030" max="12030" width="28.28515625" style="215" customWidth="1"/>
    <col min="12031" max="12031" width="11.85546875" style="215" customWidth="1"/>
    <col min="12032" max="12032" width="11.140625" style="215" customWidth="1"/>
    <col min="12033" max="12033" width="10.28515625" style="215" customWidth="1"/>
    <col min="12034" max="12034" width="10.5703125" style="215" customWidth="1"/>
    <col min="12035" max="12036" width="9.140625" style="215" customWidth="1"/>
    <col min="12037" max="12037" width="23" style="215" customWidth="1"/>
    <col min="12038" max="12284" width="9.140625" style="215"/>
    <col min="12285" max="12285" width="6.140625" style="215" customWidth="1"/>
    <col min="12286" max="12286" width="28.28515625" style="215" customWidth="1"/>
    <col min="12287" max="12287" width="11.85546875" style="215" customWidth="1"/>
    <col min="12288" max="12288" width="11.140625" style="215" customWidth="1"/>
    <col min="12289" max="12289" width="10.28515625" style="215" customWidth="1"/>
    <col min="12290" max="12290" width="10.5703125" style="215" customWidth="1"/>
    <col min="12291" max="12292" width="9.140625" style="215" customWidth="1"/>
    <col min="12293" max="12293" width="23" style="215" customWidth="1"/>
    <col min="12294" max="12540" width="9.140625" style="215"/>
    <col min="12541" max="12541" width="6.140625" style="215" customWidth="1"/>
    <col min="12542" max="12542" width="28.28515625" style="215" customWidth="1"/>
    <col min="12543" max="12543" width="11.85546875" style="215" customWidth="1"/>
    <col min="12544" max="12544" width="11.140625" style="215" customWidth="1"/>
    <col min="12545" max="12545" width="10.28515625" style="215" customWidth="1"/>
    <col min="12546" max="12546" width="10.5703125" style="215" customWidth="1"/>
    <col min="12547" max="12548" width="9.140625" style="215" customWidth="1"/>
    <col min="12549" max="12549" width="23" style="215" customWidth="1"/>
    <col min="12550" max="12796" width="9.140625" style="215"/>
    <col min="12797" max="12797" width="6.140625" style="215" customWidth="1"/>
    <col min="12798" max="12798" width="28.28515625" style="215" customWidth="1"/>
    <col min="12799" max="12799" width="11.85546875" style="215" customWidth="1"/>
    <col min="12800" max="12800" width="11.140625" style="215" customWidth="1"/>
    <col min="12801" max="12801" width="10.28515625" style="215" customWidth="1"/>
    <col min="12802" max="12802" width="10.5703125" style="215" customWidth="1"/>
    <col min="12803" max="12804" width="9.140625" style="215" customWidth="1"/>
    <col min="12805" max="12805" width="23" style="215" customWidth="1"/>
    <col min="12806" max="13052" width="9.140625" style="215"/>
    <col min="13053" max="13053" width="6.140625" style="215" customWidth="1"/>
    <col min="13054" max="13054" width="28.28515625" style="215" customWidth="1"/>
    <col min="13055" max="13055" width="11.85546875" style="215" customWidth="1"/>
    <col min="13056" max="13056" width="11.140625" style="215" customWidth="1"/>
    <col min="13057" max="13057" width="10.28515625" style="215" customWidth="1"/>
    <col min="13058" max="13058" width="10.5703125" style="215" customWidth="1"/>
    <col min="13059" max="13060" width="9.140625" style="215" customWidth="1"/>
    <col min="13061" max="13061" width="23" style="215" customWidth="1"/>
    <col min="13062" max="13308" width="9.140625" style="215"/>
    <col min="13309" max="13309" width="6.140625" style="215" customWidth="1"/>
    <col min="13310" max="13310" width="28.28515625" style="215" customWidth="1"/>
    <col min="13311" max="13311" width="11.85546875" style="215" customWidth="1"/>
    <col min="13312" max="13312" width="11.140625" style="215" customWidth="1"/>
    <col min="13313" max="13313" width="10.28515625" style="215" customWidth="1"/>
    <col min="13314" max="13314" width="10.5703125" style="215" customWidth="1"/>
    <col min="13315" max="13316" width="9.140625" style="215" customWidth="1"/>
    <col min="13317" max="13317" width="23" style="215" customWidth="1"/>
    <col min="13318" max="13564" width="9.140625" style="215"/>
    <col min="13565" max="13565" width="6.140625" style="215" customWidth="1"/>
    <col min="13566" max="13566" width="28.28515625" style="215" customWidth="1"/>
    <col min="13567" max="13567" width="11.85546875" style="215" customWidth="1"/>
    <col min="13568" max="13568" width="11.140625" style="215" customWidth="1"/>
    <col min="13569" max="13569" width="10.28515625" style="215" customWidth="1"/>
    <col min="13570" max="13570" width="10.5703125" style="215" customWidth="1"/>
    <col min="13571" max="13572" width="9.140625" style="215" customWidth="1"/>
    <col min="13573" max="13573" width="23" style="215" customWidth="1"/>
    <col min="13574" max="13820" width="9.140625" style="215"/>
    <col min="13821" max="13821" width="6.140625" style="215" customWidth="1"/>
    <col min="13822" max="13822" width="28.28515625" style="215" customWidth="1"/>
    <col min="13823" max="13823" width="11.85546875" style="215" customWidth="1"/>
    <col min="13824" max="13824" width="11.140625" style="215" customWidth="1"/>
    <col min="13825" max="13825" width="10.28515625" style="215" customWidth="1"/>
    <col min="13826" max="13826" width="10.5703125" style="215" customWidth="1"/>
    <col min="13827" max="13828" width="9.140625" style="215" customWidth="1"/>
    <col min="13829" max="13829" width="23" style="215" customWidth="1"/>
    <col min="13830" max="14076" width="9.140625" style="215"/>
    <col min="14077" max="14077" width="6.140625" style="215" customWidth="1"/>
    <col min="14078" max="14078" width="28.28515625" style="215" customWidth="1"/>
    <col min="14079" max="14079" width="11.85546875" style="215" customWidth="1"/>
    <col min="14080" max="14080" width="11.140625" style="215" customWidth="1"/>
    <col min="14081" max="14081" width="10.28515625" style="215" customWidth="1"/>
    <col min="14082" max="14082" width="10.5703125" style="215" customWidth="1"/>
    <col min="14083" max="14084" width="9.140625" style="215" customWidth="1"/>
    <col min="14085" max="14085" width="23" style="215" customWidth="1"/>
    <col min="14086" max="14332" width="9.140625" style="215"/>
    <col min="14333" max="14333" width="6.140625" style="215" customWidth="1"/>
    <col min="14334" max="14334" width="28.28515625" style="215" customWidth="1"/>
    <col min="14335" max="14335" width="11.85546875" style="215" customWidth="1"/>
    <col min="14336" max="14336" width="11.140625" style="215" customWidth="1"/>
    <col min="14337" max="14337" width="10.28515625" style="215" customWidth="1"/>
    <col min="14338" max="14338" width="10.5703125" style="215" customWidth="1"/>
    <col min="14339" max="14340" width="9.140625" style="215" customWidth="1"/>
    <col min="14341" max="14341" width="23" style="215" customWidth="1"/>
    <col min="14342" max="14588" width="9.140625" style="215"/>
    <col min="14589" max="14589" width="6.140625" style="215" customWidth="1"/>
    <col min="14590" max="14590" width="28.28515625" style="215" customWidth="1"/>
    <col min="14591" max="14591" width="11.85546875" style="215" customWidth="1"/>
    <col min="14592" max="14592" width="11.140625" style="215" customWidth="1"/>
    <col min="14593" max="14593" width="10.28515625" style="215" customWidth="1"/>
    <col min="14594" max="14594" width="10.5703125" style="215" customWidth="1"/>
    <col min="14595" max="14596" width="9.140625" style="215" customWidth="1"/>
    <col min="14597" max="14597" width="23" style="215" customWidth="1"/>
    <col min="14598" max="14844" width="9.140625" style="215"/>
    <col min="14845" max="14845" width="6.140625" style="215" customWidth="1"/>
    <col min="14846" max="14846" width="28.28515625" style="215" customWidth="1"/>
    <col min="14847" max="14847" width="11.85546875" style="215" customWidth="1"/>
    <col min="14848" max="14848" width="11.140625" style="215" customWidth="1"/>
    <col min="14849" max="14849" width="10.28515625" style="215" customWidth="1"/>
    <col min="14850" max="14850" width="10.5703125" style="215" customWidth="1"/>
    <col min="14851" max="14852" width="9.140625" style="215" customWidth="1"/>
    <col min="14853" max="14853" width="23" style="215" customWidth="1"/>
    <col min="14854" max="15100" width="9.140625" style="215"/>
    <col min="15101" max="15101" width="6.140625" style="215" customWidth="1"/>
    <col min="15102" max="15102" width="28.28515625" style="215" customWidth="1"/>
    <col min="15103" max="15103" width="11.85546875" style="215" customWidth="1"/>
    <col min="15104" max="15104" width="11.140625" style="215" customWidth="1"/>
    <col min="15105" max="15105" width="10.28515625" style="215" customWidth="1"/>
    <col min="15106" max="15106" width="10.5703125" style="215" customWidth="1"/>
    <col min="15107" max="15108" width="9.140625" style="215" customWidth="1"/>
    <col min="15109" max="15109" width="23" style="215" customWidth="1"/>
    <col min="15110" max="15356" width="9.140625" style="215"/>
    <col min="15357" max="15357" width="6.140625" style="215" customWidth="1"/>
    <col min="15358" max="15358" width="28.28515625" style="215" customWidth="1"/>
    <col min="15359" max="15359" width="11.85546875" style="215" customWidth="1"/>
    <col min="15360" max="15360" width="11.140625" style="215" customWidth="1"/>
    <col min="15361" max="15361" width="10.28515625" style="215" customWidth="1"/>
    <col min="15362" max="15362" width="10.5703125" style="215" customWidth="1"/>
    <col min="15363" max="15364" width="9.140625" style="215" customWidth="1"/>
    <col min="15365" max="15365" width="23" style="215" customWidth="1"/>
    <col min="15366" max="15612" width="9.140625" style="215"/>
    <col min="15613" max="15613" width="6.140625" style="215" customWidth="1"/>
    <col min="15614" max="15614" width="28.28515625" style="215" customWidth="1"/>
    <col min="15615" max="15615" width="11.85546875" style="215" customWidth="1"/>
    <col min="15616" max="15616" width="11.140625" style="215" customWidth="1"/>
    <col min="15617" max="15617" width="10.28515625" style="215" customWidth="1"/>
    <col min="15618" max="15618" width="10.5703125" style="215" customWidth="1"/>
    <col min="15619" max="15620" width="9.140625" style="215" customWidth="1"/>
    <col min="15621" max="15621" width="23" style="215" customWidth="1"/>
    <col min="15622" max="15868" width="9.140625" style="215"/>
    <col min="15869" max="15869" width="6.140625" style="215" customWidth="1"/>
    <col min="15870" max="15870" width="28.28515625" style="215" customWidth="1"/>
    <col min="15871" max="15871" width="11.85546875" style="215" customWidth="1"/>
    <col min="15872" max="15872" width="11.140625" style="215" customWidth="1"/>
    <col min="15873" max="15873" width="10.28515625" style="215" customWidth="1"/>
    <col min="15874" max="15874" width="10.5703125" style="215" customWidth="1"/>
    <col min="15875" max="15876" width="9.140625" style="215" customWidth="1"/>
    <col min="15877" max="15877" width="23" style="215" customWidth="1"/>
    <col min="15878" max="16124" width="9.140625" style="215"/>
    <col min="16125" max="16125" width="6.140625" style="215" customWidth="1"/>
    <col min="16126" max="16126" width="28.28515625" style="215" customWidth="1"/>
    <col min="16127" max="16127" width="11.85546875" style="215" customWidth="1"/>
    <col min="16128" max="16128" width="11.140625" style="215" customWidth="1"/>
    <col min="16129" max="16129" width="10.28515625" style="215" customWidth="1"/>
    <col min="16130" max="16130" width="10.5703125" style="215" customWidth="1"/>
    <col min="16131" max="16132" width="9.140625" style="215" customWidth="1"/>
    <col min="16133" max="16133" width="23" style="215" customWidth="1"/>
    <col min="16134" max="16384" width="9.140625" style="215"/>
  </cols>
  <sheetData>
    <row r="1" spans="1:9" x14ac:dyDescent="0.2">
      <c r="B1" s="216"/>
      <c r="C1" s="216"/>
      <c r="D1" s="216"/>
      <c r="E1" s="216"/>
      <c r="F1" s="1978" t="s">
        <v>2194</v>
      </c>
      <c r="G1" s="1978"/>
      <c r="H1" s="1978"/>
      <c r="I1" s="1978"/>
    </row>
    <row r="2" spans="1:9" x14ac:dyDescent="0.2">
      <c r="B2" s="216"/>
      <c r="C2" s="216"/>
      <c r="D2" s="216"/>
      <c r="E2" s="216"/>
      <c r="F2" s="1978"/>
      <c r="G2" s="1978"/>
      <c r="H2" s="1978"/>
      <c r="I2" s="1978"/>
    </row>
    <row r="3" spans="1:9" x14ac:dyDescent="0.2">
      <c r="B3" s="216"/>
      <c r="C3" s="216"/>
      <c r="D3" s="216"/>
      <c r="E3" s="216"/>
      <c r="F3" s="1978"/>
      <c r="G3" s="1978"/>
      <c r="H3" s="1978"/>
      <c r="I3" s="1978"/>
    </row>
    <row r="4" spans="1:9" x14ac:dyDescent="0.2">
      <c r="B4" s="216"/>
      <c r="C4" s="216"/>
      <c r="D4" s="216"/>
      <c r="E4" s="216"/>
      <c r="F4" s="1874"/>
      <c r="G4" s="1874"/>
      <c r="H4" s="1874"/>
      <c r="I4" s="1874"/>
    </row>
    <row r="5" spans="1:9" x14ac:dyDescent="0.2">
      <c r="A5" s="215" t="s">
        <v>112</v>
      </c>
      <c r="B5" s="216"/>
      <c r="C5" s="216"/>
      <c r="D5" s="216"/>
      <c r="E5" s="216"/>
      <c r="F5" s="1874"/>
      <c r="G5" s="1874"/>
      <c r="H5" s="1874"/>
      <c r="I5" s="1874"/>
    </row>
    <row r="6" spans="1:9" ht="15.75" x14ac:dyDescent="0.25">
      <c r="A6" s="522"/>
      <c r="B6" s="216"/>
      <c r="C6" s="217"/>
      <c r="D6" s="217"/>
      <c r="E6" s="217"/>
      <c r="F6" s="217"/>
      <c r="G6" s="217"/>
      <c r="H6" s="217"/>
      <c r="I6" s="217"/>
    </row>
    <row r="7" spans="1:9" ht="18.75" x14ac:dyDescent="0.3">
      <c r="A7" s="1988" t="s">
        <v>113</v>
      </c>
      <c r="B7" s="1988"/>
      <c r="C7" s="1988"/>
      <c r="D7" s="1988"/>
      <c r="E7" s="1988"/>
      <c r="F7" s="1988"/>
      <c r="G7" s="1988"/>
      <c r="H7" s="1988"/>
      <c r="I7" s="1988"/>
    </row>
    <row r="8" spans="1:9" ht="14.25" customHeight="1" x14ac:dyDescent="0.3">
      <c r="A8" s="523"/>
      <c r="B8" s="523"/>
      <c r="C8" s="523"/>
      <c r="D8" s="523"/>
      <c r="E8" s="523"/>
      <c r="F8" s="523"/>
      <c r="G8" s="523"/>
      <c r="H8" s="523"/>
      <c r="I8" s="523"/>
    </row>
    <row r="9" spans="1:9" ht="15.75" x14ac:dyDescent="0.25">
      <c r="A9" s="215" t="s">
        <v>748</v>
      </c>
      <c r="C9" s="2005" t="s">
        <v>1803</v>
      </c>
      <c r="D9" s="2005"/>
      <c r="E9" s="2005"/>
      <c r="F9" s="2005"/>
      <c r="G9" s="2005"/>
      <c r="H9" s="2005"/>
      <c r="I9" s="2005"/>
    </row>
    <row r="10" spans="1:9" x14ac:dyDescent="0.2">
      <c r="A10" s="215" t="s">
        <v>115</v>
      </c>
      <c r="C10" s="2006" t="s">
        <v>561</v>
      </c>
      <c r="D10" s="2006"/>
      <c r="E10" s="2006"/>
      <c r="F10" s="2006"/>
      <c r="G10" s="2006"/>
      <c r="H10" s="2006"/>
      <c r="I10" s="2006"/>
    </row>
    <row r="11" spans="1:9" x14ac:dyDescent="0.2">
      <c r="A11" s="215" t="s">
        <v>117</v>
      </c>
      <c r="C11" s="2020" t="s">
        <v>1316</v>
      </c>
      <c r="D11" s="2020"/>
      <c r="E11" s="2020"/>
      <c r="F11" s="2020"/>
      <c r="G11" s="2020"/>
      <c r="H11" s="2020"/>
      <c r="I11" s="2020"/>
    </row>
    <row r="12" spans="1:9" x14ac:dyDescent="0.2">
      <c r="A12" s="2008" t="s">
        <v>47</v>
      </c>
      <c r="B12" s="2010" t="s">
        <v>119</v>
      </c>
      <c r="C12" s="2010" t="s">
        <v>120</v>
      </c>
      <c r="D12" s="2010" t="s">
        <v>121</v>
      </c>
      <c r="E12" s="2010" t="s">
        <v>122</v>
      </c>
      <c r="F12" s="404"/>
      <c r="G12" s="404"/>
      <c r="H12" s="404"/>
      <c r="I12" s="2012" t="s">
        <v>126</v>
      </c>
    </row>
    <row r="13" spans="1:9" ht="48" x14ac:dyDescent="0.2">
      <c r="A13" s="2009"/>
      <c r="B13" s="2011"/>
      <c r="C13" s="2011"/>
      <c r="D13" s="2011"/>
      <c r="E13" s="2011"/>
      <c r="F13" s="405" t="s">
        <v>129</v>
      </c>
      <c r="G13" s="405" t="s">
        <v>124</v>
      </c>
      <c r="H13" s="405" t="s">
        <v>2165</v>
      </c>
      <c r="I13" s="2013"/>
    </row>
    <row r="14" spans="1:9" x14ac:dyDescent="0.2">
      <c r="A14" s="2018" t="s">
        <v>2182</v>
      </c>
      <c r="B14" s="2019"/>
      <c r="C14" s="777">
        <f>SUM(C15:C29)</f>
        <v>66973</v>
      </c>
      <c r="D14" s="777">
        <f>SUM(D15:D29)</f>
        <v>61309.17</v>
      </c>
      <c r="E14" s="777">
        <f>SUM(E15:E29)</f>
        <v>177521</v>
      </c>
      <c r="F14" s="777"/>
      <c r="G14" s="777">
        <f>SUM(G15:G29)</f>
        <v>167636</v>
      </c>
      <c r="H14" s="777">
        <f>SUM(H15:H29)</f>
        <v>238532</v>
      </c>
      <c r="I14" s="778"/>
    </row>
    <row r="15" spans="1:9" ht="108" x14ac:dyDescent="0.2">
      <c r="A15" s="2001">
        <v>1</v>
      </c>
      <c r="B15" s="2002" t="s">
        <v>1317</v>
      </c>
      <c r="C15" s="766">
        <v>33415</v>
      </c>
      <c r="D15" s="766">
        <v>33415</v>
      </c>
      <c r="E15" s="766">
        <v>40000</v>
      </c>
      <c r="F15" s="770">
        <v>5110</v>
      </c>
      <c r="G15" s="766">
        <v>38000</v>
      </c>
      <c r="H15" s="766">
        <f>ROUNDUP(G15/0.702804,0)</f>
        <v>54070</v>
      </c>
      <c r="I15" s="768" t="s">
        <v>1318</v>
      </c>
    </row>
    <row r="16" spans="1:9" ht="24" x14ac:dyDescent="0.2">
      <c r="A16" s="2001"/>
      <c r="B16" s="2002"/>
      <c r="C16" s="766">
        <v>22739</v>
      </c>
      <c r="D16" s="779">
        <v>21329.17</v>
      </c>
      <c r="E16" s="766">
        <v>30000</v>
      </c>
      <c r="F16" s="770">
        <v>2232</v>
      </c>
      <c r="G16" s="766">
        <v>30000</v>
      </c>
      <c r="H16" s="766">
        <f t="shared" ref="H16:H29" si="0">ROUNDUP(G16/0.702804,0)</f>
        <v>42687</v>
      </c>
      <c r="I16" s="768" t="s">
        <v>1319</v>
      </c>
    </row>
    <row r="17" spans="1:9" ht="24" x14ac:dyDescent="0.2">
      <c r="A17" s="2001"/>
      <c r="B17" s="2002"/>
      <c r="C17" s="766">
        <v>990</v>
      </c>
      <c r="D17" s="766">
        <v>990</v>
      </c>
      <c r="E17" s="766">
        <v>1000</v>
      </c>
      <c r="F17" s="770">
        <v>2232</v>
      </c>
      <c r="G17" s="766">
        <v>1000</v>
      </c>
      <c r="H17" s="766">
        <f t="shared" si="0"/>
        <v>1423</v>
      </c>
      <c r="I17" s="768" t="s">
        <v>1320</v>
      </c>
    </row>
    <row r="18" spans="1:9" x14ac:dyDescent="0.2">
      <c r="A18" s="2001">
        <v>2</v>
      </c>
      <c r="B18" s="2002" t="s">
        <v>1321</v>
      </c>
      <c r="C18" s="766">
        <v>0</v>
      </c>
      <c r="D18" s="766">
        <v>0</v>
      </c>
      <c r="E18" s="766">
        <v>200</v>
      </c>
      <c r="F18" s="770">
        <v>2231</v>
      </c>
      <c r="G18" s="766"/>
      <c r="H18" s="766">
        <f t="shared" si="0"/>
        <v>0</v>
      </c>
      <c r="I18" s="768" t="s">
        <v>1322</v>
      </c>
    </row>
    <row r="19" spans="1:9" ht="24" x14ac:dyDescent="0.2">
      <c r="A19" s="2001"/>
      <c r="B19" s="2002"/>
      <c r="C19" s="766">
        <v>0</v>
      </c>
      <c r="D19" s="766">
        <v>0</v>
      </c>
      <c r="E19" s="766">
        <v>10000</v>
      </c>
      <c r="F19" s="770">
        <v>2231</v>
      </c>
      <c r="G19" s="766">
        <v>5000</v>
      </c>
      <c r="H19" s="766">
        <f t="shared" si="0"/>
        <v>7115</v>
      </c>
      <c r="I19" s="768" t="s">
        <v>1323</v>
      </c>
    </row>
    <row r="20" spans="1:9" ht="48" x14ac:dyDescent="0.2">
      <c r="A20" s="2001"/>
      <c r="B20" s="2002"/>
      <c r="C20" s="766">
        <v>1356</v>
      </c>
      <c r="D20" s="766">
        <v>1356</v>
      </c>
      <c r="E20" s="766">
        <f>200+2000+250</f>
        <v>2450</v>
      </c>
      <c r="F20" s="770">
        <v>2231</v>
      </c>
      <c r="G20" s="766">
        <f>200+1400+250</f>
        <v>1850</v>
      </c>
      <c r="H20" s="766">
        <f t="shared" si="0"/>
        <v>2633</v>
      </c>
      <c r="I20" s="768" t="s">
        <v>1816</v>
      </c>
    </row>
    <row r="21" spans="1:9" ht="48" x14ac:dyDescent="0.2">
      <c r="A21" s="2001"/>
      <c r="B21" s="2002"/>
      <c r="C21" s="766">
        <v>915</v>
      </c>
      <c r="D21" s="766">
        <v>860</v>
      </c>
      <c r="E21" s="766">
        <f>500+1200</f>
        <v>1700</v>
      </c>
      <c r="F21" s="767">
        <v>2390</v>
      </c>
      <c r="G21" s="766">
        <f>500+915</f>
        <v>1415</v>
      </c>
      <c r="H21" s="766">
        <f>ROUNDUP(G21/0.702804,0)</f>
        <v>2014</v>
      </c>
      <c r="I21" s="768" t="s">
        <v>1818</v>
      </c>
    </row>
    <row r="22" spans="1:9" ht="24" x14ac:dyDescent="0.2">
      <c r="A22" s="2001"/>
      <c r="B22" s="2002"/>
      <c r="C22" s="1066">
        <v>320</v>
      </c>
      <c r="D22" s="1072">
        <v>320</v>
      </c>
      <c r="E22" s="1072">
        <v>320</v>
      </c>
      <c r="F22" s="1073">
        <v>2279</v>
      </c>
      <c r="G22" s="1066">
        <v>320</v>
      </c>
      <c r="H22" s="766">
        <f>ROUNDUP(G22/0.702804,0)</f>
        <v>456</v>
      </c>
      <c r="I22" s="413" t="s">
        <v>1817</v>
      </c>
    </row>
    <row r="23" spans="1:9" x14ac:dyDescent="0.2">
      <c r="A23" s="449">
        <v>3</v>
      </c>
      <c r="B23" s="349" t="s">
        <v>1324</v>
      </c>
      <c r="C23" s="766">
        <v>85</v>
      </c>
      <c r="D23" s="766">
        <v>74</v>
      </c>
      <c r="E23" s="766">
        <v>85</v>
      </c>
      <c r="F23" s="767">
        <v>2279</v>
      </c>
      <c r="G23" s="766">
        <v>85</v>
      </c>
      <c r="H23" s="766">
        <f t="shared" si="0"/>
        <v>121</v>
      </c>
      <c r="I23" s="768"/>
    </row>
    <row r="24" spans="1:9" x14ac:dyDescent="0.2">
      <c r="A24" s="449">
        <v>4</v>
      </c>
      <c r="B24" s="313" t="s">
        <v>1325</v>
      </c>
      <c r="C24" s="766">
        <v>2965</v>
      </c>
      <c r="D24" s="766">
        <v>2965</v>
      </c>
      <c r="E24" s="766">
        <v>5600</v>
      </c>
      <c r="F24" s="767">
        <v>2239</v>
      </c>
      <c r="G24" s="766">
        <v>5600</v>
      </c>
      <c r="H24" s="766">
        <f t="shared" si="0"/>
        <v>7969</v>
      </c>
      <c r="I24" s="768" t="s">
        <v>1326</v>
      </c>
    </row>
    <row r="25" spans="1:9" x14ac:dyDescent="0.2">
      <c r="A25" s="449">
        <v>5</v>
      </c>
      <c r="B25" s="313" t="s">
        <v>1948</v>
      </c>
      <c r="C25" s="766">
        <v>4188</v>
      </c>
      <c r="D25" s="766">
        <v>0</v>
      </c>
      <c r="E25" s="766">
        <v>15500</v>
      </c>
      <c r="F25" s="770">
        <v>5110</v>
      </c>
      <c r="G25" s="766">
        <v>15500</v>
      </c>
      <c r="H25" s="766">
        <f t="shared" si="0"/>
        <v>22055</v>
      </c>
      <c r="I25" s="768"/>
    </row>
    <row r="26" spans="1:9" ht="24" x14ac:dyDescent="0.2">
      <c r="A26" s="449">
        <v>6</v>
      </c>
      <c r="B26" s="780" t="s">
        <v>1327</v>
      </c>
      <c r="C26" s="771">
        <v>0</v>
      </c>
      <c r="D26" s="771">
        <v>0</v>
      </c>
      <c r="E26" s="771">
        <v>4000</v>
      </c>
      <c r="F26" s="770">
        <v>5110</v>
      </c>
      <c r="G26" s="771">
        <v>4000</v>
      </c>
      <c r="H26" s="766">
        <f t="shared" si="0"/>
        <v>5692</v>
      </c>
      <c r="I26" s="781"/>
    </row>
    <row r="27" spans="1:9" x14ac:dyDescent="0.2">
      <c r="A27" s="449">
        <v>7</v>
      </c>
      <c r="B27" s="780" t="s">
        <v>1971</v>
      </c>
      <c r="C27" s="771">
        <v>0</v>
      </c>
      <c r="D27" s="771">
        <v>0</v>
      </c>
      <c r="E27" s="771">
        <f>800+59866</f>
        <v>60666</v>
      </c>
      <c r="F27" s="770">
        <v>2279</v>
      </c>
      <c r="G27" s="771">
        <f>59866</f>
        <v>59866</v>
      </c>
      <c r="H27" s="766">
        <f t="shared" si="0"/>
        <v>85182</v>
      </c>
      <c r="I27" s="781" t="s">
        <v>1970</v>
      </c>
    </row>
    <row r="28" spans="1:9" x14ac:dyDescent="0.2">
      <c r="A28" s="449">
        <v>8</v>
      </c>
      <c r="B28" s="780" t="s">
        <v>1328</v>
      </c>
      <c r="C28" s="771">
        <v>0</v>
      </c>
      <c r="D28" s="771">
        <v>0</v>
      </c>
      <c r="E28" s="771">
        <v>2000</v>
      </c>
      <c r="F28" s="770">
        <v>2231</v>
      </c>
      <c r="G28" s="771">
        <v>1000</v>
      </c>
      <c r="H28" s="766">
        <f t="shared" si="0"/>
        <v>1423</v>
      </c>
      <c r="I28" s="781" t="s">
        <v>1329</v>
      </c>
    </row>
    <row r="29" spans="1:9" ht="24" x14ac:dyDescent="0.2">
      <c r="A29" s="782">
        <v>9</v>
      </c>
      <c r="B29" s="783" t="s">
        <v>1330</v>
      </c>
      <c r="C29" s="784">
        <v>0</v>
      </c>
      <c r="D29" s="784">
        <v>0</v>
      </c>
      <c r="E29" s="784">
        <v>4000</v>
      </c>
      <c r="F29" s="1065">
        <v>2231</v>
      </c>
      <c r="G29" s="784">
        <v>4000</v>
      </c>
      <c r="H29" s="774">
        <f t="shared" si="0"/>
        <v>5692</v>
      </c>
      <c r="I29" s="1071" t="s">
        <v>1819</v>
      </c>
    </row>
    <row r="30" spans="1:9" x14ac:dyDescent="0.2">
      <c r="A30" s="785"/>
      <c r="B30" s="785"/>
      <c r="C30" s="785"/>
      <c r="D30" s="785"/>
      <c r="E30" s="785"/>
      <c r="F30" s="483"/>
      <c r="G30" s="785"/>
      <c r="H30" s="785"/>
      <c r="I30" s="785"/>
    </row>
    <row r="31" spans="1:9" x14ac:dyDescent="0.2">
      <c r="A31" s="215" t="s">
        <v>115</v>
      </c>
      <c r="C31" s="236" t="s">
        <v>1159</v>
      </c>
      <c r="D31" s="236"/>
      <c r="E31" s="236"/>
      <c r="F31" s="236"/>
      <c r="G31" s="236"/>
      <c r="H31" s="236"/>
      <c r="I31" s="236"/>
    </row>
    <row r="32" spans="1:9" x14ac:dyDescent="0.2">
      <c r="A32" s="215" t="s">
        <v>117</v>
      </c>
      <c r="C32" s="2007" t="s">
        <v>1331</v>
      </c>
      <c r="D32" s="2007"/>
      <c r="E32" s="2007"/>
      <c r="F32" s="2007"/>
      <c r="G32" s="2007"/>
      <c r="H32" s="2007"/>
      <c r="I32" s="2007"/>
    </row>
    <row r="33" spans="1:9" x14ac:dyDescent="0.2">
      <c r="A33" s="2008" t="s">
        <v>47</v>
      </c>
      <c r="B33" s="2010" t="s">
        <v>119</v>
      </c>
      <c r="C33" s="2010" t="s">
        <v>120</v>
      </c>
      <c r="D33" s="2010" t="s">
        <v>121</v>
      </c>
      <c r="E33" s="2010" t="s">
        <v>122</v>
      </c>
      <c r="F33" s="763"/>
      <c r="G33" s="763"/>
      <c r="H33" s="763"/>
      <c r="I33" s="2012" t="s">
        <v>126</v>
      </c>
    </row>
    <row r="34" spans="1:9" ht="48" x14ac:dyDescent="0.2">
      <c r="A34" s="2009"/>
      <c r="B34" s="2011"/>
      <c r="C34" s="2011"/>
      <c r="D34" s="2011"/>
      <c r="E34" s="2011"/>
      <c r="F34" s="405" t="s">
        <v>129</v>
      </c>
      <c r="G34" s="405" t="s">
        <v>124</v>
      </c>
      <c r="H34" s="1794" t="s">
        <v>2165</v>
      </c>
      <c r="I34" s="2013"/>
    </row>
    <row r="35" spans="1:9" x14ac:dyDescent="0.2">
      <c r="A35" s="2014" t="s">
        <v>2182</v>
      </c>
      <c r="B35" s="2015"/>
      <c r="C35" s="764">
        <f>SUM(C36:C41)</f>
        <v>1001131</v>
      </c>
      <c r="D35" s="764">
        <f>SUM(D36:D41)</f>
        <v>995074</v>
      </c>
      <c r="E35" s="764">
        <f>SUM(E36:E41)</f>
        <v>913473</v>
      </c>
      <c r="F35" s="764"/>
      <c r="G35" s="764">
        <f>SUM(G36:G41)</f>
        <v>913473</v>
      </c>
      <c r="H35" s="764">
        <f>SUM(H36:H41)</f>
        <v>1299759</v>
      </c>
      <c r="I35" s="765"/>
    </row>
    <row r="36" spans="1:9" ht="48" x14ac:dyDescent="0.2">
      <c r="A36" s="786">
        <v>1</v>
      </c>
      <c r="B36" s="787" t="s">
        <v>1161</v>
      </c>
      <c r="C36" s="450">
        <v>901317</v>
      </c>
      <c r="D36" s="450">
        <v>901317</v>
      </c>
      <c r="E36" s="450">
        <v>820653</v>
      </c>
      <c r="F36" s="770">
        <v>3320</v>
      </c>
      <c r="G36" s="450">
        <v>820653</v>
      </c>
      <c r="H36" s="450">
        <f>ROUNDUP(G36/0.702804,0)</f>
        <v>1167685</v>
      </c>
      <c r="I36" s="789"/>
    </row>
    <row r="37" spans="1:9" ht="48" x14ac:dyDescent="0.2">
      <c r="A37" s="449">
        <v>2</v>
      </c>
      <c r="B37" s="780" t="s">
        <v>1162</v>
      </c>
      <c r="C37" s="450">
        <f>83956+8888</f>
        <v>92844</v>
      </c>
      <c r="D37" s="450">
        <v>92844</v>
      </c>
      <c r="E37" s="450">
        <v>80000</v>
      </c>
      <c r="F37" s="437">
        <v>3310</v>
      </c>
      <c r="G37" s="771">
        <v>80000</v>
      </c>
      <c r="H37" s="450">
        <f t="shared" ref="H37:H41" si="1">ROUNDUP(G37/0.702804,0)</f>
        <v>113830</v>
      </c>
      <c r="I37" s="781"/>
    </row>
    <row r="38" spans="1:9" ht="24" x14ac:dyDescent="0.2">
      <c r="A38" s="449">
        <v>3</v>
      </c>
      <c r="B38" s="780" t="s">
        <v>1163</v>
      </c>
      <c r="C38" s="450">
        <v>650</v>
      </c>
      <c r="D38" s="450">
        <v>650</v>
      </c>
      <c r="E38" s="450">
        <v>1500</v>
      </c>
      <c r="F38" s="437">
        <v>2232</v>
      </c>
      <c r="G38" s="771">
        <v>1500</v>
      </c>
      <c r="H38" s="450">
        <f t="shared" si="1"/>
        <v>2135</v>
      </c>
      <c r="I38" s="781"/>
    </row>
    <row r="39" spans="1:9" x14ac:dyDescent="0.2">
      <c r="A39" s="449">
        <v>4</v>
      </c>
      <c r="B39" s="780" t="s">
        <v>1164</v>
      </c>
      <c r="C39" s="450">
        <v>270</v>
      </c>
      <c r="D39" s="450">
        <v>263</v>
      </c>
      <c r="E39" s="450">
        <v>270</v>
      </c>
      <c r="F39" s="437">
        <v>2312</v>
      </c>
      <c r="G39" s="771">
        <v>270</v>
      </c>
      <c r="H39" s="450">
        <f t="shared" si="1"/>
        <v>385</v>
      </c>
      <c r="I39" s="781"/>
    </row>
    <row r="40" spans="1:9" ht="36" x14ac:dyDescent="0.2">
      <c r="A40" s="449">
        <v>5</v>
      </c>
      <c r="B40" s="780" t="s">
        <v>1165</v>
      </c>
      <c r="C40" s="450">
        <v>6050</v>
      </c>
      <c r="D40" s="450">
        <v>0</v>
      </c>
      <c r="E40" s="450">
        <v>6050</v>
      </c>
      <c r="F40" s="437">
        <v>5121</v>
      </c>
      <c r="G40" s="771">
        <v>6050</v>
      </c>
      <c r="H40" s="450">
        <f t="shared" si="1"/>
        <v>8609</v>
      </c>
      <c r="I40" s="781" t="s">
        <v>1985</v>
      </c>
    </row>
    <row r="41" spans="1:9" ht="24" x14ac:dyDescent="0.2">
      <c r="A41" s="773">
        <v>6</v>
      </c>
      <c r="B41" s="783" t="s">
        <v>1166</v>
      </c>
      <c r="C41" s="790"/>
      <c r="D41" s="790"/>
      <c r="E41" s="790">
        <v>5000</v>
      </c>
      <c r="F41" s="1664">
        <v>5110</v>
      </c>
      <c r="G41" s="776">
        <v>5000</v>
      </c>
      <c r="H41" s="790">
        <f t="shared" si="1"/>
        <v>7115</v>
      </c>
      <c r="I41" s="791"/>
    </row>
    <row r="42" spans="1:9" x14ac:dyDescent="0.2">
      <c r="A42" s="443"/>
      <c r="B42" s="792"/>
      <c r="C42" s="793"/>
      <c r="D42" s="793"/>
      <c r="E42" s="793"/>
      <c r="F42" s="793"/>
      <c r="G42" s="466"/>
      <c r="H42" s="466"/>
      <c r="I42" s="511"/>
    </row>
    <row r="43" spans="1:9" x14ac:dyDescent="0.2">
      <c r="A43" s="215" t="s">
        <v>115</v>
      </c>
      <c r="C43" s="236" t="s">
        <v>550</v>
      </c>
      <c r="D43" s="236"/>
      <c r="E43" s="236"/>
      <c r="F43" s="236"/>
      <c r="G43" s="236"/>
      <c r="H43" s="236"/>
      <c r="I43" s="236"/>
    </row>
    <row r="44" spans="1:9" x14ac:dyDescent="0.2">
      <c r="A44" s="215" t="s">
        <v>117</v>
      </c>
      <c r="C44" s="2007" t="s">
        <v>551</v>
      </c>
      <c r="D44" s="2007"/>
      <c r="E44" s="2007"/>
      <c r="F44" s="2007"/>
      <c r="G44" s="2007"/>
      <c r="H44" s="2007"/>
      <c r="I44" s="2007"/>
    </row>
    <row r="45" spans="1:9" ht="36" x14ac:dyDescent="0.2">
      <c r="A45" s="2008" t="s">
        <v>47</v>
      </c>
      <c r="B45" s="2010" t="s">
        <v>119</v>
      </c>
      <c r="C45" s="2010" t="s">
        <v>120</v>
      </c>
      <c r="D45" s="2010" t="s">
        <v>121</v>
      </c>
      <c r="E45" s="2010" t="s">
        <v>122</v>
      </c>
      <c r="F45" s="763"/>
      <c r="G45" s="763" t="s">
        <v>189</v>
      </c>
      <c r="H45" s="763"/>
      <c r="I45" s="2012" t="s">
        <v>126</v>
      </c>
    </row>
    <row r="46" spans="1:9" ht="48" x14ac:dyDescent="0.2">
      <c r="A46" s="2009"/>
      <c r="B46" s="2011"/>
      <c r="C46" s="2011"/>
      <c r="D46" s="2011"/>
      <c r="E46" s="2011"/>
      <c r="F46" s="405" t="s">
        <v>129</v>
      </c>
      <c r="G46" s="405" t="s">
        <v>124</v>
      </c>
      <c r="H46" s="1794" t="s">
        <v>2165</v>
      </c>
      <c r="I46" s="2013"/>
    </row>
    <row r="47" spans="1:9" x14ac:dyDescent="0.2">
      <c r="A47" s="2014" t="s">
        <v>2182</v>
      </c>
      <c r="B47" s="2015"/>
      <c r="C47" s="764">
        <f>SUM(C48:C48)</f>
        <v>15474</v>
      </c>
      <c r="D47" s="764">
        <f>SUM(D48:D48)</f>
        <v>12738</v>
      </c>
      <c r="E47" s="764">
        <f>SUM(E48:E48)</f>
        <v>0</v>
      </c>
      <c r="F47" s="764"/>
      <c r="G47" s="764">
        <f>SUM(G48:G48)</f>
        <v>0</v>
      </c>
      <c r="H47" s="1012">
        <f>SUM(H48:H48)</f>
        <v>0</v>
      </c>
      <c r="I47" s="765"/>
    </row>
    <row r="48" spans="1:9" x14ac:dyDescent="0.2">
      <c r="A48" s="786">
        <v>1</v>
      </c>
      <c r="B48" s="787" t="s">
        <v>1332</v>
      </c>
      <c r="C48" s="771">
        <v>15474</v>
      </c>
      <c r="D48" s="771">
        <v>12738</v>
      </c>
      <c r="E48" s="771">
        <v>0</v>
      </c>
      <c r="F48" s="770">
        <v>5250</v>
      </c>
      <c r="G48" s="788"/>
      <c r="H48" s="809">
        <f>ROUNDUP(G48/0.702804,0)</f>
        <v>0</v>
      </c>
      <c r="I48" s="789"/>
    </row>
    <row r="49" spans="1:9" x14ac:dyDescent="0.2">
      <c r="A49" s="2016" t="s">
        <v>2170</v>
      </c>
      <c r="B49" s="2017"/>
      <c r="C49" s="326">
        <f>C47+C35+C14</f>
        <v>1083578</v>
      </c>
      <c r="D49" s="326">
        <f>D47+D35+D14</f>
        <v>1069121.17</v>
      </c>
      <c r="E49" s="326">
        <f>E47+E35+E14</f>
        <v>1090994</v>
      </c>
      <c r="F49" s="326"/>
      <c r="G49" s="326">
        <f>G47+G35+G14</f>
        <v>1081109</v>
      </c>
      <c r="H49" s="326">
        <f>H47+H35+H14</f>
        <v>1538291</v>
      </c>
      <c r="I49" s="688"/>
    </row>
    <row r="50" spans="1:9" x14ac:dyDescent="0.2">
      <c r="A50" s="775"/>
      <c r="B50" s="775"/>
      <c r="C50" s="485"/>
      <c r="D50" s="485"/>
      <c r="E50" s="485"/>
      <c r="F50" s="485"/>
      <c r="G50" s="485"/>
      <c r="H50" s="485"/>
      <c r="I50" s="443"/>
    </row>
    <row r="51" spans="1:9" x14ac:dyDescent="0.2">
      <c r="A51" s="775"/>
      <c r="B51" s="775"/>
      <c r="C51" s="485"/>
      <c r="D51" s="485"/>
      <c r="E51" s="485"/>
      <c r="F51" s="485"/>
      <c r="G51" s="485"/>
      <c r="H51" s="485"/>
      <c r="I51" s="443"/>
    </row>
    <row r="52" spans="1:9" x14ac:dyDescent="0.2">
      <c r="C52" s="225"/>
      <c r="F52" s="225"/>
    </row>
  </sheetData>
  <sheetProtection password="CA5B" sheet="1" objects="1" scenarios="1"/>
  <mergeCells count="33">
    <mergeCell ref="D12:D13"/>
    <mergeCell ref="E12:E13"/>
    <mergeCell ref="F1:I3"/>
    <mergeCell ref="A7:I7"/>
    <mergeCell ref="C9:I9"/>
    <mergeCell ref="C10:I10"/>
    <mergeCell ref="C11:I11"/>
    <mergeCell ref="I12:I13"/>
    <mergeCell ref="I33:I34"/>
    <mergeCell ref="A14:B14"/>
    <mergeCell ref="A15:A17"/>
    <mergeCell ref="B15:B17"/>
    <mergeCell ref="A18:A22"/>
    <mergeCell ref="B18:B22"/>
    <mergeCell ref="C32:I32"/>
    <mergeCell ref="A33:A34"/>
    <mergeCell ref="B33:B34"/>
    <mergeCell ref="C33:C34"/>
    <mergeCell ref="D33:D34"/>
    <mergeCell ref="E33:E34"/>
    <mergeCell ref="A12:A13"/>
    <mergeCell ref="B12:B13"/>
    <mergeCell ref="C12:C13"/>
    <mergeCell ref="A47:B47"/>
    <mergeCell ref="A49:B49"/>
    <mergeCell ref="A35:B35"/>
    <mergeCell ref="C44:I44"/>
    <mergeCell ref="A45:A46"/>
    <mergeCell ref="B45:B46"/>
    <mergeCell ref="C45:C46"/>
    <mergeCell ref="D45:D46"/>
    <mergeCell ref="E45:E46"/>
    <mergeCell ref="I45:I46"/>
  </mergeCells>
  <pageMargins left="0.98425196850393704" right="0.39370078740157483" top="0.39370078740157483" bottom="0.59055118110236227" header="0.51181102362204722" footer="0.51181102362204722"/>
  <pageSetup paperSize="9" scale="70" orientation="portrait" r:id="rId1"/>
  <headerFooter alignWithMargins="0">
    <oddFooter xml:space="preserve">&amp;R&amp;"Times New Roman,Regular"&amp;8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8"/>
  <sheetViews>
    <sheetView zoomScaleNormal="100" workbookViewId="0">
      <selection activeCell="L12" sqref="L12"/>
    </sheetView>
  </sheetViews>
  <sheetFormatPr defaultRowHeight="12" x14ac:dyDescent="0.2"/>
  <cols>
    <col min="1" max="1" width="6.140625" style="225" customWidth="1"/>
    <col min="2" max="2" width="33.5703125" style="225" customWidth="1"/>
    <col min="3" max="3" width="11.85546875" style="225" customWidth="1"/>
    <col min="4" max="4" width="11.140625" style="225" customWidth="1"/>
    <col min="5" max="5" width="10.28515625" style="225" customWidth="1"/>
    <col min="6" max="6" width="10.5703125" style="225" customWidth="1"/>
    <col min="7" max="7" width="9.140625" style="225" hidden="1" customWidth="1"/>
    <col min="8" max="8" width="9.140625" style="225" customWidth="1"/>
    <col min="9" max="9" width="23.28515625" style="225" customWidth="1"/>
    <col min="10" max="252" width="9.140625" style="225"/>
    <col min="253" max="253" width="6.140625" style="225" customWidth="1"/>
    <col min="254" max="254" width="33.5703125" style="225" customWidth="1"/>
    <col min="255" max="255" width="11.85546875" style="225" customWidth="1"/>
    <col min="256" max="256" width="11.140625" style="225" customWidth="1"/>
    <col min="257" max="257" width="10.28515625" style="225" customWidth="1"/>
    <col min="258" max="258" width="10.5703125" style="225" customWidth="1"/>
    <col min="259" max="260" width="9.140625" style="225" customWidth="1"/>
    <col min="261" max="261" width="23.28515625" style="225" customWidth="1"/>
    <col min="262" max="508" width="9.140625" style="225"/>
    <col min="509" max="509" width="6.140625" style="225" customWidth="1"/>
    <col min="510" max="510" width="33.5703125" style="225" customWidth="1"/>
    <col min="511" max="511" width="11.85546875" style="225" customWidth="1"/>
    <col min="512" max="512" width="11.140625" style="225" customWidth="1"/>
    <col min="513" max="513" width="10.28515625" style="225" customWidth="1"/>
    <col min="514" max="514" width="10.5703125" style="225" customWidth="1"/>
    <col min="515" max="516" width="9.140625" style="225" customWidth="1"/>
    <col min="517" max="517" width="23.28515625" style="225" customWidth="1"/>
    <col min="518" max="764" width="9.140625" style="225"/>
    <col min="765" max="765" width="6.140625" style="225" customWidth="1"/>
    <col min="766" max="766" width="33.5703125" style="225" customWidth="1"/>
    <col min="767" max="767" width="11.85546875" style="225" customWidth="1"/>
    <col min="768" max="768" width="11.140625" style="225" customWidth="1"/>
    <col min="769" max="769" width="10.28515625" style="225" customWidth="1"/>
    <col min="770" max="770" width="10.5703125" style="225" customWidth="1"/>
    <col min="771" max="772" width="9.140625" style="225" customWidth="1"/>
    <col min="773" max="773" width="23.28515625" style="225" customWidth="1"/>
    <col min="774" max="1020" width="9.140625" style="225"/>
    <col min="1021" max="1021" width="6.140625" style="225" customWidth="1"/>
    <col min="1022" max="1022" width="33.5703125" style="225" customWidth="1"/>
    <col min="1023" max="1023" width="11.85546875" style="225" customWidth="1"/>
    <col min="1024" max="1024" width="11.140625" style="225" customWidth="1"/>
    <col min="1025" max="1025" width="10.28515625" style="225" customWidth="1"/>
    <col min="1026" max="1026" width="10.5703125" style="225" customWidth="1"/>
    <col min="1027" max="1028" width="9.140625" style="225" customWidth="1"/>
    <col min="1029" max="1029" width="23.28515625" style="225" customWidth="1"/>
    <col min="1030" max="1276" width="9.140625" style="225"/>
    <col min="1277" max="1277" width="6.140625" style="225" customWidth="1"/>
    <col min="1278" max="1278" width="33.5703125" style="225" customWidth="1"/>
    <col min="1279" max="1279" width="11.85546875" style="225" customWidth="1"/>
    <col min="1280" max="1280" width="11.140625" style="225" customWidth="1"/>
    <col min="1281" max="1281" width="10.28515625" style="225" customWidth="1"/>
    <col min="1282" max="1282" width="10.5703125" style="225" customWidth="1"/>
    <col min="1283" max="1284" width="9.140625" style="225" customWidth="1"/>
    <col min="1285" max="1285" width="23.28515625" style="225" customWidth="1"/>
    <col min="1286" max="1532" width="9.140625" style="225"/>
    <col min="1533" max="1533" width="6.140625" style="225" customWidth="1"/>
    <col min="1534" max="1534" width="33.5703125" style="225" customWidth="1"/>
    <col min="1535" max="1535" width="11.85546875" style="225" customWidth="1"/>
    <col min="1536" max="1536" width="11.140625" style="225" customWidth="1"/>
    <col min="1537" max="1537" width="10.28515625" style="225" customWidth="1"/>
    <col min="1538" max="1538" width="10.5703125" style="225" customWidth="1"/>
    <col min="1539" max="1540" width="9.140625" style="225" customWidth="1"/>
    <col min="1541" max="1541" width="23.28515625" style="225" customWidth="1"/>
    <col min="1542" max="1788" width="9.140625" style="225"/>
    <col min="1789" max="1789" width="6.140625" style="225" customWidth="1"/>
    <col min="1790" max="1790" width="33.5703125" style="225" customWidth="1"/>
    <col min="1791" max="1791" width="11.85546875" style="225" customWidth="1"/>
    <col min="1792" max="1792" width="11.140625" style="225" customWidth="1"/>
    <col min="1793" max="1793" width="10.28515625" style="225" customWidth="1"/>
    <col min="1794" max="1794" width="10.5703125" style="225" customWidth="1"/>
    <col min="1795" max="1796" width="9.140625" style="225" customWidth="1"/>
    <col min="1797" max="1797" width="23.28515625" style="225" customWidth="1"/>
    <col min="1798" max="2044" width="9.140625" style="225"/>
    <col min="2045" max="2045" width="6.140625" style="225" customWidth="1"/>
    <col min="2046" max="2046" width="33.5703125" style="225" customWidth="1"/>
    <col min="2047" max="2047" width="11.85546875" style="225" customWidth="1"/>
    <col min="2048" max="2048" width="11.140625" style="225" customWidth="1"/>
    <col min="2049" max="2049" width="10.28515625" style="225" customWidth="1"/>
    <col min="2050" max="2050" width="10.5703125" style="225" customWidth="1"/>
    <col min="2051" max="2052" width="9.140625" style="225" customWidth="1"/>
    <col min="2053" max="2053" width="23.28515625" style="225" customWidth="1"/>
    <col min="2054" max="2300" width="9.140625" style="225"/>
    <col min="2301" max="2301" width="6.140625" style="225" customWidth="1"/>
    <col min="2302" max="2302" width="33.5703125" style="225" customWidth="1"/>
    <col min="2303" max="2303" width="11.85546875" style="225" customWidth="1"/>
    <col min="2304" max="2304" width="11.140625" style="225" customWidth="1"/>
    <col min="2305" max="2305" width="10.28515625" style="225" customWidth="1"/>
    <col min="2306" max="2306" width="10.5703125" style="225" customWidth="1"/>
    <col min="2307" max="2308" width="9.140625" style="225" customWidth="1"/>
    <col min="2309" max="2309" width="23.28515625" style="225" customWidth="1"/>
    <col min="2310" max="2556" width="9.140625" style="225"/>
    <col min="2557" max="2557" width="6.140625" style="225" customWidth="1"/>
    <col min="2558" max="2558" width="33.5703125" style="225" customWidth="1"/>
    <col min="2559" max="2559" width="11.85546875" style="225" customWidth="1"/>
    <col min="2560" max="2560" width="11.140625" style="225" customWidth="1"/>
    <col min="2561" max="2561" width="10.28515625" style="225" customWidth="1"/>
    <col min="2562" max="2562" width="10.5703125" style="225" customWidth="1"/>
    <col min="2563" max="2564" width="9.140625" style="225" customWidth="1"/>
    <col min="2565" max="2565" width="23.28515625" style="225" customWidth="1"/>
    <col min="2566" max="2812" width="9.140625" style="225"/>
    <col min="2813" max="2813" width="6.140625" style="225" customWidth="1"/>
    <col min="2814" max="2814" width="33.5703125" style="225" customWidth="1"/>
    <col min="2815" max="2815" width="11.85546875" style="225" customWidth="1"/>
    <col min="2816" max="2816" width="11.140625" style="225" customWidth="1"/>
    <col min="2817" max="2817" width="10.28515625" style="225" customWidth="1"/>
    <col min="2818" max="2818" width="10.5703125" style="225" customWidth="1"/>
    <col min="2819" max="2820" width="9.140625" style="225" customWidth="1"/>
    <col min="2821" max="2821" width="23.28515625" style="225" customWidth="1"/>
    <col min="2822" max="3068" width="9.140625" style="225"/>
    <col min="3069" max="3069" width="6.140625" style="225" customWidth="1"/>
    <col min="3070" max="3070" width="33.5703125" style="225" customWidth="1"/>
    <col min="3071" max="3071" width="11.85546875" style="225" customWidth="1"/>
    <col min="3072" max="3072" width="11.140625" style="225" customWidth="1"/>
    <col min="3073" max="3073" width="10.28515625" style="225" customWidth="1"/>
    <col min="3074" max="3074" width="10.5703125" style="225" customWidth="1"/>
    <col min="3075" max="3076" width="9.140625" style="225" customWidth="1"/>
    <col min="3077" max="3077" width="23.28515625" style="225" customWidth="1"/>
    <col min="3078" max="3324" width="9.140625" style="225"/>
    <col min="3325" max="3325" width="6.140625" style="225" customWidth="1"/>
    <col min="3326" max="3326" width="33.5703125" style="225" customWidth="1"/>
    <col min="3327" max="3327" width="11.85546875" style="225" customWidth="1"/>
    <col min="3328" max="3328" width="11.140625" style="225" customWidth="1"/>
    <col min="3329" max="3329" width="10.28515625" style="225" customWidth="1"/>
    <col min="3330" max="3330" width="10.5703125" style="225" customWidth="1"/>
    <col min="3331" max="3332" width="9.140625" style="225" customWidth="1"/>
    <col min="3333" max="3333" width="23.28515625" style="225" customWidth="1"/>
    <col min="3334" max="3580" width="9.140625" style="225"/>
    <col min="3581" max="3581" width="6.140625" style="225" customWidth="1"/>
    <col min="3582" max="3582" width="33.5703125" style="225" customWidth="1"/>
    <col min="3583" max="3583" width="11.85546875" style="225" customWidth="1"/>
    <col min="3584" max="3584" width="11.140625" style="225" customWidth="1"/>
    <col min="3585" max="3585" width="10.28515625" style="225" customWidth="1"/>
    <col min="3586" max="3586" width="10.5703125" style="225" customWidth="1"/>
    <col min="3587" max="3588" width="9.140625" style="225" customWidth="1"/>
    <col min="3589" max="3589" width="23.28515625" style="225" customWidth="1"/>
    <col min="3590" max="3836" width="9.140625" style="225"/>
    <col min="3837" max="3837" width="6.140625" style="225" customWidth="1"/>
    <col min="3838" max="3838" width="33.5703125" style="225" customWidth="1"/>
    <col min="3839" max="3839" width="11.85546875" style="225" customWidth="1"/>
    <col min="3840" max="3840" width="11.140625" style="225" customWidth="1"/>
    <col min="3841" max="3841" width="10.28515625" style="225" customWidth="1"/>
    <col min="3842" max="3842" width="10.5703125" style="225" customWidth="1"/>
    <col min="3843" max="3844" width="9.140625" style="225" customWidth="1"/>
    <col min="3845" max="3845" width="23.28515625" style="225" customWidth="1"/>
    <col min="3846" max="4092" width="9.140625" style="225"/>
    <col min="4093" max="4093" width="6.140625" style="225" customWidth="1"/>
    <col min="4094" max="4094" width="33.5703125" style="225" customWidth="1"/>
    <col min="4095" max="4095" width="11.85546875" style="225" customWidth="1"/>
    <col min="4096" max="4096" width="11.140625" style="225" customWidth="1"/>
    <col min="4097" max="4097" width="10.28515625" style="225" customWidth="1"/>
    <col min="4098" max="4098" width="10.5703125" style="225" customWidth="1"/>
    <col min="4099" max="4100" width="9.140625" style="225" customWidth="1"/>
    <col min="4101" max="4101" width="23.28515625" style="225" customWidth="1"/>
    <col min="4102" max="4348" width="9.140625" style="225"/>
    <col min="4349" max="4349" width="6.140625" style="225" customWidth="1"/>
    <col min="4350" max="4350" width="33.5703125" style="225" customWidth="1"/>
    <col min="4351" max="4351" width="11.85546875" style="225" customWidth="1"/>
    <col min="4352" max="4352" width="11.140625" style="225" customWidth="1"/>
    <col min="4353" max="4353" width="10.28515625" style="225" customWidth="1"/>
    <col min="4354" max="4354" width="10.5703125" style="225" customWidth="1"/>
    <col min="4355" max="4356" width="9.140625" style="225" customWidth="1"/>
    <col min="4357" max="4357" width="23.28515625" style="225" customWidth="1"/>
    <col min="4358" max="4604" width="9.140625" style="225"/>
    <col min="4605" max="4605" width="6.140625" style="225" customWidth="1"/>
    <col min="4606" max="4606" width="33.5703125" style="225" customWidth="1"/>
    <col min="4607" max="4607" width="11.85546875" style="225" customWidth="1"/>
    <col min="4608" max="4608" width="11.140625" style="225" customWidth="1"/>
    <col min="4609" max="4609" width="10.28515625" style="225" customWidth="1"/>
    <col min="4610" max="4610" width="10.5703125" style="225" customWidth="1"/>
    <col min="4611" max="4612" width="9.140625" style="225" customWidth="1"/>
    <col min="4613" max="4613" width="23.28515625" style="225" customWidth="1"/>
    <col min="4614" max="4860" width="9.140625" style="225"/>
    <col min="4861" max="4861" width="6.140625" style="225" customWidth="1"/>
    <col min="4862" max="4862" width="33.5703125" style="225" customWidth="1"/>
    <col min="4863" max="4863" width="11.85546875" style="225" customWidth="1"/>
    <col min="4864" max="4864" width="11.140625" style="225" customWidth="1"/>
    <col min="4865" max="4865" width="10.28515625" style="225" customWidth="1"/>
    <col min="4866" max="4866" width="10.5703125" style="225" customWidth="1"/>
    <col min="4867" max="4868" width="9.140625" style="225" customWidth="1"/>
    <col min="4869" max="4869" width="23.28515625" style="225" customWidth="1"/>
    <col min="4870" max="5116" width="9.140625" style="225"/>
    <col min="5117" max="5117" width="6.140625" style="225" customWidth="1"/>
    <col min="5118" max="5118" width="33.5703125" style="225" customWidth="1"/>
    <col min="5119" max="5119" width="11.85546875" style="225" customWidth="1"/>
    <col min="5120" max="5120" width="11.140625" style="225" customWidth="1"/>
    <col min="5121" max="5121" width="10.28515625" style="225" customWidth="1"/>
    <col min="5122" max="5122" width="10.5703125" style="225" customWidth="1"/>
    <col min="5123" max="5124" width="9.140625" style="225" customWidth="1"/>
    <col min="5125" max="5125" width="23.28515625" style="225" customWidth="1"/>
    <col min="5126" max="5372" width="9.140625" style="225"/>
    <col min="5373" max="5373" width="6.140625" style="225" customWidth="1"/>
    <col min="5374" max="5374" width="33.5703125" style="225" customWidth="1"/>
    <col min="5375" max="5375" width="11.85546875" style="225" customWidth="1"/>
    <col min="5376" max="5376" width="11.140625" style="225" customWidth="1"/>
    <col min="5377" max="5377" width="10.28515625" style="225" customWidth="1"/>
    <col min="5378" max="5378" width="10.5703125" style="225" customWidth="1"/>
    <col min="5379" max="5380" width="9.140625" style="225" customWidth="1"/>
    <col min="5381" max="5381" width="23.28515625" style="225" customWidth="1"/>
    <col min="5382" max="5628" width="9.140625" style="225"/>
    <col min="5629" max="5629" width="6.140625" style="225" customWidth="1"/>
    <col min="5630" max="5630" width="33.5703125" style="225" customWidth="1"/>
    <col min="5631" max="5631" width="11.85546875" style="225" customWidth="1"/>
    <col min="5632" max="5632" width="11.140625" style="225" customWidth="1"/>
    <col min="5633" max="5633" width="10.28515625" style="225" customWidth="1"/>
    <col min="5634" max="5634" width="10.5703125" style="225" customWidth="1"/>
    <col min="5635" max="5636" width="9.140625" style="225" customWidth="1"/>
    <col min="5637" max="5637" width="23.28515625" style="225" customWidth="1"/>
    <col min="5638" max="5884" width="9.140625" style="225"/>
    <col min="5885" max="5885" width="6.140625" style="225" customWidth="1"/>
    <col min="5886" max="5886" width="33.5703125" style="225" customWidth="1"/>
    <col min="5887" max="5887" width="11.85546875" style="225" customWidth="1"/>
    <col min="5888" max="5888" width="11.140625" style="225" customWidth="1"/>
    <col min="5889" max="5889" width="10.28515625" style="225" customWidth="1"/>
    <col min="5890" max="5890" width="10.5703125" style="225" customWidth="1"/>
    <col min="5891" max="5892" width="9.140625" style="225" customWidth="1"/>
    <col min="5893" max="5893" width="23.28515625" style="225" customWidth="1"/>
    <col min="5894" max="6140" width="9.140625" style="225"/>
    <col min="6141" max="6141" width="6.140625" style="225" customWidth="1"/>
    <col min="6142" max="6142" width="33.5703125" style="225" customWidth="1"/>
    <col min="6143" max="6143" width="11.85546875" style="225" customWidth="1"/>
    <col min="6144" max="6144" width="11.140625" style="225" customWidth="1"/>
    <col min="6145" max="6145" width="10.28515625" style="225" customWidth="1"/>
    <col min="6146" max="6146" width="10.5703125" style="225" customWidth="1"/>
    <col min="6147" max="6148" width="9.140625" style="225" customWidth="1"/>
    <col min="6149" max="6149" width="23.28515625" style="225" customWidth="1"/>
    <col min="6150" max="6396" width="9.140625" style="225"/>
    <col min="6397" max="6397" width="6.140625" style="225" customWidth="1"/>
    <col min="6398" max="6398" width="33.5703125" style="225" customWidth="1"/>
    <col min="6399" max="6399" width="11.85546875" style="225" customWidth="1"/>
    <col min="6400" max="6400" width="11.140625" style="225" customWidth="1"/>
    <col min="6401" max="6401" width="10.28515625" style="225" customWidth="1"/>
    <col min="6402" max="6402" width="10.5703125" style="225" customWidth="1"/>
    <col min="6403" max="6404" width="9.140625" style="225" customWidth="1"/>
    <col min="6405" max="6405" width="23.28515625" style="225" customWidth="1"/>
    <col min="6406" max="6652" width="9.140625" style="225"/>
    <col min="6653" max="6653" width="6.140625" style="225" customWidth="1"/>
    <col min="6654" max="6654" width="33.5703125" style="225" customWidth="1"/>
    <col min="6655" max="6655" width="11.85546875" style="225" customWidth="1"/>
    <col min="6656" max="6656" width="11.140625" style="225" customWidth="1"/>
    <col min="6657" max="6657" width="10.28515625" style="225" customWidth="1"/>
    <col min="6658" max="6658" width="10.5703125" style="225" customWidth="1"/>
    <col min="6659" max="6660" width="9.140625" style="225" customWidth="1"/>
    <col min="6661" max="6661" width="23.28515625" style="225" customWidth="1"/>
    <col min="6662" max="6908" width="9.140625" style="225"/>
    <col min="6909" max="6909" width="6.140625" style="225" customWidth="1"/>
    <col min="6910" max="6910" width="33.5703125" style="225" customWidth="1"/>
    <col min="6911" max="6911" width="11.85546875" style="225" customWidth="1"/>
    <col min="6912" max="6912" width="11.140625" style="225" customWidth="1"/>
    <col min="6913" max="6913" width="10.28515625" style="225" customWidth="1"/>
    <col min="6914" max="6914" width="10.5703125" style="225" customWidth="1"/>
    <col min="6915" max="6916" width="9.140625" style="225" customWidth="1"/>
    <col min="6917" max="6917" width="23.28515625" style="225" customWidth="1"/>
    <col min="6918" max="7164" width="9.140625" style="225"/>
    <col min="7165" max="7165" width="6.140625" style="225" customWidth="1"/>
    <col min="7166" max="7166" width="33.5703125" style="225" customWidth="1"/>
    <col min="7167" max="7167" width="11.85546875" style="225" customWidth="1"/>
    <col min="7168" max="7168" width="11.140625" style="225" customWidth="1"/>
    <col min="7169" max="7169" width="10.28515625" style="225" customWidth="1"/>
    <col min="7170" max="7170" width="10.5703125" style="225" customWidth="1"/>
    <col min="7171" max="7172" width="9.140625" style="225" customWidth="1"/>
    <col min="7173" max="7173" width="23.28515625" style="225" customWidth="1"/>
    <col min="7174" max="7420" width="9.140625" style="225"/>
    <col min="7421" max="7421" width="6.140625" style="225" customWidth="1"/>
    <col min="7422" max="7422" width="33.5703125" style="225" customWidth="1"/>
    <col min="7423" max="7423" width="11.85546875" style="225" customWidth="1"/>
    <col min="7424" max="7424" width="11.140625" style="225" customWidth="1"/>
    <col min="7425" max="7425" width="10.28515625" style="225" customWidth="1"/>
    <col min="7426" max="7426" width="10.5703125" style="225" customWidth="1"/>
    <col min="7427" max="7428" width="9.140625" style="225" customWidth="1"/>
    <col min="7429" max="7429" width="23.28515625" style="225" customWidth="1"/>
    <col min="7430" max="7676" width="9.140625" style="225"/>
    <col min="7677" max="7677" width="6.140625" style="225" customWidth="1"/>
    <col min="7678" max="7678" width="33.5703125" style="225" customWidth="1"/>
    <col min="7679" max="7679" width="11.85546875" style="225" customWidth="1"/>
    <col min="7680" max="7680" width="11.140625" style="225" customWidth="1"/>
    <col min="7681" max="7681" width="10.28515625" style="225" customWidth="1"/>
    <col min="7682" max="7682" width="10.5703125" style="225" customWidth="1"/>
    <col min="7683" max="7684" width="9.140625" style="225" customWidth="1"/>
    <col min="7685" max="7685" width="23.28515625" style="225" customWidth="1"/>
    <col min="7686" max="7932" width="9.140625" style="225"/>
    <col min="7933" max="7933" width="6.140625" style="225" customWidth="1"/>
    <col min="7934" max="7934" width="33.5703125" style="225" customWidth="1"/>
    <col min="7935" max="7935" width="11.85546875" style="225" customWidth="1"/>
    <col min="7936" max="7936" width="11.140625" style="225" customWidth="1"/>
    <col min="7937" max="7937" width="10.28515625" style="225" customWidth="1"/>
    <col min="7938" max="7938" width="10.5703125" style="225" customWidth="1"/>
    <col min="7939" max="7940" width="9.140625" style="225" customWidth="1"/>
    <col min="7941" max="7941" width="23.28515625" style="225" customWidth="1"/>
    <col min="7942" max="8188" width="9.140625" style="225"/>
    <col min="8189" max="8189" width="6.140625" style="225" customWidth="1"/>
    <col min="8190" max="8190" width="33.5703125" style="225" customWidth="1"/>
    <col min="8191" max="8191" width="11.85546875" style="225" customWidth="1"/>
    <col min="8192" max="8192" width="11.140625" style="225" customWidth="1"/>
    <col min="8193" max="8193" width="10.28515625" style="225" customWidth="1"/>
    <col min="8194" max="8194" width="10.5703125" style="225" customWidth="1"/>
    <col min="8195" max="8196" width="9.140625" style="225" customWidth="1"/>
    <col min="8197" max="8197" width="23.28515625" style="225" customWidth="1"/>
    <col min="8198" max="8444" width="9.140625" style="225"/>
    <col min="8445" max="8445" width="6.140625" style="225" customWidth="1"/>
    <col min="8446" max="8446" width="33.5703125" style="225" customWidth="1"/>
    <col min="8447" max="8447" width="11.85546875" style="225" customWidth="1"/>
    <col min="8448" max="8448" width="11.140625" style="225" customWidth="1"/>
    <col min="8449" max="8449" width="10.28515625" style="225" customWidth="1"/>
    <col min="8450" max="8450" width="10.5703125" style="225" customWidth="1"/>
    <col min="8451" max="8452" width="9.140625" style="225" customWidth="1"/>
    <col min="8453" max="8453" width="23.28515625" style="225" customWidth="1"/>
    <col min="8454" max="8700" width="9.140625" style="225"/>
    <col min="8701" max="8701" width="6.140625" style="225" customWidth="1"/>
    <col min="8702" max="8702" width="33.5703125" style="225" customWidth="1"/>
    <col min="8703" max="8703" width="11.85546875" style="225" customWidth="1"/>
    <col min="8704" max="8704" width="11.140625" style="225" customWidth="1"/>
    <col min="8705" max="8705" width="10.28515625" style="225" customWidth="1"/>
    <col min="8706" max="8706" width="10.5703125" style="225" customWidth="1"/>
    <col min="8707" max="8708" width="9.140625" style="225" customWidth="1"/>
    <col min="8709" max="8709" width="23.28515625" style="225" customWidth="1"/>
    <col min="8710" max="8956" width="9.140625" style="225"/>
    <col min="8957" max="8957" width="6.140625" style="225" customWidth="1"/>
    <col min="8958" max="8958" width="33.5703125" style="225" customWidth="1"/>
    <col min="8959" max="8959" width="11.85546875" style="225" customWidth="1"/>
    <col min="8960" max="8960" width="11.140625" style="225" customWidth="1"/>
    <col min="8961" max="8961" width="10.28515625" style="225" customWidth="1"/>
    <col min="8962" max="8962" width="10.5703125" style="225" customWidth="1"/>
    <col min="8963" max="8964" width="9.140625" style="225" customWidth="1"/>
    <col min="8965" max="8965" width="23.28515625" style="225" customWidth="1"/>
    <col min="8966" max="9212" width="9.140625" style="225"/>
    <col min="9213" max="9213" width="6.140625" style="225" customWidth="1"/>
    <col min="9214" max="9214" width="33.5703125" style="225" customWidth="1"/>
    <col min="9215" max="9215" width="11.85546875" style="225" customWidth="1"/>
    <col min="9216" max="9216" width="11.140625" style="225" customWidth="1"/>
    <col min="9217" max="9217" width="10.28515625" style="225" customWidth="1"/>
    <col min="9218" max="9218" width="10.5703125" style="225" customWidth="1"/>
    <col min="9219" max="9220" width="9.140625" style="225" customWidth="1"/>
    <col min="9221" max="9221" width="23.28515625" style="225" customWidth="1"/>
    <col min="9222" max="9468" width="9.140625" style="225"/>
    <col min="9469" max="9469" width="6.140625" style="225" customWidth="1"/>
    <col min="9470" max="9470" width="33.5703125" style="225" customWidth="1"/>
    <col min="9471" max="9471" width="11.85546875" style="225" customWidth="1"/>
    <col min="9472" max="9472" width="11.140625" style="225" customWidth="1"/>
    <col min="9473" max="9473" width="10.28515625" style="225" customWidth="1"/>
    <col min="9474" max="9474" width="10.5703125" style="225" customWidth="1"/>
    <col min="9475" max="9476" width="9.140625" style="225" customWidth="1"/>
    <col min="9477" max="9477" width="23.28515625" style="225" customWidth="1"/>
    <col min="9478" max="9724" width="9.140625" style="225"/>
    <col min="9725" max="9725" width="6.140625" style="225" customWidth="1"/>
    <col min="9726" max="9726" width="33.5703125" style="225" customWidth="1"/>
    <col min="9727" max="9727" width="11.85546875" style="225" customWidth="1"/>
    <col min="9728" max="9728" width="11.140625" style="225" customWidth="1"/>
    <col min="9729" max="9729" width="10.28515625" style="225" customWidth="1"/>
    <col min="9730" max="9730" width="10.5703125" style="225" customWidth="1"/>
    <col min="9731" max="9732" width="9.140625" style="225" customWidth="1"/>
    <col min="9733" max="9733" width="23.28515625" style="225" customWidth="1"/>
    <col min="9734" max="9980" width="9.140625" style="225"/>
    <col min="9981" max="9981" width="6.140625" style="225" customWidth="1"/>
    <col min="9982" max="9982" width="33.5703125" style="225" customWidth="1"/>
    <col min="9983" max="9983" width="11.85546875" style="225" customWidth="1"/>
    <col min="9984" max="9984" width="11.140625" style="225" customWidth="1"/>
    <col min="9985" max="9985" width="10.28515625" style="225" customWidth="1"/>
    <col min="9986" max="9986" width="10.5703125" style="225" customWidth="1"/>
    <col min="9987" max="9988" width="9.140625" style="225" customWidth="1"/>
    <col min="9989" max="9989" width="23.28515625" style="225" customWidth="1"/>
    <col min="9990" max="10236" width="9.140625" style="225"/>
    <col min="10237" max="10237" width="6.140625" style="225" customWidth="1"/>
    <col min="10238" max="10238" width="33.5703125" style="225" customWidth="1"/>
    <col min="10239" max="10239" width="11.85546875" style="225" customWidth="1"/>
    <col min="10240" max="10240" width="11.140625" style="225" customWidth="1"/>
    <col min="10241" max="10241" width="10.28515625" style="225" customWidth="1"/>
    <col min="10242" max="10242" width="10.5703125" style="225" customWidth="1"/>
    <col min="10243" max="10244" width="9.140625" style="225" customWidth="1"/>
    <col min="10245" max="10245" width="23.28515625" style="225" customWidth="1"/>
    <col min="10246" max="10492" width="9.140625" style="225"/>
    <col min="10493" max="10493" width="6.140625" style="225" customWidth="1"/>
    <col min="10494" max="10494" width="33.5703125" style="225" customWidth="1"/>
    <col min="10495" max="10495" width="11.85546875" style="225" customWidth="1"/>
    <col min="10496" max="10496" width="11.140625" style="225" customWidth="1"/>
    <col min="10497" max="10497" width="10.28515625" style="225" customWidth="1"/>
    <col min="10498" max="10498" width="10.5703125" style="225" customWidth="1"/>
    <col min="10499" max="10500" width="9.140625" style="225" customWidth="1"/>
    <col min="10501" max="10501" width="23.28515625" style="225" customWidth="1"/>
    <col min="10502" max="10748" width="9.140625" style="225"/>
    <col min="10749" max="10749" width="6.140625" style="225" customWidth="1"/>
    <col min="10750" max="10750" width="33.5703125" style="225" customWidth="1"/>
    <col min="10751" max="10751" width="11.85546875" style="225" customWidth="1"/>
    <col min="10752" max="10752" width="11.140625" style="225" customWidth="1"/>
    <col min="10753" max="10753" width="10.28515625" style="225" customWidth="1"/>
    <col min="10754" max="10754" width="10.5703125" style="225" customWidth="1"/>
    <col min="10755" max="10756" width="9.140625" style="225" customWidth="1"/>
    <col min="10757" max="10757" width="23.28515625" style="225" customWidth="1"/>
    <col min="10758" max="11004" width="9.140625" style="225"/>
    <col min="11005" max="11005" width="6.140625" style="225" customWidth="1"/>
    <col min="11006" max="11006" width="33.5703125" style="225" customWidth="1"/>
    <col min="11007" max="11007" width="11.85546875" style="225" customWidth="1"/>
    <col min="11008" max="11008" width="11.140625" style="225" customWidth="1"/>
    <col min="11009" max="11009" width="10.28515625" style="225" customWidth="1"/>
    <col min="11010" max="11010" width="10.5703125" style="225" customWidth="1"/>
    <col min="11011" max="11012" width="9.140625" style="225" customWidth="1"/>
    <col min="11013" max="11013" width="23.28515625" style="225" customWidth="1"/>
    <col min="11014" max="11260" width="9.140625" style="225"/>
    <col min="11261" max="11261" width="6.140625" style="225" customWidth="1"/>
    <col min="11262" max="11262" width="33.5703125" style="225" customWidth="1"/>
    <col min="11263" max="11263" width="11.85546875" style="225" customWidth="1"/>
    <col min="11264" max="11264" width="11.140625" style="225" customWidth="1"/>
    <col min="11265" max="11265" width="10.28515625" style="225" customWidth="1"/>
    <col min="11266" max="11266" width="10.5703125" style="225" customWidth="1"/>
    <col min="11267" max="11268" width="9.140625" style="225" customWidth="1"/>
    <col min="11269" max="11269" width="23.28515625" style="225" customWidth="1"/>
    <col min="11270" max="11516" width="9.140625" style="225"/>
    <col min="11517" max="11517" width="6.140625" style="225" customWidth="1"/>
    <col min="11518" max="11518" width="33.5703125" style="225" customWidth="1"/>
    <col min="11519" max="11519" width="11.85546875" style="225" customWidth="1"/>
    <col min="11520" max="11520" width="11.140625" style="225" customWidth="1"/>
    <col min="11521" max="11521" width="10.28515625" style="225" customWidth="1"/>
    <col min="11522" max="11522" width="10.5703125" style="225" customWidth="1"/>
    <col min="11523" max="11524" width="9.140625" style="225" customWidth="1"/>
    <col min="11525" max="11525" width="23.28515625" style="225" customWidth="1"/>
    <col min="11526" max="11772" width="9.140625" style="225"/>
    <col min="11773" max="11773" width="6.140625" style="225" customWidth="1"/>
    <col min="11774" max="11774" width="33.5703125" style="225" customWidth="1"/>
    <col min="11775" max="11775" width="11.85546875" style="225" customWidth="1"/>
    <col min="11776" max="11776" width="11.140625" style="225" customWidth="1"/>
    <col min="11777" max="11777" width="10.28515625" style="225" customWidth="1"/>
    <col min="11778" max="11778" width="10.5703125" style="225" customWidth="1"/>
    <col min="11779" max="11780" width="9.140625" style="225" customWidth="1"/>
    <col min="11781" max="11781" width="23.28515625" style="225" customWidth="1"/>
    <col min="11782" max="12028" width="9.140625" style="225"/>
    <col min="12029" max="12029" width="6.140625" style="225" customWidth="1"/>
    <col min="12030" max="12030" width="33.5703125" style="225" customWidth="1"/>
    <col min="12031" max="12031" width="11.85546875" style="225" customWidth="1"/>
    <col min="12032" max="12032" width="11.140625" style="225" customWidth="1"/>
    <col min="12033" max="12033" width="10.28515625" style="225" customWidth="1"/>
    <col min="12034" max="12034" width="10.5703125" style="225" customWidth="1"/>
    <col min="12035" max="12036" width="9.140625" style="225" customWidth="1"/>
    <col min="12037" max="12037" width="23.28515625" style="225" customWidth="1"/>
    <col min="12038" max="12284" width="9.140625" style="225"/>
    <col min="12285" max="12285" width="6.140625" style="225" customWidth="1"/>
    <col min="12286" max="12286" width="33.5703125" style="225" customWidth="1"/>
    <col min="12287" max="12287" width="11.85546875" style="225" customWidth="1"/>
    <col min="12288" max="12288" width="11.140625" style="225" customWidth="1"/>
    <col min="12289" max="12289" width="10.28515625" style="225" customWidth="1"/>
    <col min="12290" max="12290" width="10.5703125" style="225" customWidth="1"/>
    <col min="12291" max="12292" width="9.140625" style="225" customWidth="1"/>
    <col min="12293" max="12293" width="23.28515625" style="225" customWidth="1"/>
    <col min="12294" max="12540" width="9.140625" style="225"/>
    <col min="12541" max="12541" width="6.140625" style="225" customWidth="1"/>
    <col min="12542" max="12542" width="33.5703125" style="225" customWidth="1"/>
    <col min="12543" max="12543" width="11.85546875" style="225" customWidth="1"/>
    <col min="12544" max="12544" width="11.140625" style="225" customWidth="1"/>
    <col min="12545" max="12545" width="10.28515625" style="225" customWidth="1"/>
    <col min="12546" max="12546" width="10.5703125" style="225" customWidth="1"/>
    <col min="12547" max="12548" width="9.140625" style="225" customWidth="1"/>
    <col min="12549" max="12549" width="23.28515625" style="225" customWidth="1"/>
    <col min="12550" max="12796" width="9.140625" style="225"/>
    <col min="12797" max="12797" width="6.140625" style="225" customWidth="1"/>
    <col min="12798" max="12798" width="33.5703125" style="225" customWidth="1"/>
    <col min="12799" max="12799" width="11.85546875" style="225" customWidth="1"/>
    <col min="12800" max="12800" width="11.140625" style="225" customWidth="1"/>
    <col min="12801" max="12801" width="10.28515625" style="225" customWidth="1"/>
    <col min="12802" max="12802" width="10.5703125" style="225" customWidth="1"/>
    <col min="12803" max="12804" width="9.140625" style="225" customWidth="1"/>
    <col min="12805" max="12805" width="23.28515625" style="225" customWidth="1"/>
    <col min="12806" max="13052" width="9.140625" style="225"/>
    <col min="13053" max="13053" width="6.140625" style="225" customWidth="1"/>
    <col min="13054" max="13054" width="33.5703125" style="225" customWidth="1"/>
    <col min="13055" max="13055" width="11.85546875" style="225" customWidth="1"/>
    <col min="13056" max="13056" width="11.140625" style="225" customWidth="1"/>
    <col min="13057" max="13057" width="10.28515625" style="225" customWidth="1"/>
    <col min="13058" max="13058" width="10.5703125" style="225" customWidth="1"/>
    <col min="13059" max="13060" width="9.140625" style="225" customWidth="1"/>
    <col min="13061" max="13061" width="23.28515625" style="225" customWidth="1"/>
    <col min="13062" max="13308" width="9.140625" style="225"/>
    <col min="13309" max="13309" width="6.140625" style="225" customWidth="1"/>
    <col min="13310" max="13310" width="33.5703125" style="225" customWidth="1"/>
    <col min="13311" max="13311" width="11.85546875" style="225" customWidth="1"/>
    <col min="13312" max="13312" width="11.140625" style="225" customWidth="1"/>
    <col min="13313" max="13313" width="10.28515625" style="225" customWidth="1"/>
    <col min="13314" max="13314" width="10.5703125" style="225" customWidth="1"/>
    <col min="13315" max="13316" width="9.140625" style="225" customWidth="1"/>
    <col min="13317" max="13317" width="23.28515625" style="225" customWidth="1"/>
    <col min="13318" max="13564" width="9.140625" style="225"/>
    <col min="13565" max="13565" width="6.140625" style="225" customWidth="1"/>
    <col min="13566" max="13566" width="33.5703125" style="225" customWidth="1"/>
    <col min="13567" max="13567" width="11.85546875" style="225" customWidth="1"/>
    <col min="13568" max="13568" width="11.140625" style="225" customWidth="1"/>
    <col min="13569" max="13569" width="10.28515625" style="225" customWidth="1"/>
    <col min="13570" max="13570" width="10.5703125" style="225" customWidth="1"/>
    <col min="13571" max="13572" width="9.140625" style="225" customWidth="1"/>
    <col min="13573" max="13573" width="23.28515625" style="225" customWidth="1"/>
    <col min="13574" max="13820" width="9.140625" style="225"/>
    <col min="13821" max="13821" width="6.140625" style="225" customWidth="1"/>
    <col min="13822" max="13822" width="33.5703125" style="225" customWidth="1"/>
    <col min="13823" max="13823" width="11.85546875" style="225" customWidth="1"/>
    <col min="13824" max="13824" width="11.140625" style="225" customWidth="1"/>
    <col min="13825" max="13825" width="10.28515625" style="225" customWidth="1"/>
    <col min="13826" max="13826" width="10.5703125" style="225" customWidth="1"/>
    <col min="13827" max="13828" width="9.140625" style="225" customWidth="1"/>
    <col min="13829" max="13829" width="23.28515625" style="225" customWidth="1"/>
    <col min="13830" max="14076" width="9.140625" style="225"/>
    <col min="14077" max="14077" width="6.140625" style="225" customWidth="1"/>
    <col min="14078" max="14078" width="33.5703125" style="225" customWidth="1"/>
    <col min="14079" max="14079" width="11.85546875" style="225" customWidth="1"/>
    <col min="14080" max="14080" width="11.140625" style="225" customWidth="1"/>
    <col min="14081" max="14081" width="10.28515625" style="225" customWidth="1"/>
    <col min="14082" max="14082" width="10.5703125" style="225" customWidth="1"/>
    <col min="14083" max="14084" width="9.140625" style="225" customWidth="1"/>
    <col min="14085" max="14085" width="23.28515625" style="225" customWidth="1"/>
    <col min="14086" max="14332" width="9.140625" style="225"/>
    <col min="14333" max="14333" width="6.140625" style="225" customWidth="1"/>
    <col min="14334" max="14334" width="33.5703125" style="225" customWidth="1"/>
    <col min="14335" max="14335" width="11.85546875" style="225" customWidth="1"/>
    <col min="14336" max="14336" width="11.140625" style="225" customWidth="1"/>
    <col min="14337" max="14337" width="10.28515625" style="225" customWidth="1"/>
    <col min="14338" max="14338" width="10.5703125" style="225" customWidth="1"/>
    <col min="14339" max="14340" width="9.140625" style="225" customWidth="1"/>
    <col min="14341" max="14341" width="23.28515625" style="225" customWidth="1"/>
    <col min="14342" max="14588" width="9.140625" style="225"/>
    <col min="14589" max="14589" width="6.140625" style="225" customWidth="1"/>
    <col min="14590" max="14590" width="33.5703125" style="225" customWidth="1"/>
    <col min="14591" max="14591" width="11.85546875" style="225" customWidth="1"/>
    <col min="14592" max="14592" width="11.140625" style="225" customWidth="1"/>
    <col min="14593" max="14593" width="10.28515625" style="225" customWidth="1"/>
    <col min="14594" max="14594" width="10.5703125" style="225" customWidth="1"/>
    <col min="14595" max="14596" width="9.140625" style="225" customWidth="1"/>
    <col min="14597" max="14597" width="23.28515625" style="225" customWidth="1"/>
    <col min="14598" max="14844" width="9.140625" style="225"/>
    <col min="14845" max="14845" width="6.140625" style="225" customWidth="1"/>
    <col min="14846" max="14846" width="33.5703125" style="225" customWidth="1"/>
    <col min="14847" max="14847" width="11.85546875" style="225" customWidth="1"/>
    <col min="14848" max="14848" width="11.140625" style="225" customWidth="1"/>
    <col min="14849" max="14849" width="10.28515625" style="225" customWidth="1"/>
    <col min="14850" max="14850" width="10.5703125" style="225" customWidth="1"/>
    <col min="14851" max="14852" width="9.140625" style="225" customWidth="1"/>
    <col min="14853" max="14853" width="23.28515625" style="225" customWidth="1"/>
    <col min="14854" max="15100" width="9.140625" style="225"/>
    <col min="15101" max="15101" width="6.140625" style="225" customWidth="1"/>
    <col min="15102" max="15102" width="33.5703125" style="225" customWidth="1"/>
    <col min="15103" max="15103" width="11.85546875" style="225" customWidth="1"/>
    <col min="15104" max="15104" width="11.140625" style="225" customWidth="1"/>
    <col min="15105" max="15105" width="10.28515625" style="225" customWidth="1"/>
    <col min="15106" max="15106" width="10.5703125" style="225" customWidth="1"/>
    <col min="15107" max="15108" width="9.140625" style="225" customWidth="1"/>
    <col min="15109" max="15109" width="23.28515625" style="225" customWidth="1"/>
    <col min="15110" max="15356" width="9.140625" style="225"/>
    <col min="15357" max="15357" width="6.140625" style="225" customWidth="1"/>
    <col min="15358" max="15358" width="33.5703125" style="225" customWidth="1"/>
    <col min="15359" max="15359" width="11.85546875" style="225" customWidth="1"/>
    <col min="15360" max="15360" width="11.140625" style="225" customWidth="1"/>
    <col min="15361" max="15361" width="10.28515625" style="225" customWidth="1"/>
    <col min="15362" max="15362" width="10.5703125" style="225" customWidth="1"/>
    <col min="15363" max="15364" width="9.140625" style="225" customWidth="1"/>
    <col min="15365" max="15365" width="23.28515625" style="225" customWidth="1"/>
    <col min="15366" max="15612" width="9.140625" style="225"/>
    <col min="15613" max="15613" width="6.140625" style="225" customWidth="1"/>
    <col min="15614" max="15614" width="33.5703125" style="225" customWidth="1"/>
    <col min="15615" max="15615" width="11.85546875" style="225" customWidth="1"/>
    <col min="15616" max="15616" width="11.140625" style="225" customWidth="1"/>
    <col min="15617" max="15617" width="10.28515625" style="225" customWidth="1"/>
    <col min="15618" max="15618" width="10.5703125" style="225" customWidth="1"/>
    <col min="15619" max="15620" width="9.140625" style="225" customWidth="1"/>
    <col min="15621" max="15621" width="23.28515625" style="225" customWidth="1"/>
    <col min="15622" max="15868" width="9.140625" style="225"/>
    <col min="15869" max="15869" width="6.140625" style="225" customWidth="1"/>
    <col min="15870" max="15870" width="33.5703125" style="225" customWidth="1"/>
    <col min="15871" max="15871" width="11.85546875" style="225" customWidth="1"/>
    <col min="15872" max="15872" width="11.140625" style="225" customWidth="1"/>
    <col min="15873" max="15873" width="10.28515625" style="225" customWidth="1"/>
    <col min="15874" max="15874" width="10.5703125" style="225" customWidth="1"/>
    <col min="15875" max="15876" width="9.140625" style="225" customWidth="1"/>
    <col min="15877" max="15877" width="23.28515625" style="225" customWidth="1"/>
    <col min="15878" max="16124" width="9.140625" style="225"/>
    <col min="16125" max="16125" width="6.140625" style="225" customWidth="1"/>
    <col min="16126" max="16126" width="33.5703125" style="225" customWidth="1"/>
    <col min="16127" max="16127" width="11.85546875" style="225" customWidth="1"/>
    <col min="16128" max="16128" width="11.140625" style="225" customWidth="1"/>
    <col min="16129" max="16129" width="10.28515625" style="225" customWidth="1"/>
    <col min="16130" max="16130" width="10.5703125" style="225" customWidth="1"/>
    <col min="16131" max="16132" width="9.140625" style="225" customWidth="1"/>
    <col min="16133" max="16133" width="23.28515625" style="225" customWidth="1"/>
    <col min="16134" max="16384" width="9.140625" style="225"/>
  </cols>
  <sheetData>
    <row r="1" spans="1:9" x14ac:dyDescent="0.2">
      <c r="B1" s="226"/>
      <c r="C1" s="226"/>
      <c r="D1" s="226"/>
      <c r="E1" s="2035" t="s">
        <v>2195</v>
      </c>
      <c r="F1" s="2036"/>
      <c r="G1" s="2036"/>
      <c r="H1" s="2036"/>
      <c r="I1" s="2036"/>
    </row>
    <row r="2" spans="1:9" x14ac:dyDescent="0.2">
      <c r="B2" s="226"/>
      <c r="C2" s="1871"/>
      <c r="D2" s="1871"/>
      <c r="E2" s="2036"/>
      <c r="F2" s="2036"/>
      <c r="G2" s="2036"/>
      <c r="H2" s="2036"/>
      <c r="I2" s="2036"/>
    </row>
    <row r="3" spans="1:9" x14ac:dyDescent="0.2">
      <c r="B3" s="226"/>
      <c r="C3" s="1871"/>
      <c r="D3" s="1871"/>
      <c r="E3" s="2036"/>
      <c r="F3" s="2036"/>
      <c r="G3" s="2036"/>
      <c r="H3" s="2036"/>
      <c r="I3" s="2036"/>
    </row>
    <row r="4" spans="1:9" x14ac:dyDescent="0.2">
      <c r="B4" s="226"/>
      <c r="C4" s="1871"/>
      <c r="D4" s="1871"/>
      <c r="E4" s="402"/>
      <c r="F4" s="402"/>
      <c r="G4" s="402"/>
      <c r="H4" s="402"/>
      <c r="I4" s="402"/>
    </row>
    <row r="5" spans="1:9" x14ac:dyDescent="0.2">
      <c r="A5" s="225" t="s">
        <v>112</v>
      </c>
      <c r="B5" s="226"/>
      <c r="C5" s="1871"/>
      <c r="D5" s="1871"/>
      <c r="E5" s="402"/>
      <c r="F5" s="402"/>
      <c r="G5" s="402"/>
      <c r="H5" s="402"/>
      <c r="I5" s="402"/>
    </row>
    <row r="6" spans="1:9" ht="15.75" x14ac:dyDescent="0.25">
      <c r="A6" s="762"/>
      <c r="B6" s="226"/>
      <c r="C6" s="228"/>
      <c r="D6" s="228"/>
      <c r="E6" s="228"/>
      <c r="F6" s="228"/>
      <c r="G6" s="228"/>
      <c r="H6" s="228"/>
      <c r="I6" s="228"/>
    </row>
    <row r="7" spans="1:9" ht="18.75" x14ac:dyDescent="0.3">
      <c r="A7" s="2037" t="s">
        <v>113</v>
      </c>
      <c r="B7" s="2037"/>
      <c r="C7" s="2037"/>
      <c r="D7" s="2037"/>
      <c r="E7" s="2037"/>
      <c r="F7" s="2037"/>
      <c r="G7" s="2037"/>
      <c r="H7" s="2037"/>
      <c r="I7" s="2037"/>
    </row>
    <row r="8" spans="1:9" x14ac:dyDescent="0.2">
      <c r="A8" s="814"/>
      <c r="B8" s="814"/>
      <c r="C8" s="483"/>
      <c r="D8" s="483"/>
      <c r="E8" s="483"/>
      <c r="F8" s="483"/>
      <c r="G8" s="483"/>
      <c r="H8" s="483"/>
      <c r="I8" s="511"/>
    </row>
    <row r="9" spans="1:9" ht="15.75" x14ac:dyDescent="0.25">
      <c r="A9" s="225" t="s">
        <v>748</v>
      </c>
      <c r="C9" s="2038" t="s">
        <v>1802</v>
      </c>
      <c r="D9" s="2038"/>
      <c r="E9" s="2038"/>
      <c r="F9" s="2038"/>
      <c r="G9" s="2038"/>
      <c r="H9" s="2038"/>
      <c r="I9" s="2038"/>
    </row>
    <row r="10" spans="1:9" x14ac:dyDescent="0.2">
      <c r="A10" s="225" t="s">
        <v>115</v>
      </c>
      <c r="C10" s="236" t="s">
        <v>638</v>
      </c>
      <c r="D10" s="236"/>
      <c r="E10" s="236"/>
      <c r="F10" s="236"/>
      <c r="G10" s="236"/>
      <c r="H10" s="236"/>
      <c r="I10" s="236"/>
    </row>
    <row r="11" spans="1:9" x14ac:dyDescent="0.2">
      <c r="A11" s="225" t="s">
        <v>117</v>
      </c>
      <c r="C11" s="237" t="s">
        <v>639</v>
      </c>
      <c r="D11" s="236"/>
      <c r="E11" s="236"/>
      <c r="F11" s="236"/>
      <c r="G11" s="236"/>
      <c r="H11" s="236"/>
      <c r="I11" s="236"/>
    </row>
    <row r="12" spans="1:9" x14ac:dyDescent="0.2">
      <c r="A12" s="2023" t="s">
        <v>47</v>
      </c>
      <c r="B12" s="2023" t="s">
        <v>119</v>
      </c>
      <c r="C12" s="2023" t="s">
        <v>120</v>
      </c>
      <c r="D12" s="2023" t="s">
        <v>121</v>
      </c>
      <c r="E12" s="2023" t="s">
        <v>122</v>
      </c>
      <c r="F12" s="815"/>
      <c r="G12" s="815"/>
      <c r="H12" s="815"/>
      <c r="I12" s="2023" t="s">
        <v>126</v>
      </c>
    </row>
    <row r="13" spans="1:9" ht="48" x14ac:dyDescent="0.2">
      <c r="A13" s="2023"/>
      <c r="B13" s="2023"/>
      <c r="C13" s="2023"/>
      <c r="D13" s="2023"/>
      <c r="E13" s="2023"/>
      <c r="F13" s="815" t="s">
        <v>129</v>
      </c>
      <c r="G13" s="815" t="s">
        <v>124</v>
      </c>
      <c r="H13" s="815" t="s">
        <v>2164</v>
      </c>
      <c r="I13" s="2023"/>
    </row>
    <row r="14" spans="1:9" x14ac:dyDescent="0.2">
      <c r="A14" s="2024" t="s">
        <v>2182</v>
      </c>
      <c r="B14" s="2025"/>
      <c r="C14" s="770">
        <f>SUM(C15:C16)</f>
        <v>6329</v>
      </c>
      <c r="D14" s="770">
        <f>SUM(D15:D16)</f>
        <v>4001</v>
      </c>
      <c r="E14" s="770">
        <f>SUM(E15:E16)</f>
        <v>6640</v>
      </c>
      <c r="F14" s="770"/>
      <c r="G14" s="770">
        <f>SUM(G15:G16)</f>
        <v>7087</v>
      </c>
      <c r="H14" s="770">
        <f>SUM(H15:H16)</f>
        <v>10085</v>
      </c>
      <c r="I14" s="816"/>
    </row>
    <row r="15" spans="1:9" x14ac:dyDescent="0.2">
      <c r="A15" s="815">
        <v>1</v>
      </c>
      <c r="B15" s="817" t="s">
        <v>1367</v>
      </c>
      <c r="C15" s="818">
        <v>1500</v>
      </c>
      <c r="D15" s="818">
        <v>1425</v>
      </c>
      <c r="E15" s="818">
        <v>1425</v>
      </c>
      <c r="F15" s="794">
        <v>2279</v>
      </c>
      <c r="G15" s="771">
        <v>1425</v>
      </c>
      <c r="H15" s="771">
        <f>ROUNDUP(G15/0.702804,0)</f>
        <v>2028</v>
      </c>
      <c r="I15" s="816"/>
    </row>
    <row r="16" spans="1:9" ht="24" x14ac:dyDescent="0.2">
      <c r="A16" s="815">
        <v>2</v>
      </c>
      <c r="B16" s="780" t="s">
        <v>1368</v>
      </c>
      <c r="C16" s="450">
        <v>4829</v>
      </c>
      <c r="D16" s="450">
        <v>2576</v>
      </c>
      <c r="E16" s="450">
        <v>5215</v>
      </c>
      <c r="F16" s="794">
        <v>2279</v>
      </c>
      <c r="G16" s="771">
        <v>5662</v>
      </c>
      <c r="H16" s="771">
        <f>ROUNDUP(G16/0.702804,0)</f>
        <v>8057</v>
      </c>
      <c r="I16" s="816"/>
    </row>
    <row r="17" spans="1:9" x14ac:dyDescent="0.2">
      <c r="A17" s="814"/>
      <c r="B17" s="814"/>
      <c r="C17" s="483"/>
      <c r="D17" s="483"/>
      <c r="E17" s="483"/>
      <c r="F17" s="483"/>
      <c r="G17" s="483"/>
      <c r="H17" s="483"/>
      <c r="I17" s="511"/>
    </row>
    <row r="18" spans="1:9" x14ac:dyDescent="0.2">
      <c r="A18" s="225" t="s">
        <v>115</v>
      </c>
      <c r="C18" s="236" t="s">
        <v>1369</v>
      </c>
      <c r="D18" s="236"/>
      <c r="E18" s="236"/>
      <c r="F18" s="236"/>
      <c r="G18" s="236"/>
      <c r="H18" s="236"/>
      <c r="I18" s="236"/>
    </row>
    <row r="19" spans="1:9" x14ac:dyDescent="0.2">
      <c r="A19" s="225" t="s">
        <v>117</v>
      </c>
      <c r="C19" s="237" t="s">
        <v>1370</v>
      </c>
      <c r="D19" s="236"/>
      <c r="E19" s="236"/>
      <c r="F19" s="236"/>
      <c r="G19" s="236"/>
      <c r="H19" s="236"/>
      <c r="I19" s="236"/>
    </row>
    <row r="20" spans="1:9" x14ac:dyDescent="0.2">
      <c r="A20" s="2023" t="s">
        <v>47</v>
      </c>
      <c r="B20" s="2023" t="s">
        <v>119</v>
      </c>
      <c r="C20" s="2023" t="s">
        <v>120</v>
      </c>
      <c r="D20" s="2023" t="s">
        <v>121</v>
      </c>
      <c r="E20" s="2023" t="s">
        <v>122</v>
      </c>
      <c r="F20" s="815"/>
      <c r="G20" s="815"/>
      <c r="H20" s="815"/>
      <c r="I20" s="2023" t="s">
        <v>126</v>
      </c>
    </row>
    <row r="21" spans="1:9" ht="48" x14ac:dyDescent="0.2">
      <c r="A21" s="2023"/>
      <c r="B21" s="2023"/>
      <c r="C21" s="2023"/>
      <c r="D21" s="2023"/>
      <c r="E21" s="2023"/>
      <c r="F21" s="815" t="s">
        <v>129</v>
      </c>
      <c r="G21" s="815" t="s">
        <v>124</v>
      </c>
      <c r="H21" s="1795" t="s">
        <v>2164</v>
      </c>
      <c r="I21" s="2023"/>
    </row>
    <row r="22" spans="1:9" x14ac:dyDescent="0.2">
      <c r="A22" s="2024" t="s">
        <v>2182</v>
      </c>
      <c r="B22" s="2025"/>
      <c r="C22" s="770">
        <f>SUM(C23:C31)</f>
        <v>20298</v>
      </c>
      <c r="D22" s="770">
        <f>SUM(D23:D31)</f>
        <v>20046</v>
      </c>
      <c r="E22" s="770">
        <f>SUM(E23:E31)</f>
        <v>35770</v>
      </c>
      <c r="F22" s="770"/>
      <c r="G22" s="770">
        <f>SUM(G23:G31)</f>
        <v>8940</v>
      </c>
      <c r="H22" s="770">
        <f>SUM(H23:H31)</f>
        <v>12724</v>
      </c>
      <c r="I22" s="816"/>
    </row>
    <row r="23" spans="1:9" x14ac:dyDescent="0.2">
      <c r="A23" s="2028">
        <v>1</v>
      </c>
      <c r="B23" s="2031" t="s">
        <v>1371</v>
      </c>
      <c r="C23" s="450">
        <v>944</v>
      </c>
      <c r="D23" s="450">
        <v>944</v>
      </c>
      <c r="E23" s="450">
        <v>2500</v>
      </c>
      <c r="F23" s="794">
        <v>2244</v>
      </c>
      <c r="G23" s="771">
        <v>1000</v>
      </c>
      <c r="H23" s="771">
        <f>ROUNDUP(G23/0.702804,0)</f>
        <v>1423</v>
      </c>
      <c r="I23" s="816" t="s">
        <v>1372</v>
      </c>
    </row>
    <row r="24" spans="1:9" x14ac:dyDescent="0.2">
      <c r="A24" s="2029"/>
      <c r="B24" s="2032"/>
      <c r="C24" s="450">
        <v>1031</v>
      </c>
      <c r="D24" s="819">
        <v>1031</v>
      </c>
      <c r="E24" s="450">
        <v>0</v>
      </c>
      <c r="F24" s="794">
        <v>5218</v>
      </c>
      <c r="G24" s="771"/>
      <c r="H24" s="771">
        <f t="shared" ref="H24:H31" si="0">ROUNDUP(G24/0.702804,0)</f>
        <v>0</v>
      </c>
      <c r="I24" s="816"/>
    </row>
    <row r="25" spans="1:9" x14ac:dyDescent="0.2">
      <c r="A25" s="2029"/>
      <c r="B25" s="2032"/>
      <c r="C25" s="450">
        <v>550</v>
      </c>
      <c r="D25" s="819">
        <v>549</v>
      </c>
      <c r="E25" s="450">
        <v>0</v>
      </c>
      <c r="F25" s="794">
        <v>5239</v>
      </c>
      <c r="G25" s="771"/>
      <c r="H25" s="771">
        <f t="shared" si="0"/>
        <v>0</v>
      </c>
      <c r="I25" s="816"/>
    </row>
    <row r="26" spans="1:9" ht="38.25" customHeight="1" x14ac:dyDescent="0.2">
      <c r="A26" s="2030"/>
      <c r="B26" s="2033"/>
      <c r="C26" s="450">
        <v>0</v>
      </c>
      <c r="D26" s="819">
        <v>0</v>
      </c>
      <c r="E26" s="450">
        <v>1270</v>
      </c>
      <c r="F26" s="794">
        <v>2279</v>
      </c>
      <c r="G26" s="771">
        <v>1270</v>
      </c>
      <c r="H26" s="771">
        <f t="shared" si="0"/>
        <v>1808</v>
      </c>
      <c r="I26" s="816" t="s">
        <v>2166</v>
      </c>
    </row>
    <row r="27" spans="1:9" ht="23.25" customHeight="1" x14ac:dyDescent="0.2">
      <c r="A27" s="815">
        <v>2</v>
      </c>
      <c r="B27" s="780" t="s">
        <v>1373</v>
      </c>
      <c r="C27" s="450">
        <v>2200</v>
      </c>
      <c r="D27" s="820">
        <v>2057</v>
      </c>
      <c r="E27" s="450">
        <v>2300</v>
      </c>
      <c r="F27" s="794">
        <v>2279</v>
      </c>
      <c r="G27" s="771">
        <v>2100</v>
      </c>
      <c r="H27" s="771">
        <f t="shared" si="0"/>
        <v>2989</v>
      </c>
      <c r="I27" s="816" t="s">
        <v>1374</v>
      </c>
    </row>
    <row r="28" spans="1:9" x14ac:dyDescent="0.2">
      <c r="A28" s="815">
        <v>3</v>
      </c>
      <c r="B28" s="780" t="s">
        <v>1969</v>
      </c>
      <c r="C28" s="450">
        <v>0</v>
      </c>
      <c r="D28" s="820">
        <v>0</v>
      </c>
      <c r="E28" s="450">
        <v>3000</v>
      </c>
      <c r="F28" s="794">
        <v>2279</v>
      </c>
      <c r="G28" s="771">
        <v>3000</v>
      </c>
      <c r="H28" s="771">
        <f t="shared" si="0"/>
        <v>4269</v>
      </c>
      <c r="I28" s="816"/>
    </row>
    <row r="29" spans="1:9" ht="39.75" customHeight="1" x14ac:dyDescent="0.2">
      <c r="A29" s="815">
        <v>4</v>
      </c>
      <c r="B29" s="780" t="s">
        <v>1375</v>
      </c>
      <c r="C29" s="450">
        <v>14075</v>
      </c>
      <c r="D29" s="450">
        <v>14000</v>
      </c>
      <c r="E29" s="450">
        <v>25000</v>
      </c>
      <c r="F29" s="794">
        <v>2244</v>
      </c>
      <c r="G29" s="771"/>
      <c r="H29" s="771">
        <f t="shared" si="0"/>
        <v>0</v>
      </c>
      <c r="I29" s="816"/>
    </row>
    <row r="30" spans="1:9" ht="24" x14ac:dyDescent="0.2">
      <c r="A30" s="815">
        <v>5</v>
      </c>
      <c r="B30" s="780" t="s">
        <v>1376</v>
      </c>
      <c r="C30" s="450">
        <v>1100</v>
      </c>
      <c r="D30" s="450">
        <v>1100</v>
      </c>
      <c r="E30" s="450">
        <v>1100</v>
      </c>
      <c r="F30" s="794">
        <v>2279</v>
      </c>
      <c r="G30" s="771">
        <v>1100</v>
      </c>
      <c r="H30" s="771">
        <f t="shared" si="0"/>
        <v>1566</v>
      </c>
      <c r="I30" s="816"/>
    </row>
    <row r="31" spans="1:9" ht="36" x14ac:dyDescent="0.2">
      <c r="A31" s="815">
        <v>6</v>
      </c>
      <c r="B31" s="780" t="s">
        <v>1377</v>
      </c>
      <c r="C31" s="450">
        <v>398</v>
      </c>
      <c r="D31" s="450">
        <v>365</v>
      </c>
      <c r="E31" s="451">
        <v>600</v>
      </c>
      <c r="F31" s="794">
        <v>2279</v>
      </c>
      <c r="G31" s="771">
        <v>470</v>
      </c>
      <c r="H31" s="771">
        <f t="shared" si="0"/>
        <v>669</v>
      </c>
      <c r="I31" s="816" t="s">
        <v>1378</v>
      </c>
    </row>
    <row r="32" spans="1:9" x14ac:dyDescent="0.2">
      <c r="C32" s="2034"/>
      <c r="D32" s="2034"/>
      <c r="E32" s="2034"/>
      <c r="F32" s="2034"/>
      <c r="G32" s="2034"/>
      <c r="H32" s="2034"/>
      <c r="I32" s="2034"/>
    </row>
    <row r="33" spans="1:9" x14ac:dyDescent="0.2">
      <c r="A33" s="225" t="s">
        <v>115</v>
      </c>
      <c r="C33" s="236" t="s">
        <v>1379</v>
      </c>
      <c r="D33" s="236"/>
      <c r="E33" s="236"/>
      <c r="F33" s="236"/>
      <c r="G33" s="236"/>
      <c r="H33" s="236"/>
      <c r="I33" s="236"/>
    </row>
    <row r="34" spans="1:9" x14ac:dyDescent="0.2">
      <c r="A34" s="225" t="s">
        <v>117</v>
      </c>
      <c r="C34" s="237" t="s">
        <v>1380</v>
      </c>
      <c r="D34" s="236"/>
      <c r="E34" s="236"/>
      <c r="F34" s="236"/>
      <c r="G34" s="236"/>
      <c r="H34" s="236"/>
      <c r="I34" s="236"/>
    </row>
    <row r="35" spans="1:9" ht="36" x14ac:dyDescent="0.2">
      <c r="A35" s="2023" t="s">
        <v>47</v>
      </c>
      <c r="B35" s="2023" t="s">
        <v>119</v>
      </c>
      <c r="C35" s="2023" t="s">
        <v>120</v>
      </c>
      <c r="D35" s="2023" t="s">
        <v>121</v>
      </c>
      <c r="E35" s="2023" t="s">
        <v>122</v>
      </c>
      <c r="F35" s="815"/>
      <c r="G35" s="815" t="s">
        <v>189</v>
      </c>
      <c r="H35" s="815"/>
      <c r="I35" s="2023" t="s">
        <v>126</v>
      </c>
    </row>
    <row r="36" spans="1:9" ht="48" x14ac:dyDescent="0.2">
      <c r="A36" s="2023"/>
      <c r="B36" s="2023"/>
      <c r="C36" s="2023"/>
      <c r="D36" s="2023"/>
      <c r="E36" s="2023"/>
      <c r="F36" s="815" t="s">
        <v>129</v>
      </c>
      <c r="G36" s="815" t="s">
        <v>124</v>
      </c>
      <c r="H36" s="1795" t="s">
        <v>2164</v>
      </c>
      <c r="I36" s="2023"/>
    </row>
    <row r="37" spans="1:9" x14ac:dyDescent="0.2">
      <c r="A37" s="2024" t="s">
        <v>2182</v>
      </c>
      <c r="B37" s="2025"/>
      <c r="C37" s="770">
        <f>SUM(C38:C40)</f>
        <v>4000</v>
      </c>
      <c r="D37" s="770">
        <f>SUM(D38:D40)</f>
        <v>4000</v>
      </c>
      <c r="E37" s="770">
        <f>SUM(E38:E40)</f>
        <v>37500</v>
      </c>
      <c r="F37" s="770"/>
      <c r="G37" s="770">
        <f>SUM(G38:G40)</f>
        <v>20000</v>
      </c>
      <c r="H37" s="770">
        <f>SUM(H38:H40)</f>
        <v>28458</v>
      </c>
      <c r="I37" s="816"/>
    </row>
    <row r="38" spans="1:9" ht="24" x14ac:dyDescent="0.2">
      <c r="A38" s="815">
        <v>1</v>
      </c>
      <c r="B38" s="780" t="s">
        <v>1381</v>
      </c>
      <c r="C38" s="819">
        <v>4000</v>
      </c>
      <c r="D38" s="821">
        <v>4000</v>
      </c>
      <c r="E38" s="450">
        <v>11000</v>
      </c>
      <c r="F38" s="1743">
        <v>2279</v>
      </c>
      <c r="G38" s="771"/>
      <c r="H38" s="771">
        <f>ROUNDUP(G38/0.702804,0)</f>
        <v>0</v>
      </c>
      <c r="I38" s="816"/>
    </row>
    <row r="39" spans="1:9" ht="24" x14ac:dyDescent="0.2">
      <c r="A39" s="815">
        <v>2</v>
      </c>
      <c r="B39" s="780" t="s">
        <v>1382</v>
      </c>
      <c r="C39" s="450">
        <v>0</v>
      </c>
      <c r="D39" s="450">
        <v>0</v>
      </c>
      <c r="E39" s="450">
        <v>6500</v>
      </c>
      <c r="F39" s="794">
        <v>2239</v>
      </c>
      <c r="G39" s="771"/>
      <c r="H39" s="771">
        <f t="shared" ref="H39:H40" si="1">ROUNDUP(G39/0.702804,0)</f>
        <v>0</v>
      </c>
      <c r="I39" s="816"/>
    </row>
    <row r="40" spans="1:9" ht="24" x14ac:dyDescent="0.2">
      <c r="A40" s="815">
        <v>3</v>
      </c>
      <c r="B40" s="780" t="s">
        <v>1383</v>
      </c>
      <c r="C40" s="450">
        <v>0</v>
      </c>
      <c r="D40" s="450">
        <v>0</v>
      </c>
      <c r="E40" s="450">
        <v>20000</v>
      </c>
      <c r="F40" s="794">
        <v>2279</v>
      </c>
      <c r="G40" s="771">
        <v>20000</v>
      </c>
      <c r="H40" s="771">
        <f t="shared" si="1"/>
        <v>28458</v>
      </c>
      <c r="I40" s="816"/>
    </row>
    <row r="41" spans="1:9" x14ac:dyDescent="0.2">
      <c r="A41" s="511"/>
      <c r="B41" s="785"/>
      <c r="C41" s="822"/>
      <c r="D41" s="822"/>
      <c r="E41" s="823"/>
      <c r="F41" s="483"/>
      <c r="G41" s="483"/>
      <c r="H41" s="483"/>
      <c r="I41" s="511"/>
    </row>
    <row r="42" spans="1:9" x14ac:dyDescent="0.2">
      <c r="A42" s="225" t="s">
        <v>115</v>
      </c>
      <c r="C42" s="236" t="s">
        <v>1384</v>
      </c>
      <c r="D42" s="236"/>
      <c r="E42" s="236"/>
      <c r="F42" s="236"/>
      <c r="G42" s="236"/>
      <c r="H42" s="236"/>
      <c r="I42" s="236"/>
    </row>
    <row r="43" spans="1:9" x14ac:dyDescent="0.2">
      <c r="A43" s="225" t="s">
        <v>117</v>
      </c>
      <c r="C43" s="237" t="s">
        <v>1385</v>
      </c>
      <c r="D43" s="236"/>
      <c r="E43" s="236"/>
      <c r="F43" s="236"/>
      <c r="G43" s="236"/>
      <c r="H43" s="236"/>
      <c r="I43" s="236"/>
    </row>
    <row r="44" spans="1:9" ht="36" x14ac:dyDescent="0.2">
      <c r="A44" s="2023" t="s">
        <v>47</v>
      </c>
      <c r="B44" s="2023" t="s">
        <v>119</v>
      </c>
      <c r="C44" s="2023" t="s">
        <v>120</v>
      </c>
      <c r="D44" s="2023" t="s">
        <v>121</v>
      </c>
      <c r="E44" s="2023" t="s">
        <v>122</v>
      </c>
      <c r="F44" s="815"/>
      <c r="G44" s="815" t="s">
        <v>189</v>
      </c>
      <c r="H44" s="815"/>
      <c r="I44" s="2023" t="s">
        <v>126</v>
      </c>
    </row>
    <row r="45" spans="1:9" ht="48" x14ac:dyDescent="0.2">
      <c r="A45" s="2023"/>
      <c r="B45" s="2023"/>
      <c r="C45" s="2023"/>
      <c r="D45" s="2023"/>
      <c r="E45" s="2023"/>
      <c r="F45" s="815" t="s">
        <v>129</v>
      </c>
      <c r="G45" s="815" t="s">
        <v>124</v>
      </c>
      <c r="H45" s="1795" t="s">
        <v>2164</v>
      </c>
      <c r="I45" s="2023"/>
    </row>
    <row r="46" spans="1:9" x14ac:dyDescent="0.2">
      <c r="A46" s="2024" t="s">
        <v>2182</v>
      </c>
      <c r="B46" s="2025"/>
      <c r="C46" s="770">
        <f>SUM(C47:C54)</f>
        <v>10809</v>
      </c>
      <c r="D46" s="770">
        <f>SUM(D47:D54)</f>
        <v>9795</v>
      </c>
      <c r="E46" s="770">
        <f>SUM(E47:E54)</f>
        <v>13972</v>
      </c>
      <c r="F46" s="770"/>
      <c r="G46" s="770">
        <f>SUM(G47:G55)</f>
        <v>10594</v>
      </c>
      <c r="H46" s="770">
        <f>SUM(H47:H55)</f>
        <v>15077</v>
      </c>
      <c r="I46" s="816"/>
    </row>
    <row r="47" spans="1:9" x14ac:dyDescent="0.2">
      <c r="A47" s="2023">
        <v>1</v>
      </c>
      <c r="B47" s="2026" t="s">
        <v>1386</v>
      </c>
      <c r="C47" s="450">
        <v>500</v>
      </c>
      <c r="D47" s="451">
        <v>500</v>
      </c>
      <c r="E47" s="451">
        <v>500</v>
      </c>
      <c r="F47" s="794">
        <v>7712</v>
      </c>
      <c r="G47" s="771">
        <v>500</v>
      </c>
      <c r="H47" s="771">
        <f>ROUNDUP(G47/0.702804,0)</f>
        <v>712</v>
      </c>
      <c r="I47" s="816" t="s">
        <v>1387</v>
      </c>
    </row>
    <row r="48" spans="1:9" ht="39.75" customHeight="1" x14ac:dyDescent="0.2">
      <c r="A48" s="2023"/>
      <c r="B48" s="2027"/>
      <c r="C48" s="818">
        <v>5412</v>
      </c>
      <c r="D48" s="825">
        <v>4800</v>
      </c>
      <c r="E48" s="825">
        <v>8100</v>
      </c>
      <c r="F48" s="826">
        <v>1150</v>
      </c>
      <c r="G48" s="771">
        <v>5400</v>
      </c>
      <c r="H48" s="771">
        <f t="shared" ref="H48:H55" si="2">ROUNDUP(G48/0.702804,0)</f>
        <v>7684</v>
      </c>
      <c r="I48" s="347" t="s">
        <v>1388</v>
      </c>
    </row>
    <row r="49" spans="1:9" ht="12.75" customHeight="1" x14ac:dyDescent="0.2">
      <c r="A49" s="2023"/>
      <c r="B49" s="2027"/>
      <c r="C49" s="450">
        <v>1446</v>
      </c>
      <c r="D49" s="451">
        <v>1046</v>
      </c>
      <c r="E49" s="451">
        <v>1952</v>
      </c>
      <c r="F49" s="826">
        <v>1210</v>
      </c>
      <c r="G49" s="771">
        <v>1274</v>
      </c>
      <c r="H49" s="771">
        <f t="shared" si="2"/>
        <v>1813</v>
      </c>
      <c r="I49" s="827" t="s">
        <v>1389</v>
      </c>
    </row>
    <row r="50" spans="1:9" ht="26.25" customHeight="1" x14ac:dyDescent="0.2">
      <c r="A50" s="2023"/>
      <c r="B50" s="2027"/>
      <c r="C50" s="450">
        <v>330</v>
      </c>
      <c r="D50" s="450">
        <v>329</v>
      </c>
      <c r="E50" s="451">
        <v>330</v>
      </c>
      <c r="F50" s="828">
        <v>2390</v>
      </c>
      <c r="G50" s="771">
        <v>330</v>
      </c>
      <c r="H50" s="771">
        <f t="shared" si="2"/>
        <v>470</v>
      </c>
      <c r="I50" s="827" t="s">
        <v>1390</v>
      </c>
    </row>
    <row r="51" spans="1:9" ht="25.5" customHeight="1" x14ac:dyDescent="0.2">
      <c r="A51" s="2023"/>
      <c r="B51" s="2027"/>
      <c r="C51" s="829">
        <v>695</v>
      </c>
      <c r="D51" s="830">
        <v>695</v>
      </c>
      <c r="E51" s="830">
        <v>2000</v>
      </c>
      <c r="F51" s="826">
        <v>2279</v>
      </c>
      <c r="G51" s="771">
        <v>2000</v>
      </c>
      <c r="H51" s="771">
        <f t="shared" si="2"/>
        <v>2846</v>
      </c>
      <c r="I51" s="1796" t="s">
        <v>1391</v>
      </c>
    </row>
    <row r="52" spans="1:9" ht="24" x14ac:dyDescent="0.2">
      <c r="A52" s="2023"/>
      <c r="B52" s="2027"/>
      <c r="C52" s="829">
        <v>1438</v>
      </c>
      <c r="D52" s="830">
        <v>1437</v>
      </c>
      <c r="E52" s="830">
        <v>700</v>
      </c>
      <c r="F52" s="826">
        <v>2243</v>
      </c>
      <c r="G52" s="771">
        <v>700</v>
      </c>
      <c r="H52" s="771">
        <f t="shared" si="2"/>
        <v>997</v>
      </c>
      <c r="I52" s="827" t="s">
        <v>1392</v>
      </c>
    </row>
    <row r="53" spans="1:9" x14ac:dyDescent="0.2">
      <c r="A53" s="2023"/>
      <c r="B53" s="2027"/>
      <c r="C53" s="831">
        <v>988</v>
      </c>
      <c r="D53" s="450">
        <v>988</v>
      </c>
      <c r="E53" s="451">
        <v>0</v>
      </c>
      <c r="F53" s="828">
        <v>5239</v>
      </c>
      <c r="G53" s="771">
        <v>0</v>
      </c>
      <c r="H53" s="771">
        <f t="shared" si="2"/>
        <v>0</v>
      </c>
      <c r="I53" s="827"/>
    </row>
    <row r="54" spans="1:9" ht="12.75" customHeight="1" x14ac:dyDescent="0.2">
      <c r="A54" s="2023"/>
      <c r="B54" s="2027"/>
      <c r="C54" s="788">
        <v>0</v>
      </c>
      <c r="D54" s="450">
        <v>0</v>
      </c>
      <c r="E54" s="451">
        <v>390</v>
      </c>
      <c r="F54" s="828">
        <v>2243</v>
      </c>
      <c r="G54" s="771">
        <v>390</v>
      </c>
      <c r="H54" s="771">
        <f t="shared" si="2"/>
        <v>555</v>
      </c>
      <c r="I54" s="827" t="s">
        <v>1393</v>
      </c>
    </row>
    <row r="55" spans="1:9" ht="12" customHeight="1" x14ac:dyDescent="0.2">
      <c r="A55" s="814"/>
      <c r="B55" s="814"/>
      <c r="C55" s="832"/>
      <c r="D55" s="832"/>
      <c r="E55" s="832"/>
      <c r="F55" s="483"/>
      <c r="G55" s="483"/>
      <c r="H55" s="771">
        <f t="shared" si="2"/>
        <v>0</v>
      </c>
      <c r="I55" s="511"/>
    </row>
    <row r="56" spans="1:9" x14ac:dyDescent="0.2">
      <c r="A56" s="2021" t="s">
        <v>2170</v>
      </c>
      <c r="B56" s="2022"/>
      <c r="C56" s="833">
        <f>C46+C37+C22+C14</f>
        <v>41436</v>
      </c>
      <c r="D56" s="833">
        <f>D46+D37+D22+D14</f>
        <v>37842</v>
      </c>
      <c r="E56" s="833">
        <f>E46+E37+E22+E14</f>
        <v>93882</v>
      </c>
      <c r="F56" s="833"/>
      <c r="G56" s="833">
        <f>G46+G37+G22+G14</f>
        <v>46621</v>
      </c>
      <c r="H56" s="833">
        <f>H46+H37+H22+H14</f>
        <v>66344</v>
      </c>
      <c r="I56" s="834"/>
    </row>
    <row r="57" spans="1:9" ht="12" customHeight="1" x14ac:dyDescent="0.2">
      <c r="A57" s="814"/>
      <c r="B57" s="814"/>
      <c r="C57" s="832"/>
      <c r="D57" s="832"/>
      <c r="E57" s="832"/>
      <c r="F57" s="483"/>
      <c r="G57" s="483"/>
      <c r="H57" s="483"/>
      <c r="I57" s="511"/>
    </row>
    <row r="58" spans="1:9" ht="12" customHeight="1" x14ac:dyDescent="0.2">
      <c r="A58" s="814"/>
      <c r="B58" s="814"/>
      <c r="C58" s="832"/>
      <c r="D58" s="832"/>
      <c r="E58" s="832"/>
      <c r="F58" s="483"/>
      <c r="G58" s="483"/>
      <c r="H58" s="483"/>
      <c r="I58" s="511"/>
    </row>
  </sheetData>
  <sheetProtection password="CA5B" sheet="1" objects="1" scenarios="1"/>
  <mergeCells count="37">
    <mergeCell ref="E1:I3"/>
    <mergeCell ref="A14:B14"/>
    <mergeCell ref="A20:A21"/>
    <mergeCell ref="B20:B21"/>
    <mergeCell ref="C20:C21"/>
    <mergeCell ref="D20:D21"/>
    <mergeCell ref="I20:I21"/>
    <mergeCell ref="A7:I7"/>
    <mergeCell ref="C9:I9"/>
    <mergeCell ref="A12:A13"/>
    <mergeCell ref="B12:B13"/>
    <mergeCell ref="C12:C13"/>
    <mergeCell ref="D12:D13"/>
    <mergeCell ref="E12:E13"/>
    <mergeCell ref="I12:I13"/>
    <mergeCell ref="I35:I36"/>
    <mergeCell ref="A37:B37"/>
    <mergeCell ref="A44:A45"/>
    <mergeCell ref="B44:B45"/>
    <mergeCell ref="C44:C45"/>
    <mergeCell ref="D44:D45"/>
    <mergeCell ref="E44:E45"/>
    <mergeCell ref="I44:I45"/>
    <mergeCell ref="D35:D36"/>
    <mergeCell ref="E35:E36"/>
    <mergeCell ref="A22:B22"/>
    <mergeCell ref="A23:A26"/>
    <mergeCell ref="B23:B26"/>
    <mergeCell ref="C32:I32"/>
    <mergeCell ref="E20:E21"/>
    <mergeCell ref="A56:B56"/>
    <mergeCell ref="A35:A36"/>
    <mergeCell ref="B35:B36"/>
    <mergeCell ref="C35:C36"/>
    <mergeCell ref="A46:B46"/>
    <mergeCell ref="A47:A54"/>
    <mergeCell ref="B47:B54"/>
  </mergeCells>
  <pageMargins left="0.98425196850393704" right="0.39370078740157483" top="0.39370078740157483" bottom="0.39370078740157483" header="0.51181102362204722" footer="0.51181102362204722"/>
  <pageSetup paperSize="9" scale="70" orientation="portrait" r:id="rId1"/>
  <headerFooter alignWithMargins="0">
    <oddFooter xml:space="preserve">&amp;R&amp;"Times New Roman,Regular"&amp;8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63"/>
  <sheetViews>
    <sheetView zoomScale="90" zoomScaleNormal="90" workbookViewId="0">
      <selection activeCell="O10" sqref="O10"/>
    </sheetView>
  </sheetViews>
  <sheetFormatPr defaultRowHeight="12" x14ac:dyDescent="0.2"/>
  <cols>
    <col min="1" max="1" width="5.140625" style="215" customWidth="1"/>
    <col min="2" max="2" width="34" style="215" customWidth="1"/>
    <col min="3" max="3" width="9.5703125" style="215" customWidth="1"/>
    <col min="4" max="4" width="9.42578125" style="225" customWidth="1"/>
    <col min="5" max="5" width="10.140625" style="215" customWidth="1"/>
    <col min="6" max="6" width="11.140625" style="215" customWidth="1"/>
    <col min="7" max="7" width="9.5703125" style="810" hidden="1" customWidth="1"/>
    <col min="8" max="8" width="10.28515625" style="810" customWidth="1"/>
    <col min="9" max="9" width="10.5703125" style="215" customWidth="1"/>
    <col min="10" max="10" width="9.7109375" style="215" hidden="1" customWidth="1"/>
    <col min="11" max="11" width="9.7109375" style="215" customWidth="1"/>
    <col min="12" max="12" width="36.5703125" style="1834" customWidth="1"/>
    <col min="13" max="251" width="9.140625" style="215"/>
    <col min="252" max="252" width="6.140625" style="215" customWidth="1"/>
    <col min="253" max="253" width="31.7109375" style="215" customWidth="1"/>
    <col min="254" max="255" width="11.85546875" style="215" customWidth="1"/>
    <col min="256" max="258" width="11.140625" style="215" customWidth="1"/>
    <col min="259" max="259" width="10.28515625" style="215" customWidth="1"/>
    <col min="260" max="260" width="10.5703125" style="215" customWidth="1"/>
    <col min="261" max="262" width="9.7109375" style="215" customWidth="1"/>
    <col min="263" max="263" width="36.5703125" style="215" customWidth="1"/>
    <col min="264" max="264" width="17.42578125" style="215" customWidth="1"/>
    <col min="265" max="507" width="9.140625" style="215"/>
    <col min="508" max="508" width="6.140625" style="215" customWidth="1"/>
    <col min="509" max="509" width="31.7109375" style="215" customWidth="1"/>
    <col min="510" max="511" width="11.85546875" style="215" customWidth="1"/>
    <col min="512" max="514" width="11.140625" style="215" customWidth="1"/>
    <col min="515" max="515" width="10.28515625" style="215" customWidth="1"/>
    <col min="516" max="516" width="10.5703125" style="215" customWidth="1"/>
    <col min="517" max="518" width="9.7109375" style="215" customWidth="1"/>
    <col min="519" max="519" width="36.5703125" style="215" customWidth="1"/>
    <col min="520" max="520" width="17.42578125" style="215" customWidth="1"/>
    <col min="521" max="763" width="9.140625" style="215"/>
    <col min="764" max="764" width="6.140625" style="215" customWidth="1"/>
    <col min="765" max="765" width="31.7109375" style="215" customWidth="1"/>
    <col min="766" max="767" width="11.85546875" style="215" customWidth="1"/>
    <col min="768" max="770" width="11.140625" style="215" customWidth="1"/>
    <col min="771" max="771" width="10.28515625" style="215" customWidth="1"/>
    <col min="772" max="772" width="10.5703125" style="215" customWidth="1"/>
    <col min="773" max="774" width="9.7109375" style="215" customWidth="1"/>
    <col min="775" max="775" width="36.5703125" style="215" customWidth="1"/>
    <col min="776" max="776" width="17.42578125" style="215" customWidth="1"/>
    <col min="777" max="1019" width="9.140625" style="215"/>
    <col min="1020" max="1020" width="6.140625" style="215" customWidth="1"/>
    <col min="1021" max="1021" width="31.7109375" style="215" customWidth="1"/>
    <col min="1022" max="1023" width="11.85546875" style="215" customWidth="1"/>
    <col min="1024" max="1026" width="11.140625" style="215" customWidth="1"/>
    <col min="1027" max="1027" width="10.28515625" style="215" customWidth="1"/>
    <col min="1028" max="1028" width="10.5703125" style="215" customWidth="1"/>
    <col min="1029" max="1030" width="9.7109375" style="215" customWidth="1"/>
    <col min="1031" max="1031" width="36.5703125" style="215" customWidth="1"/>
    <col min="1032" max="1032" width="17.42578125" style="215" customWidth="1"/>
    <col min="1033" max="1275" width="9.140625" style="215"/>
    <col min="1276" max="1276" width="6.140625" style="215" customWidth="1"/>
    <col min="1277" max="1277" width="31.7109375" style="215" customWidth="1"/>
    <col min="1278" max="1279" width="11.85546875" style="215" customWidth="1"/>
    <col min="1280" max="1282" width="11.140625" style="215" customWidth="1"/>
    <col min="1283" max="1283" width="10.28515625" style="215" customWidth="1"/>
    <col min="1284" max="1284" width="10.5703125" style="215" customWidth="1"/>
    <col min="1285" max="1286" width="9.7109375" style="215" customWidth="1"/>
    <col min="1287" max="1287" width="36.5703125" style="215" customWidth="1"/>
    <col min="1288" max="1288" width="17.42578125" style="215" customWidth="1"/>
    <col min="1289" max="1531" width="9.140625" style="215"/>
    <col min="1532" max="1532" width="6.140625" style="215" customWidth="1"/>
    <col min="1533" max="1533" width="31.7109375" style="215" customWidth="1"/>
    <col min="1534" max="1535" width="11.85546875" style="215" customWidth="1"/>
    <col min="1536" max="1538" width="11.140625" style="215" customWidth="1"/>
    <col min="1539" max="1539" width="10.28515625" style="215" customWidth="1"/>
    <col min="1540" max="1540" width="10.5703125" style="215" customWidth="1"/>
    <col min="1541" max="1542" width="9.7109375" style="215" customWidth="1"/>
    <col min="1543" max="1543" width="36.5703125" style="215" customWidth="1"/>
    <col min="1544" max="1544" width="17.42578125" style="215" customWidth="1"/>
    <col min="1545" max="1787" width="9.140625" style="215"/>
    <col min="1788" max="1788" width="6.140625" style="215" customWidth="1"/>
    <col min="1789" max="1789" width="31.7109375" style="215" customWidth="1"/>
    <col min="1790" max="1791" width="11.85546875" style="215" customWidth="1"/>
    <col min="1792" max="1794" width="11.140625" style="215" customWidth="1"/>
    <col min="1795" max="1795" width="10.28515625" style="215" customWidth="1"/>
    <col min="1796" max="1796" width="10.5703125" style="215" customWidth="1"/>
    <col min="1797" max="1798" width="9.7109375" style="215" customWidth="1"/>
    <col min="1799" max="1799" width="36.5703125" style="215" customWidth="1"/>
    <col min="1800" max="1800" width="17.42578125" style="215" customWidth="1"/>
    <col min="1801" max="2043" width="9.140625" style="215"/>
    <col min="2044" max="2044" width="6.140625" style="215" customWidth="1"/>
    <col min="2045" max="2045" width="31.7109375" style="215" customWidth="1"/>
    <col min="2046" max="2047" width="11.85546875" style="215" customWidth="1"/>
    <col min="2048" max="2050" width="11.140625" style="215" customWidth="1"/>
    <col min="2051" max="2051" width="10.28515625" style="215" customWidth="1"/>
    <col min="2052" max="2052" width="10.5703125" style="215" customWidth="1"/>
    <col min="2053" max="2054" width="9.7109375" style="215" customWidth="1"/>
    <col min="2055" max="2055" width="36.5703125" style="215" customWidth="1"/>
    <col min="2056" max="2056" width="17.42578125" style="215" customWidth="1"/>
    <col min="2057" max="2299" width="9.140625" style="215"/>
    <col min="2300" max="2300" width="6.140625" style="215" customWidth="1"/>
    <col min="2301" max="2301" width="31.7109375" style="215" customWidth="1"/>
    <col min="2302" max="2303" width="11.85546875" style="215" customWidth="1"/>
    <col min="2304" max="2306" width="11.140625" style="215" customWidth="1"/>
    <col min="2307" max="2307" width="10.28515625" style="215" customWidth="1"/>
    <col min="2308" max="2308" width="10.5703125" style="215" customWidth="1"/>
    <col min="2309" max="2310" width="9.7109375" style="215" customWidth="1"/>
    <col min="2311" max="2311" width="36.5703125" style="215" customWidth="1"/>
    <col min="2312" max="2312" width="17.42578125" style="215" customWidth="1"/>
    <col min="2313" max="2555" width="9.140625" style="215"/>
    <col min="2556" max="2556" width="6.140625" style="215" customWidth="1"/>
    <col min="2557" max="2557" width="31.7109375" style="215" customWidth="1"/>
    <col min="2558" max="2559" width="11.85546875" style="215" customWidth="1"/>
    <col min="2560" max="2562" width="11.140625" style="215" customWidth="1"/>
    <col min="2563" max="2563" width="10.28515625" style="215" customWidth="1"/>
    <col min="2564" max="2564" width="10.5703125" style="215" customWidth="1"/>
    <col min="2565" max="2566" width="9.7109375" style="215" customWidth="1"/>
    <col min="2567" max="2567" width="36.5703125" style="215" customWidth="1"/>
    <col min="2568" max="2568" width="17.42578125" style="215" customWidth="1"/>
    <col min="2569" max="2811" width="9.140625" style="215"/>
    <col min="2812" max="2812" width="6.140625" style="215" customWidth="1"/>
    <col min="2813" max="2813" width="31.7109375" style="215" customWidth="1"/>
    <col min="2814" max="2815" width="11.85546875" style="215" customWidth="1"/>
    <col min="2816" max="2818" width="11.140625" style="215" customWidth="1"/>
    <col min="2819" max="2819" width="10.28515625" style="215" customWidth="1"/>
    <col min="2820" max="2820" width="10.5703125" style="215" customWidth="1"/>
    <col min="2821" max="2822" width="9.7109375" style="215" customWidth="1"/>
    <col min="2823" max="2823" width="36.5703125" style="215" customWidth="1"/>
    <col min="2824" max="2824" width="17.42578125" style="215" customWidth="1"/>
    <col min="2825" max="3067" width="9.140625" style="215"/>
    <col min="3068" max="3068" width="6.140625" style="215" customWidth="1"/>
    <col min="3069" max="3069" width="31.7109375" style="215" customWidth="1"/>
    <col min="3070" max="3071" width="11.85546875" style="215" customWidth="1"/>
    <col min="3072" max="3074" width="11.140625" style="215" customWidth="1"/>
    <col min="3075" max="3075" width="10.28515625" style="215" customWidth="1"/>
    <col min="3076" max="3076" width="10.5703125" style="215" customWidth="1"/>
    <col min="3077" max="3078" width="9.7109375" style="215" customWidth="1"/>
    <col min="3079" max="3079" width="36.5703125" style="215" customWidth="1"/>
    <col min="3080" max="3080" width="17.42578125" style="215" customWidth="1"/>
    <col min="3081" max="3323" width="9.140625" style="215"/>
    <col min="3324" max="3324" width="6.140625" style="215" customWidth="1"/>
    <col min="3325" max="3325" width="31.7109375" style="215" customWidth="1"/>
    <col min="3326" max="3327" width="11.85546875" style="215" customWidth="1"/>
    <col min="3328" max="3330" width="11.140625" style="215" customWidth="1"/>
    <col min="3331" max="3331" width="10.28515625" style="215" customWidth="1"/>
    <col min="3332" max="3332" width="10.5703125" style="215" customWidth="1"/>
    <col min="3333" max="3334" width="9.7109375" style="215" customWidth="1"/>
    <col min="3335" max="3335" width="36.5703125" style="215" customWidth="1"/>
    <col min="3336" max="3336" width="17.42578125" style="215" customWidth="1"/>
    <col min="3337" max="3579" width="9.140625" style="215"/>
    <col min="3580" max="3580" width="6.140625" style="215" customWidth="1"/>
    <col min="3581" max="3581" width="31.7109375" style="215" customWidth="1"/>
    <col min="3582" max="3583" width="11.85546875" style="215" customWidth="1"/>
    <col min="3584" max="3586" width="11.140625" style="215" customWidth="1"/>
    <col min="3587" max="3587" width="10.28515625" style="215" customWidth="1"/>
    <col min="3588" max="3588" width="10.5703125" style="215" customWidth="1"/>
    <col min="3589" max="3590" width="9.7109375" style="215" customWidth="1"/>
    <col min="3591" max="3591" width="36.5703125" style="215" customWidth="1"/>
    <col min="3592" max="3592" width="17.42578125" style="215" customWidth="1"/>
    <col min="3593" max="3835" width="9.140625" style="215"/>
    <col min="3836" max="3836" width="6.140625" style="215" customWidth="1"/>
    <col min="3837" max="3837" width="31.7109375" style="215" customWidth="1"/>
    <col min="3838" max="3839" width="11.85546875" style="215" customWidth="1"/>
    <col min="3840" max="3842" width="11.140625" style="215" customWidth="1"/>
    <col min="3843" max="3843" width="10.28515625" style="215" customWidth="1"/>
    <col min="3844" max="3844" width="10.5703125" style="215" customWidth="1"/>
    <col min="3845" max="3846" width="9.7109375" style="215" customWidth="1"/>
    <col min="3847" max="3847" width="36.5703125" style="215" customWidth="1"/>
    <col min="3848" max="3848" width="17.42578125" style="215" customWidth="1"/>
    <col min="3849" max="4091" width="9.140625" style="215"/>
    <col min="4092" max="4092" width="6.140625" style="215" customWidth="1"/>
    <col min="4093" max="4093" width="31.7109375" style="215" customWidth="1"/>
    <col min="4094" max="4095" width="11.85546875" style="215" customWidth="1"/>
    <col min="4096" max="4098" width="11.140625" style="215" customWidth="1"/>
    <col min="4099" max="4099" width="10.28515625" style="215" customWidth="1"/>
    <col min="4100" max="4100" width="10.5703125" style="215" customWidth="1"/>
    <col min="4101" max="4102" width="9.7109375" style="215" customWidth="1"/>
    <col min="4103" max="4103" width="36.5703125" style="215" customWidth="1"/>
    <col min="4104" max="4104" width="17.42578125" style="215" customWidth="1"/>
    <col min="4105" max="4347" width="9.140625" style="215"/>
    <col min="4348" max="4348" width="6.140625" style="215" customWidth="1"/>
    <col min="4349" max="4349" width="31.7109375" style="215" customWidth="1"/>
    <col min="4350" max="4351" width="11.85546875" style="215" customWidth="1"/>
    <col min="4352" max="4354" width="11.140625" style="215" customWidth="1"/>
    <col min="4355" max="4355" width="10.28515625" style="215" customWidth="1"/>
    <col min="4356" max="4356" width="10.5703125" style="215" customWidth="1"/>
    <col min="4357" max="4358" width="9.7109375" style="215" customWidth="1"/>
    <col min="4359" max="4359" width="36.5703125" style="215" customWidth="1"/>
    <col min="4360" max="4360" width="17.42578125" style="215" customWidth="1"/>
    <col min="4361" max="4603" width="9.140625" style="215"/>
    <col min="4604" max="4604" width="6.140625" style="215" customWidth="1"/>
    <col min="4605" max="4605" width="31.7109375" style="215" customWidth="1"/>
    <col min="4606" max="4607" width="11.85546875" style="215" customWidth="1"/>
    <col min="4608" max="4610" width="11.140625" style="215" customWidth="1"/>
    <col min="4611" max="4611" width="10.28515625" style="215" customWidth="1"/>
    <col min="4612" max="4612" width="10.5703125" style="215" customWidth="1"/>
    <col min="4613" max="4614" width="9.7109375" style="215" customWidth="1"/>
    <col min="4615" max="4615" width="36.5703125" style="215" customWidth="1"/>
    <col min="4616" max="4616" width="17.42578125" style="215" customWidth="1"/>
    <col min="4617" max="4859" width="9.140625" style="215"/>
    <col min="4860" max="4860" width="6.140625" style="215" customWidth="1"/>
    <col min="4861" max="4861" width="31.7109375" style="215" customWidth="1"/>
    <col min="4862" max="4863" width="11.85546875" style="215" customWidth="1"/>
    <col min="4864" max="4866" width="11.140625" style="215" customWidth="1"/>
    <col min="4867" max="4867" width="10.28515625" style="215" customWidth="1"/>
    <col min="4868" max="4868" width="10.5703125" style="215" customWidth="1"/>
    <col min="4869" max="4870" width="9.7109375" style="215" customWidth="1"/>
    <col min="4871" max="4871" width="36.5703125" style="215" customWidth="1"/>
    <col min="4872" max="4872" width="17.42578125" style="215" customWidth="1"/>
    <col min="4873" max="5115" width="9.140625" style="215"/>
    <col min="5116" max="5116" width="6.140625" style="215" customWidth="1"/>
    <col min="5117" max="5117" width="31.7109375" style="215" customWidth="1"/>
    <col min="5118" max="5119" width="11.85546875" style="215" customWidth="1"/>
    <col min="5120" max="5122" width="11.140625" style="215" customWidth="1"/>
    <col min="5123" max="5123" width="10.28515625" style="215" customWidth="1"/>
    <col min="5124" max="5124" width="10.5703125" style="215" customWidth="1"/>
    <col min="5125" max="5126" width="9.7109375" style="215" customWidth="1"/>
    <col min="5127" max="5127" width="36.5703125" style="215" customWidth="1"/>
    <col min="5128" max="5128" width="17.42578125" style="215" customWidth="1"/>
    <col min="5129" max="5371" width="9.140625" style="215"/>
    <col min="5372" max="5372" width="6.140625" style="215" customWidth="1"/>
    <col min="5373" max="5373" width="31.7109375" style="215" customWidth="1"/>
    <col min="5374" max="5375" width="11.85546875" style="215" customWidth="1"/>
    <col min="5376" max="5378" width="11.140625" style="215" customWidth="1"/>
    <col min="5379" max="5379" width="10.28515625" style="215" customWidth="1"/>
    <col min="5380" max="5380" width="10.5703125" style="215" customWidth="1"/>
    <col min="5381" max="5382" width="9.7109375" style="215" customWidth="1"/>
    <col min="5383" max="5383" width="36.5703125" style="215" customWidth="1"/>
    <col min="5384" max="5384" width="17.42578125" style="215" customWidth="1"/>
    <col min="5385" max="5627" width="9.140625" style="215"/>
    <col min="5628" max="5628" width="6.140625" style="215" customWidth="1"/>
    <col min="5629" max="5629" width="31.7109375" style="215" customWidth="1"/>
    <col min="5630" max="5631" width="11.85546875" style="215" customWidth="1"/>
    <col min="5632" max="5634" width="11.140625" style="215" customWidth="1"/>
    <col min="5635" max="5635" width="10.28515625" style="215" customWidth="1"/>
    <col min="5636" max="5636" width="10.5703125" style="215" customWidth="1"/>
    <col min="5637" max="5638" width="9.7109375" style="215" customWidth="1"/>
    <col min="5639" max="5639" width="36.5703125" style="215" customWidth="1"/>
    <col min="5640" max="5640" width="17.42578125" style="215" customWidth="1"/>
    <col min="5641" max="5883" width="9.140625" style="215"/>
    <col min="5884" max="5884" width="6.140625" style="215" customWidth="1"/>
    <col min="5885" max="5885" width="31.7109375" style="215" customWidth="1"/>
    <col min="5886" max="5887" width="11.85546875" style="215" customWidth="1"/>
    <col min="5888" max="5890" width="11.140625" style="215" customWidth="1"/>
    <col min="5891" max="5891" width="10.28515625" style="215" customWidth="1"/>
    <col min="5892" max="5892" width="10.5703125" style="215" customWidth="1"/>
    <col min="5893" max="5894" width="9.7109375" style="215" customWidth="1"/>
    <col min="5895" max="5895" width="36.5703125" style="215" customWidth="1"/>
    <col min="5896" max="5896" width="17.42578125" style="215" customWidth="1"/>
    <col min="5897" max="6139" width="9.140625" style="215"/>
    <col min="6140" max="6140" width="6.140625" style="215" customWidth="1"/>
    <col min="6141" max="6141" width="31.7109375" style="215" customWidth="1"/>
    <col min="6142" max="6143" width="11.85546875" style="215" customWidth="1"/>
    <col min="6144" max="6146" width="11.140625" style="215" customWidth="1"/>
    <col min="6147" max="6147" width="10.28515625" style="215" customWidth="1"/>
    <col min="6148" max="6148" width="10.5703125" style="215" customWidth="1"/>
    <col min="6149" max="6150" width="9.7109375" style="215" customWidth="1"/>
    <col min="6151" max="6151" width="36.5703125" style="215" customWidth="1"/>
    <col min="6152" max="6152" width="17.42578125" style="215" customWidth="1"/>
    <col min="6153" max="6395" width="9.140625" style="215"/>
    <col min="6396" max="6396" width="6.140625" style="215" customWidth="1"/>
    <col min="6397" max="6397" width="31.7109375" style="215" customWidth="1"/>
    <col min="6398" max="6399" width="11.85546875" style="215" customWidth="1"/>
    <col min="6400" max="6402" width="11.140625" style="215" customWidth="1"/>
    <col min="6403" max="6403" width="10.28515625" style="215" customWidth="1"/>
    <col min="6404" max="6404" width="10.5703125" style="215" customWidth="1"/>
    <col min="6405" max="6406" width="9.7109375" style="215" customWidth="1"/>
    <col min="6407" max="6407" width="36.5703125" style="215" customWidth="1"/>
    <col min="6408" max="6408" width="17.42578125" style="215" customWidth="1"/>
    <col min="6409" max="6651" width="9.140625" style="215"/>
    <col min="6652" max="6652" width="6.140625" style="215" customWidth="1"/>
    <col min="6653" max="6653" width="31.7109375" style="215" customWidth="1"/>
    <col min="6654" max="6655" width="11.85546875" style="215" customWidth="1"/>
    <col min="6656" max="6658" width="11.140625" style="215" customWidth="1"/>
    <col min="6659" max="6659" width="10.28515625" style="215" customWidth="1"/>
    <col min="6660" max="6660" width="10.5703125" style="215" customWidth="1"/>
    <col min="6661" max="6662" width="9.7109375" style="215" customWidth="1"/>
    <col min="6663" max="6663" width="36.5703125" style="215" customWidth="1"/>
    <col min="6664" max="6664" width="17.42578125" style="215" customWidth="1"/>
    <col min="6665" max="6907" width="9.140625" style="215"/>
    <col min="6908" max="6908" width="6.140625" style="215" customWidth="1"/>
    <col min="6909" max="6909" width="31.7109375" style="215" customWidth="1"/>
    <col min="6910" max="6911" width="11.85546875" style="215" customWidth="1"/>
    <col min="6912" max="6914" width="11.140625" style="215" customWidth="1"/>
    <col min="6915" max="6915" width="10.28515625" style="215" customWidth="1"/>
    <col min="6916" max="6916" width="10.5703125" style="215" customWidth="1"/>
    <col min="6917" max="6918" width="9.7109375" style="215" customWidth="1"/>
    <col min="6919" max="6919" width="36.5703125" style="215" customWidth="1"/>
    <col min="6920" max="6920" width="17.42578125" style="215" customWidth="1"/>
    <col min="6921" max="7163" width="9.140625" style="215"/>
    <col min="7164" max="7164" width="6.140625" style="215" customWidth="1"/>
    <col min="7165" max="7165" width="31.7109375" style="215" customWidth="1"/>
    <col min="7166" max="7167" width="11.85546875" style="215" customWidth="1"/>
    <col min="7168" max="7170" width="11.140625" style="215" customWidth="1"/>
    <col min="7171" max="7171" width="10.28515625" style="215" customWidth="1"/>
    <col min="7172" max="7172" width="10.5703125" style="215" customWidth="1"/>
    <col min="7173" max="7174" width="9.7109375" style="215" customWidth="1"/>
    <col min="7175" max="7175" width="36.5703125" style="215" customWidth="1"/>
    <col min="7176" max="7176" width="17.42578125" style="215" customWidth="1"/>
    <col min="7177" max="7419" width="9.140625" style="215"/>
    <col min="7420" max="7420" width="6.140625" style="215" customWidth="1"/>
    <col min="7421" max="7421" width="31.7109375" style="215" customWidth="1"/>
    <col min="7422" max="7423" width="11.85546875" style="215" customWidth="1"/>
    <col min="7424" max="7426" width="11.140625" style="215" customWidth="1"/>
    <col min="7427" max="7427" width="10.28515625" style="215" customWidth="1"/>
    <col min="7428" max="7428" width="10.5703125" style="215" customWidth="1"/>
    <col min="7429" max="7430" width="9.7109375" style="215" customWidth="1"/>
    <col min="7431" max="7431" width="36.5703125" style="215" customWidth="1"/>
    <col min="7432" max="7432" width="17.42578125" style="215" customWidth="1"/>
    <col min="7433" max="7675" width="9.140625" style="215"/>
    <col min="7676" max="7676" width="6.140625" style="215" customWidth="1"/>
    <col min="7677" max="7677" width="31.7109375" style="215" customWidth="1"/>
    <col min="7678" max="7679" width="11.85546875" style="215" customWidth="1"/>
    <col min="7680" max="7682" width="11.140625" style="215" customWidth="1"/>
    <col min="7683" max="7683" width="10.28515625" style="215" customWidth="1"/>
    <col min="7684" max="7684" width="10.5703125" style="215" customWidth="1"/>
    <col min="7685" max="7686" width="9.7109375" style="215" customWidth="1"/>
    <col min="7687" max="7687" width="36.5703125" style="215" customWidth="1"/>
    <col min="7688" max="7688" width="17.42578125" style="215" customWidth="1"/>
    <col min="7689" max="7931" width="9.140625" style="215"/>
    <col min="7932" max="7932" width="6.140625" style="215" customWidth="1"/>
    <col min="7933" max="7933" width="31.7109375" style="215" customWidth="1"/>
    <col min="7934" max="7935" width="11.85546875" style="215" customWidth="1"/>
    <col min="7936" max="7938" width="11.140625" style="215" customWidth="1"/>
    <col min="7939" max="7939" width="10.28515625" style="215" customWidth="1"/>
    <col min="7940" max="7940" width="10.5703125" style="215" customWidth="1"/>
    <col min="7941" max="7942" width="9.7109375" style="215" customWidth="1"/>
    <col min="7943" max="7943" width="36.5703125" style="215" customWidth="1"/>
    <col min="7944" max="7944" width="17.42578125" style="215" customWidth="1"/>
    <col min="7945" max="8187" width="9.140625" style="215"/>
    <col min="8188" max="8188" width="6.140625" style="215" customWidth="1"/>
    <col min="8189" max="8189" width="31.7109375" style="215" customWidth="1"/>
    <col min="8190" max="8191" width="11.85546875" style="215" customWidth="1"/>
    <col min="8192" max="8194" width="11.140625" style="215" customWidth="1"/>
    <col min="8195" max="8195" width="10.28515625" style="215" customWidth="1"/>
    <col min="8196" max="8196" width="10.5703125" style="215" customWidth="1"/>
    <col min="8197" max="8198" width="9.7109375" style="215" customWidth="1"/>
    <col min="8199" max="8199" width="36.5703125" style="215" customWidth="1"/>
    <col min="8200" max="8200" width="17.42578125" style="215" customWidth="1"/>
    <col min="8201" max="8443" width="9.140625" style="215"/>
    <col min="8444" max="8444" width="6.140625" style="215" customWidth="1"/>
    <col min="8445" max="8445" width="31.7109375" style="215" customWidth="1"/>
    <col min="8446" max="8447" width="11.85546875" style="215" customWidth="1"/>
    <col min="8448" max="8450" width="11.140625" style="215" customWidth="1"/>
    <col min="8451" max="8451" width="10.28515625" style="215" customWidth="1"/>
    <col min="8452" max="8452" width="10.5703125" style="215" customWidth="1"/>
    <col min="8453" max="8454" width="9.7109375" style="215" customWidth="1"/>
    <col min="8455" max="8455" width="36.5703125" style="215" customWidth="1"/>
    <col min="8456" max="8456" width="17.42578125" style="215" customWidth="1"/>
    <col min="8457" max="8699" width="9.140625" style="215"/>
    <col min="8700" max="8700" width="6.140625" style="215" customWidth="1"/>
    <col min="8701" max="8701" width="31.7109375" style="215" customWidth="1"/>
    <col min="8702" max="8703" width="11.85546875" style="215" customWidth="1"/>
    <col min="8704" max="8706" width="11.140625" style="215" customWidth="1"/>
    <col min="8707" max="8707" width="10.28515625" style="215" customWidth="1"/>
    <col min="8708" max="8708" width="10.5703125" style="215" customWidth="1"/>
    <col min="8709" max="8710" width="9.7109375" style="215" customWidth="1"/>
    <col min="8711" max="8711" width="36.5703125" style="215" customWidth="1"/>
    <col min="8712" max="8712" width="17.42578125" style="215" customWidth="1"/>
    <col min="8713" max="8955" width="9.140625" style="215"/>
    <col min="8956" max="8956" width="6.140625" style="215" customWidth="1"/>
    <col min="8957" max="8957" width="31.7109375" style="215" customWidth="1"/>
    <col min="8958" max="8959" width="11.85546875" style="215" customWidth="1"/>
    <col min="8960" max="8962" width="11.140625" style="215" customWidth="1"/>
    <col min="8963" max="8963" width="10.28515625" style="215" customWidth="1"/>
    <col min="8964" max="8964" width="10.5703125" style="215" customWidth="1"/>
    <col min="8965" max="8966" width="9.7109375" style="215" customWidth="1"/>
    <col min="8967" max="8967" width="36.5703125" style="215" customWidth="1"/>
    <col min="8968" max="8968" width="17.42578125" style="215" customWidth="1"/>
    <col min="8969" max="9211" width="9.140625" style="215"/>
    <col min="9212" max="9212" width="6.140625" style="215" customWidth="1"/>
    <col min="9213" max="9213" width="31.7109375" style="215" customWidth="1"/>
    <col min="9214" max="9215" width="11.85546875" style="215" customWidth="1"/>
    <col min="9216" max="9218" width="11.140625" style="215" customWidth="1"/>
    <col min="9219" max="9219" width="10.28515625" style="215" customWidth="1"/>
    <col min="9220" max="9220" width="10.5703125" style="215" customWidth="1"/>
    <col min="9221" max="9222" width="9.7109375" style="215" customWidth="1"/>
    <col min="9223" max="9223" width="36.5703125" style="215" customWidth="1"/>
    <col min="9224" max="9224" width="17.42578125" style="215" customWidth="1"/>
    <col min="9225" max="9467" width="9.140625" style="215"/>
    <col min="9468" max="9468" width="6.140625" style="215" customWidth="1"/>
    <col min="9469" max="9469" width="31.7109375" style="215" customWidth="1"/>
    <col min="9470" max="9471" width="11.85546875" style="215" customWidth="1"/>
    <col min="9472" max="9474" width="11.140625" style="215" customWidth="1"/>
    <col min="9475" max="9475" width="10.28515625" style="215" customWidth="1"/>
    <col min="9476" max="9476" width="10.5703125" style="215" customWidth="1"/>
    <col min="9477" max="9478" width="9.7109375" style="215" customWidth="1"/>
    <col min="9479" max="9479" width="36.5703125" style="215" customWidth="1"/>
    <col min="9480" max="9480" width="17.42578125" style="215" customWidth="1"/>
    <col min="9481" max="9723" width="9.140625" style="215"/>
    <col min="9724" max="9724" width="6.140625" style="215" customWidth="1"/>
    <col min="9725" max="9725" width="31.7109375" style="215" customWidth="1"/>
    <col min="9726" max="9727" width="11.85546875" style="215" customWidth="1"/>
    <col min="9728" max="9730" width="11.140625" style="215" customWidth="1"/>
    <col min="9731" max="9731" width="10.28515625" style="215" customWidth="1"/>
    <col min="9732" max="9732" width="10.5703125" style="215" customWidth="1"/>
    <col min="9733" max="9734" width="9.7109375" style="215" customWidth="1"/>
    <col min="9735" max="9735" width="36.5703125" style="215" customWidth="1"/>
    <col min="9736" max="9736" width="17.42578125" style="215" customWidth="1"/>
    <col min="9737" max="9979" width="9.140625" style="215"/>
    <col min="9980" max="9980" width="6.140625" style="215" customWidth="1"/>
    <col min="9981" max="9981" width="31.7109375" style="215" customWidth="1"/>
    <col min="9982" max="9983" width="11.85546875" style="215" customWidth="1"/>
    <col min="9984" max="9986" width="11.140625" style="215" customWidth="1"/>
    <col min="9987" max="9987" width="10.28515625" style="215" customWidth="1"/>
    <col min="9988" max="9988" width="10.5703125" style="215" customWidth="1"/>
    <col min="9989" max="9990" width="9.7109375" style="215" customWidth="1"/>
    <col min="9991" max="9991" width="36.5703125" style="215" customWidth="1"/>
    <col min="9992" max="9992" width="17.42578125" style="215" customWidth="1"/>
    <col min="9993" max="10235" width="9.140625" style="215"/>
    <col min="10236" max="10236" width="6.140625" style="215" customWidth="1"/>
    <col min="10237" max="10237" width="31.7109375" style="215" customWidth="1"/>
    <col min="10238" max="10239" width="11.85546875" style="215" customWidth="1"/>
    <col min="10240" max="10242" width="11.140625" style="215" customWidth="1"/>
    <col min="10243" max="10243" width="10.28515625" style="215" customWidth="1"/>
    <col min="10244" max="10244" width="10.5703125" style="215" customWidth="1"/>
    <col min="10245" max="10246" width="9.7109375" style="215" customWidth="1"/>
    <col min="10247" max="10247" width="36.5703125" style="215" customWidth="1"/>
    <col min="10248" max="10248" width="17.42578125" style="215" customWidth="1"/>
    <col min="10249" max="10491" width="9.140625" style="215"/>
    <col min="10492" max="10492" width="6.140625" style="215" customWidth="1"/>
    <col min="10493" max="10493" width="31.7109375" style="215" customWidth="1"/>
    <col min="10494" max="10495" width="11.85546875" style="215" customWidth="1"/>
    <col min="10496" max="10498" width="11.140625" style="215" customWidth="1"/>
    <col min="10499" max="10499" width="10.28515625" style="215" customWidth="1"/>
    <col min="10500" max="10500" width="10.5703125" style="215" customWidth="1"/>
    <col min="10501" max="10502" width="9.7109375" style="215" customWidth="1"/>
    <col min="10503" max="10503" width="36.5703125" style="215" customWidth="1"/>
    <col min="10504" max="10504" width="17.42578125" style="215" customWidth="1"/>
    <col min="10505" max="10747" width="9.140625" style="215"/>
    <col min="10748" max="10748" width="6.140625" style="215" customWidth="1"/>
    <col min="10749" max="10749" width="31.7109375" style="215" customWidth="1"/>
    <col min="10750" max="10751" width="11.85546875" style="215" customWidth="1"/>
    <col min="10752" max="10754" width="11.140625" style="215" customWidth="1"/>
    <col min="10755" max="10755" width="10.28515625" style="215" customWidth="1"/>
    <col min="10756" max="10756" width="10.5703125" style="215" customWidth="1"/>
    <col min="10757" max="10758" width="9.7109375" style="215" customWidth="1"/>
    <col min="10759" max="10759" width="36.5703125" style="215" customWidth="1"/>
    <col min="10760" max="10760" width="17.42578125" style="215" customWidth="1"/>
    <col min="10761" max="11003" width="9.140625" style="215"/>
    <col min="11004" max="11004" width="6.140625" style="215" customWidth="1"/>
    <col min="11005" max="11005" width="31.7109375" style="215" customWidth="1"/>
    <col min="11006" max="11007" width="11.85546875" style="215" customWidth="1"/>
    <col min="11008" max="11010" width="11.140625" style="215" customWidth="1"/>
    <col min="11011" max="11011" width="10.28515625" style="215" customWidth="1"/>
    <col min="11012" max="11012" width="10.5703125" style="215" customWidth="1"/>
    <col min="11013" max="11014" width="9.7109375" style="215" customWidth="1"/>
    <col min="11015" max="11015" width="36.5703125" style="215" customWidth="1"/>
    <col min="11016" max="11016" width="17.42578125" style="215" customWidth="1"/>
    <col min="11017" max="11259" width="9.140625" style="215"/>
    <col min="11260" max="11260" width="6.140625" style="215" customWidth="1"/>
    <col min="11261" max="11261" width="31.7109375" style="215" customWidth="1"/>
    <col min="11262" max="11263" width="11.85546875" style="215" customWidth="1"/>
    <col min="11264" max="11266" width="11.140625" style="215" customWidth="1"/>
    <col min="11267" max="11267" width="10.28515625" style="215" customWidth="1"/>
    <col min="11268" max="11268" width="10.5703125" style="215" customWidth="1"/>
    <col min="11269" max="11270" width="9.7109375" style="215" customWidth="1"/>
    <col min="11271" max="11271" width="36.5703125" style="215" customWidth="1"/>
    <col min="11272" max="11272" width="17.42578125" style="215" customWidth="1"/>
    <col min="11273" max="11515" width="9.140625" style="215"/>
    <col min="11516" max="11516" width="6.140625" style="215" customWidth="1"/>
    <col min="11517" max="11517" width="31.7109375" style="215" customWidth="1"/>
    <col min="11518" max="11519" width="11.85546875" style="215" customWidth="1"/>
    <col min="11520" max="11522" width="11.140625" style="215" customWidth="1"/>
    <col min="11523" max="11523" width="10.28515625" style="215" customWidth="1"/>
    <col min="11524" max="11524" width="10.5703125" style="215" customWidth="1"/>
    <col min="11525" max="11526" width="9.7109375" style="215" customWidth="1"/>
    <col min="11527" max="11527" width="36.5703125" style="215" customWidth="1"/>
    <col min="11528" max="11528" width="17.42578125" style="215" customWidth="1"/>
    <col min="11529" max="11771" width="9.140625" style="215"/>
    <col min="11772" max="11772" width="6.140625" style="215" customWidth="1"/>
    <col min="11773" max="11773" width="31.7109375" style="215" customWidth="1"/>
    <col min="11774" max="11775" width="11.85546875" style="215" customWidth="1"/>
    <col min="11776" max="11778" width="11.140625" style="215" customWidth="1"/>
    <col min="11779" max="11779" width="10.28515625" style="215" customWidth="1"/>
    <col min="11780" max="11780" width="10.5703125" style="215" customWidth="1"/>
    <col min="11781" max="11782" width="9.7109375" style="215" customWidth="1"/>
    <col min="11783" max="11783" width="36.5703125" style="215" customWidth="1"/>
    <col min="11784" max="11784" width="17.42578125" style="215" customWidth="1"/>
    <col min="11785" max="12027" width="9.140625" style="215"/>
    <col min="12028" max="12028" width="6.140625" style="215" customWidth="1"/>
    <col min="12029" max="12029" width="31.7109375" style="215" customWidth="1"/>
    <col min="12030" max="12031" width="11.85546875" style="215" customWidth="1"/>
    <col min="12032" max="12034" width="11.140625" style="215" customWidth="1"/>
    <col min="12035" max="12035" width="10.28515625" style="215" customWidth="1"/>
    <col min="12036" max="12036" width="10.5703125" style="215" customWidth="1"/>
    <col min="12037" max="12038" width="9.7109375" style="215" customWidth="1"/>
    <col min="12039" max="12039" width="36.5703125" style="215" customWidth="1"/>
    <col min="12040" max="12040" width="17.42578125" style="215" customWidth="1"/>
    <col min="12041" max="12283" width="9.140625" style="215"/>
    <col min="12284" max="12284" width="6.140625" style="215" customWidth="1"/>
    <col min="12285" max="12285" width="31.7109375" style="215" customWidth="1"/>
    <col min="12286" max="12287" width="11.85546875" style="215" customWidth="1"/>
    <col min="12288" max="12290" width="11.140625" style="215" customWidth="1"/>
    <col min="12291" max="12291" width="10.28515625" style="215" customWidth="1"/>
    <col min="12292" max="12292" width="10.5703125" style="215" customWidth="1"/>
    <col min="12293" max="12294" width="9.7109375" style="215" customWidth="1"/>
    <col min="12295" max="12295" width="36.5703125" style="215" customWidth="1"/>
    <col min="12296" max="12296" width="17.42578125" style="215" customWidth="1"/>
    <col min="12297" max="12539" width="9.140625" style="215"/>
    <col min="12540" max="12540" width="6.140625" style="215" customWidth="1"/>
    <col min="12541" max="12541" width="31.7109375" style="215" customWidth="1"/>
    <col min="12542" max="12543" width="11.85546875" style="215" customWidth="1"/>
    <col min="12544" max="12546" width="11.140625" style="215" customWidth="1"/>
    <col min="12547" max="12547" width="10.28515625" style="215" customWidth="1"/>
    <col min="12548" max="12548" width="10.5703125" style="215" customWidth="1"/>
    <col min="12549" max="12550" width="9.7109375" style="215" customWidth="1"/>
    <col min="12551" max="12551" width="36.5703125" style="215" customWidth="1"/>
    <col min="12552" max="12552" width="17.42578125" style="215" customWidth="1"/>
    <col min="12553" max="12795" width="9.140625" style="215"/>
    <col min="12796" max="12796" width="6.140625" style="215" customWidth="1"/>
    <col min="12797" max="12797" width="31.7109375" style="215" customWidth="1"/>
    <col min="12798" max="12799" width="11.85546875" style="215" customWidth="1"/>
    <col min="12800" max="12802" width="11.140625" style="215" customWidth="1"/>
    <col min="12803" max="12803" width="10.28515625" style="215" customWidth="1"/>
    <col min="12804" max="12804" width="10.5703125" style="215" customWidth="1"/>
    <col min="12805" max="12806" width="9.7109375" style="215" customWidth="1"/>
    <col min="12807" max="12807" width="36.5703125" style="215" customWidth="1"/>
    <col min="12808" max="12808" width="17.42578125" style="215" customWidth="1"/>
    <col min="12809" max="13051" width="9.140625" style="215"/>
    <col min="13052" max="13052" width="6.140625" style="215" customWidth="1"/>
    <col min="13053" max="13053" width="31.7109375" style="215" customWidth="1"/>
    <col min="13054" max="13055" width="11.85546875" style="215" customWidth="1"/>
    <col min="13056" max="13058" width="11.140625" style="215" customWidth="1"/>
    <col min="13059" max="13059" width="10.28515625" style="215" customWidth="1"/>
    <col min="13060" max="13060" width="10.5703125" style="215" customWidth="1"/>
    <col min="13061" max="13062" width="9.7109375" style="215" customWidth="1"/>
    <col min="13063" max="13063" width="36.5703125" style="215" customWidth="1"/>
    <col min="13064" max="13064" width="17.42578125" style="215" customWidth="1"/>
    <col min="13065" max="13307" width="9.140625" style="215"/>
    <col min="13308" max="13308" width="6.140625" style="215" customWidth="1"/>
    <col min="13309" max="13309" width="31.7109375" style="215" customWidth="1"/>
    <col min="13310" max="13311" width="11.85546875" style="215" customWidth="1"/>
    <col min="13312" max="13314" width="11.140625" style="215" customWidth="1"/>
    <col min="13315" max="13315" width="10.28515625" style="215" customWidth="1"/>
    <col min="13316" max="13316" width="10.5703125" style="215" customWidth="1"/>
    <col min="13317" max="13318" width="9.7109375" style="215" customWidth="1"/>
    <col min="13319" max="13319" width="36.5703125" style="215" customWidth="1"/>
    <col min="13320" max="13320" width="17.42578125" style="215" customWidth="1"/>
    <col min="13321" max="13563" width="9.140625" style="215"/>
    <col min="13564" max="13564" width="6.140625" style="215" customWidth="1"/>
    <col min="13565" max="13565" width="31.7109375" style="215" customWidth="1"/>
    <col min="13566" max="13567" width="11.85546875" style="215" customWidth="1"/>
    <col min="13568" max="13570" width="11.140625" style="215" customWidth="1"/>
    <col min="13571" max="13571" width="10.28515625" style="215" customWidth="1"/>
    <col min="13572" max="13572" width="10.5703125" style="215" customWidth="1"/>
    <col min="13573" max="13574" width="9.7109375" style="215" customWidth="1"/>
    <col min="13575" max="13575" width="36.5703125" style="215" customWidth="1"/>
    <col min="13576" max="13576" width="17.42578125" style="215" customWidth="1"/>
    <col min="13577" max="13819" width="9.140625" style="215"/>
    <col min="13820" max="13820" width="6.140625" style="215" customWidth="1"/>
    <col min="13821" max="13821" width="31.7109375" style="215" customWidth="1"/>
    <col min="13822" max="13823" width="11.85546875" style="215" customWidth="1"/>
    <col min="13824" max="13826" width="11.140625" style="215" customWidth="1"/>
    <col min="13827" max="13827" width="10.28515625" style="215" customWidth="1"/>
    <col min="13828" max="13828" width="10.5703125" style="215" customWidth="1"/>
    <col min="13829" max="13830" width="9.7109375" style="215" customWidth="1"/>
    <col min="13831" max="13831" width="36.5703125" style="215" customWidth="1"/>
    <col min="13832" max="13832" width="17.42578125" style="215" customWidth="1"/>
    <col min="13833" max="14075" width="9.140625" style="215"/>
    <col min="14076" max="14076" width="6.140625" style="215" customWidth="1"/>
    <col min="14077" max="14077" width="31.7109375" style="215" customWidth="1"/>
    <col min="14078" max="14079" width="11.85546875" style="215" customWidth="1"/>
    <col min="14080" max="14082" width="11.140625" style="215" customWidth="1"/>
    <col min="14083" max="14083" width="10.28515625" style="215" customWidth="1"/>
    <col min="14084" max="14084" width="10.5703125" style="215" customWidth="1"/>
    <col min="14085" max="14086" width="9.7109375" style="215" customWidth="1"/>
    <col min="14087" max="14087" width="36.5703125" style="215" customWidth="1"/>
    <col min="14088" max="14088" width="17.42578125" style="215" customWidth="1"/>
    <col min="14089" max="14331" width="9.140625" style="215"/>
    <col min="14332" max="14332" width="6.140625" style="215" customWidth="1"/>
    <col min="14333" max="14333" width="31.7109375" style="215" customWidth="1"/>
    <col min="14334" max="14335" width="11.85546875" style="215" customWidth="1"/>
    <col min="14336" max="14338" width="11.140625" style="215" customWidth="1"/>
    <col min="14339" max="14339" width="10.28515625" style="215" customWidth="1"/>
    <col min="14340" max="14340" width="10.5703125" style="215" customWidth="1"/>
    <col min="14341" max="14342" width="9.7109375" style="215" customWidth="1"/>
    <col min="14343" max="14343" width="36.5703125" style="215" customWidth="1"/>
    <col min="14344" max="14344" width="17.42578125" style="215" customWidth="1"/>
    <col min="14345" max="14587" width="9.140625" style="215"/>
    <col min="14588" max="14588" width="6.140625" style="215" customWidth="1"/>
    <col min="14589" max="14589" width="31.7109375" style="215" customWidth="1"/>
    <col min="14590" max="14591" width="11.85546875" style="215" customWidth="1"/>
    <col min="14592" max="14594" width="11.140625" style="215" customWidth="1"/>
    <col min="14595" max="14595" width="10.28515625" style="215" customWidth="1"/>
    <col min="14596" max="14596" width="10.5703125" style="215" customWidth="1"/>
    <col min="14597" max="14598" width="9.7109375" style="215" customWidth="1"/>
    <col min="14599" max="14599" width="36.5703125" style="215" customWidth="1"/>
    <col min="14600" max="14600" width="17.42578125" style="215" customWidth="1"/>
    <col min="14601" max="14843" width="9.140625" style="215"/>
    <col min="14844" max="14844" width="6.140625" style="215" customWidth="1"/>
    <col min="14845" max="14845" width="31.7109375" style="215" customWidth="1"/>
    <col min="14846" max="14847" width="11.85546875" style="215" customWidth="1"/>
    <col min="14848" max="14850" width="11.140625" style="215" customWidth="1"/>
    <col min="14851" max="14851" width="10.28515625" style="215" customWidth="1"/>
    <col min="14852" max="14852" width="10.5703125" style="215" customWidth="1"/>
    <col min="14853" max="14854" width="9.7109375" style="215" customWidth="1"/>
    <col min="14855" max="14855" width="36.5703125" style="215" customWidth="1"/>
    <col min="14856" max="14856" width="17.42578125" style="215" customWidth="1"/>
    <col min="14857" max="15099" width="9.140625" style="215"/>
    <col min="15100" max="15100" width="6.140625" style="215" customWidth="1"/>
    <col min="15101" max="15101" width="31.7109375" style="215" customWidth="1"/>
    <col min="15102" max="15103" width="11.85546875" style="215" customWidth="1"/>
    <col min="15104" max="15106" width="11.140625" style="215" customWidth="1"/>
    <col min="15107" max="15107" width="10.28515625" style="215" customWidth="1"/>
    <col min="15108" max="15108" width="10.5703125" style="215" customWidth="1"/>
    <col min="15109" max="15110" width="9.7109375" style="215" customWidth="1"/>
    <col min="15111" max="15111" width="36.5703125" style="215" customWidth="1"/>
    <col min="15112" max="15112" width="17.42578125" style="215" customWidth="1"/>
    <col min="15113" max="15355" width="9.140625" style="215"/>
    <col min="15356" max="15356" width="6.140625" style="215" customWidth="1"/>
    <col min="15357" max="15357" width="31.7109375" style="215" customWidth="1"/>
    <col min="15358" max="15359" width="11.85546875" style="215" customWidth="1"/>
    <col min="15360" max="15362" width="11.140625" style="215" customWidth="1"/>
    <col min="15363" max="15363" width="10.28515625" style="215" customWidth="1"/>
    <col min="15364" max="15364" width="10.5703125" style="215" customWidth="1"/>
    <col min="15365" max="15366" width="9.7109375" style="215" customWidth="1"/>
    <col min="15367" max="15367" width="36.5703125" style="215" customWidth="1"/>
    <col min="15368" max="15368" width="17.42578125" style="215" customWidth="1"/>
    <col min="15369" max="15611" width="9.140625" style="215"/>
    <col min="15612" max="15612" width="6.140625" style="215" customWidth="1"/>
    <col min="15613" max="15613" width="31.7109375" style="215" customWidth="1"/>
    <col min="15614" max="15615" width="11.85546875" style="215" customWidth="1"/>
    <col min="15616" max="15618" width="11.140625" style="215" customWidth="1"/>
    <col min="15619" max="15619" width="10.28515625" style="215" customWidth="1"/>
    <col min="15620" max="15620" width="10.5703125" style="215" customWidth="1"/>
    <col min="15621" max="15622" width="9.7109375" style="215" customWidth="1"/>
    <col min="15623" max="15623" width="36.5703125" style="215" customWidth="1"/>
    <col min="15624" max="15624" width="17.42578125" style="215" customWidth="1"/>
    <col min="15625" max="15867" width="9.140625" style="215"/>
    <col min="15868" max="15868" width="6.140625" style="215" customWidth="1"/>
    <col min="15869" max="15869" width="31.7109375" style="215" customWidth="1"/>
    <col min="15870" max="15871" width="11.85546875" style="215" customWidth="1"/>
    <col min="15872" max="15874" width="11.140625" style="215" customWidth="1"/>
    <col min="15875" max="15875" width="10.28515625" style="215" customWidth="1"/>
    <col min="15876" max="15876" width="10.5703125" style="215" customWidth="1"/>
    <col min="15877" max="15878" width="9.7109375" style="215" customWidth="1"/>
    <col min="15879" max="15879" width="36.5703125" style="215" customWidth="1"/>
    <col min="15880" max="15880" width="17.42578125" style="215" customWidth="1"/>
    <col min="15881" max="16123" width="9.140625" style="215"/>
    <col min="16124" max="16124" width="6.140625" style="215" customWidth="1"/>
    <col min="16125" max="16125" width="31.7109375" style="215" customWidth="1"/>
    <col min="16126" max="16127" width="11.85546875" style="215" customWidth="1"/>
    <col min="16128" max="16130" width="11.140625" style="215" customWidth="1"/>
    <col min="16131" max="16131" width="10.28515625" style="215" customWidth="1"/>
    <col min="16132" max="16132" width="10.5703125" style="215" customWidth="1"/>
    <col min="16133" max="16134" width="9.7109375" style="215" customWidth="1"/>
    <col min="16135" max="16135" width="36.5703125" style="215" customWidth="1"/>
    <col min="16136" max="16136" width="17.42578125" style="215" customWidth="1"/>
    <col min="16137" max="16384" width="9.140625" style="215"/>
  </cols>
  <sheetData>
    <row r="1" spans="1:12" x14ac:dyDescent="0.2">
      <c r="B1" s="216"/>
      <c r="C1" s="216"/>
      <c r="D1" s="216"/>
      <c r="E1" s="216"/>
      <c r="F1" s="216"/>
      <c r="G1" s="216"/>
      <c r="H1" s="216"/>
      <c r="I1" s="1978" t="s">
        <v>2196</v>
      </c>
      <c r="J1" s="1979"/>
      <c r="K1" s="1979"/>
      <c r="L1" s="1979"/>
    </row>
    <row r="2" spans="1:12" x14ac:dyDescent="0.2">
      <c r="B2" s="216"/>
      <c r="C2" s="1869"/>
      <c r="D2" s="1869"/>
      <c r="E2" s="1869"/>
      <c r="F2" s="1869"/>
      <c r="G2" s="1869"/>
      <c r="H2" s="1869"/>
      <c r="I2" s="1979"/>
      <c r="J2" s="1979"/>
      <c r="K2" s="1979"/>
      <c r="L2" s="1979"/>
    </row>
    <row r="3" spans="1:12" x14ac:dyDescent="0.2">
      <c r="B3" s="216"/>
      <c r="C3" s="1869"/>
      <c r="D3" s="1869"/>
      <c r="E3" s="1869"/>
      <c r="F3" s="1869"/>
      <c r="G3" s="1869"/>
      <c r="H3" s="1869"/>
      <c r="I3" s="1979"/>
      <c r="J3" s="1979"/>
      <c r="K3" s="1979"/>
      <c r="L3" s="1979"/>
    </row>
    <row r="4" spans="1:12" x14ac:dyDescent="0.2">
      <c r="B4" s="216"/>
      <c r="C4" s="1869"/>
      <c r="D4" s="1869"/>
      <c r="E4" s="1869"/>
      <c r="F4" s="1869"/>
      <c r="G4" s="1869"/>
      <c r="H4" s="1869"/>
      <c r="I4" s="1880"/>
      <c r="J4" s="1880"/>
      <c r="K4" s="1880"/>
      <c r="L4" s="1880"/>
    </row>
    <row r="5" spans="1:12" x14ac:dyDescent="0.2">
      <c r="B5" s="216"/>
      <c r="C5" s="1869"/>
      <c r="D5" s="1869"/>
      <c r="E5" s="1869"/>
      <c r="F5" s="1869"/>
      <c r="G5" s="1869"/>
      <c r="H5" s="1869"/>
      <c r="I5" s="1880"/>
      <c r="J5" s="1880"/>
      <c r="K5" s="1880"/>
      <c r="L5" s="1880"/>
    </row>
    <row r="6" spans="1:12" x14ac:dyDescent="0.2">
      <c r="A6" s="215" t="s">
        <v>112</v>
      </c>
      <c r="B6" s="216"/>
      <c r="C6" s="1869"/>
      <c r="D6" s="1869"/>
      <c r="E6" s="1869"/>
      <c r="F6" s="1869"/>
      <c r="G6" s="1869"/>
      <c r="H6" s="1869"/>
      <c r="I6" s="1880"/>
      <c r="J6" s="1880"/>
      <c r="K6" s="1880"/>
      <c r="L6" s="1880"/>
    </row>
    <row r="7" spans="1:12" x14ac:dyDescent="0.2">
      <c r="B7" s="216"/>
      <c r="C7" s="1834"/>
      <c r="D7" s="1841"/>
      <c r="E7" s="1834"/>
      <c r="F7" s="1834"/>
      <c r="G7" s="1834"/>
      <c r="H7" s="1834"/>
      <c r="I7" s="1834"/>
      <c r="J7" s="1834"/>
      <c r="K7" s="1834"/>
    </row>
    <row r="8" spans="1:12" ht="15.75" x14ac:dyDescent="0.25">
      <c r="A8" s="2088" t="s">
        <v>113</v>
      </c>
      <c r="B8" s="2088"/>
      <c r="C8" s="2088"/>
      <c r="D8" s="2088"/>
      <c r="E8" s="2088"/>
      <c r="F8" s="2088"/>
      <c r="G8" s="2088"/>
      <c r="H8" s="2088"/>
      <c r="I8" s="2088"/>
      <c r="J8" s="2088"/>
      <c r="K8" s="2088"/>
      <c r="L8" s="2088"/>
    </row>
    <row r="9" spans="1:12" ht="15.75" x14ac:dyDescent="0.25">
      <c r="A9" s="1845"/>
      <c r="B9" s="1845"/>
      <c r="C9" s="1845"/>
      <c r="D9" s="1847"/>
      <c r="E9" s="1845"/>
      <c r="F9" s="1845"/>
      <c r="G9" s="1845"/>
      <c r="H9" s="1845"/>
      <c r="I9" s="1845"/>
      <c r="J9" s="1845"/>
      <c r="K9" s="1845"/>
      <c r="L9" s="795"/>
    </row>
    <row r="10" spans="1:12" ht="15.75" x14ac:dyDescent="0.25">
      <c r="A10" s="215" t="s">
        <v>114</v>
      </c>
      <c r="C10" s="2005" t="s">
        <v>1808</v>
      </c>
      <c r="D10" s="2005"/>
      <c r="E10" s="2005"/>
      <c r="F10" s="2005"/>
      <c r="G10" s="2005"/>
      <c r="H10" s="2005"/>
      <c r="I10" s="2005"/>
      <c r="J10" s="2005"/>
      <c r="K10" s="2005"/>
      <c r="L10" s="2005"/>
    </row>
    <row r="11" spans="1:12" x14ac:dyDescent="0.2">
      <c r="A11" s="215" t="s">
        <v>115</v>
      </c>
      <c r="C11" s="219" t="s">
        <v>1333</v>
      </c>
      <c r="D11" s="219"/>
      <c r="E11" s="219"/>
      <c r="F11" s="219"/>
      <c r="G11" s="219"/>
      <c r="H11" s="219"/>
      <c r="I11" s="219"/>
      <c r="J11" s="219"/>
      <c r="K11" s="219"/>
      <c r="L11" s="219"/>
    </row>
    <row r="12" spans="1:12" ht="12.75" x14ac:dyDescent="0.2">
      <c r="A12" s="215" t="s">
        <v>117</v>
      </c>
      <c r="C12" s="2053" t="s">
        <v>751</v>
      </c>
      <c r="D12" s="2053"/>
      <c r="E12" s="2053"/>
      <c r="F12" s="2053"/>
      <c r="G12" s="2053"/>
      <c r="H12" s="2053"/>
      <c r="I12" s="2053"/>
      <c r="J12" s="2053"/>
      <c r="K12" s="2053"/>
      <c r="L12" s="2053"/>
    </row>
    <row r="13" spans="1:12" x14ac:dyDescent="0.2">
      <c r="A13" s="2008" t="s">
        <v>47</v>
      </c>
      <c r="B13" s="2010" t="s">
        <v>119</v>
      </c>
      <c r="C13" s="2010" t="s">
        <v>120</v>
      </c>
      <c r="D13" s="2010" t="s">
        <v>121</v>
      </c>
      <c r="E13" s="2089" t="s">
        <v>122</v>
      </c>
      <c r="F13" s="404"/>
      <c r="G13" s="404"/>
      <c r="H13" s="404"/>
      <c r="I13" s="2060" t="s">
        <v>126</v>
      </c>
      <c r="J13" s="2091"/>
      <c r="K13" s="2092"/>
      <c r="L13" s="215"/>
    </row>
    <row r="14" spans="1:12" ht="48" customHeight="1" x14ac:dyDescent="0.2">
      <c r="A14" s="2009"/>
      <c r="B14" s="2011"/>
      <c r="C14" s="2011"/>
      <c r="D14" s="2011"/>
      <c r="E14" s="2090"/>
      <c r="F14" s="1840" t="s">
        <v>129</v>
      </c>
      <c r="G14" s="1840" t="s">
        <v>124</v>
      </c>
      <c r="H14" s="1840" t="s">
        <v>2165</v>
      </c>
      <c r="I14" s="2093"/>
      <c r="J14" s="2094"/>
      <c r="K14" s="2095"/>
      <c r="L14" s="215"/>
    </row>
    <row r="15" spans="1:12" ht="12.75" customHeight="1" x14ac:dyDescent="0.2">
      <c r="A15" s="2069" t="s">
        <v>1532</v>
      </c>
      <c r="B15" s="2070"/>
      <c r="C15" s="777">
        <f>SUM(C16:C22)</f>
        <v>4707825</v>
      </c>
      <c r="D15" s="777">
        <f>SUM(D16:D22)</f>
        <v>27811</v>
      </c>
      <c r="E15" s="777">
        <f>SUM(E16:E22)</f>
        <v>4502217</v>
      </c>
      <c r="F15" s="777"/>
      <c r="G15" s="777">
        <f>SUM(G16:G22)</f>
        <v>2748174</v>
      </c>
      <c r="H15" s="777">
        <f>SUM(H16:H22)</f>
        <v>3910301</v>
      </c>
      <c r="I15" s="2071">
        <f>SUM(J16:J23)</f>
        <v>0</v>
      </c>
      <c r="J15" s="2072"/>
      <c r="K15" s="2073"/>
    </row>
    <row r="16" spans="1:12" ht="12.75" customHeight="1" x14ac:dyDescent="0.2">
      <c r="A16" s="2074">
        <v>1</v>
      </c>
      <c r="B16" s="2075" t="s">
        <v>1334</v>
      </c>
      <c r="C16" s="797">
        <v>8200</v>
      </c>
      <c r="D16" s="798">
        <v>0</v>
      </c>
      <c r="E16" s="797">
        <v>0</v>
      </c>
      <c r="F16" s="799">
        <v>5213</v>
      </c>
      <c r="G16" s="999"/>
      <c r="H16" s="309">
        <f>ROUNDUP(G16/0.702804,0)</f>
        <v>0</v>
      </c>
      <c r="I16" s="2076"/>
      <c r="J16" s="2077"/>
      <c r="K16" s="2078"/>
    </row>
    <row r="17" spans="1:12" ht="12.75" customHeight="1" x14ac:dyDescent="0.2">
      <c r="A17" s="2074"/>
      <c r="B17" s="2075"/>
      <c r="C17" s="797">
        <v>55539</v>
      </c>
      <c r="D17" s="798">
        <v>0</v>
      </c>
      <c r="E17" s="797">
        <v>55539</v>
      </c>
      <c r="F17" s="799">
        <v>5239</v>
      </c>
      <c r="G17" s="999">
        <v>55539</v>
      </c>
      <c r="H17" s="309">
        <f>ROUNDUP(G17/0.702804,0)</f>
        <v>79025</v>
      </c>
      <c r="I17" s="2079"/>
      <c r="J17" s="2080"/>
      <c r="K17" s="2081"/>
    </row>
    <row r="18" spans="1:12" ht="12.75" customHeight="1" x14ac:dyDescent="0.2">
      <c r="A18" s="2074"/>
      <c r="B18" s="2075"/>
      <c r="C18" s="797">
        <v>260001</v>
      </c>
      <c r="D18" s="798">
        <v>0</v>
      </c>
      <c r="E18" s="797">
        <v>0</v>
      </c>
      <c r="F18" s="1744">
        <v>5219</v>
      </c>
      <c r="G18" s="999"/>
      <c r="H18" s="309">
        <f>ROUNDUP(G18/0.702804,0)</f>
        <v>0</v>
      </c>
      <c r="I18" s="2079"/>
      <c r="J18" s="2080"/>
      <c r="K18" s="2081"/>
    </row>
    <row r="19" spans="1:12" ht="26.25" customHeight="1" x14ac:dyDescent="0.2">
      <c r="A19" s="2074"/>
      <c r="B19" s="2075"/>
      <c r="C19" s="797">
        <v>4356000</v>
      </c>
      <c r="D19" s="798">
        <v>0</v>
      </c>
      <c r="E19" s="797">
        <v>4356000</v>
      </c>
      <c r="F19" s="1744">
        <v>5219</v>
      </c>
      <c r="G19" s="999">
        <f>2481666+172069</f>
        <v>2653735</v>
      </c>
      <c r="H19" s="309">
        <f>ROUNDUP(G19/0.702804,0)+1</f>
        <v>3775926</v>
      </c>
      <c r="I19" s="2082" t="s">
        <v>1945</v>
      </c>
      <c r="J19" s="2083"/>
      <c r="K19" s="2084"/>
    </row>
    <row r="20" spans="1:12" ht="12.75" customHeight="1" x14ac:dyDescent="0.2">
      <c r="A20" s="2074"/>
      <c r="B20" s="2075"/>
      <c r="C20" s="797">
        <v>27000</v>
      </c>
      <c r="D20" s="798">
        <v>27000</v>
      </c>
      <c r="E20" s="797">
        <v>0</v>
      </c>
      <c r="F20" s="799">
        <v>5216</v>
      </c>
      <c r="G20" s="999"/>
      <c r="H20" s="309">
        <f>ROUNDUP(G20/0.702804,0)</f>
        <v>0</v>
      </c>
      <c r="I20" s="2079"/>
      <c r="J20" s="2080"/>
      <c r="K20" s="2081"/>
    </row>
    <row r="21" spans="1:12" ht="12.75" customHeight="1" x14ac:dyDescent="0.2">
      <c r="A21" s="2074"/>
      <c r="B21" s="2075"/>
      <c r="C21" s="797">
        <v>0</v>
      </c>
      <c r="D21" s="798">
        <v>0</v>
      </c>
      <c r="E21" s="797">
        <v>2400</v>
      </c>
      <c r="F21" s="799">
        <v>5217</v>
      </c>
      <c r="G21" s="999">
        <v>2400</v>
      </c>
      <c r="H21" s="309">
        <f>ROUNDUP(G21/0.702804,0)</f>
        <v>3415</v>
      </c>
      <c r="I21" s="2085"/>
      <c r="J21" s="2086"/>
      <c r="K21" s="2087"/>
    </row>
    <row r="22" spans="1:12" ht="25.5" customHeight="1" x14ac:dyDescent="0.2">
      <c r="A22" s="800">
        <v>2</v>
      </c>
      <c r="B22" s="801" t="s">
        <v>1335</v>
      </c>
      <c r="C22" s="802">
        <v>1085</v>
      </c>
      <c r="D22" s="803">
        <v>811</v>
      </c>
      <c r="E22" s="802">
        <v>88278</v>
      </c>
      <c r="F22" s="804">
        <v>2519</v>
      </c>
      <c r="G22" s="1000">
        <v>36500</v>
      </c>
      <c r="H22" s="813">
        <f>ROUNDUP(G22/0.702804,0)</f>
        <v>51935</v>
      </c>
      <c r="I22" s="2063" t="s">
        <v>1336</v>
      </c>
      <c r="J22" s="2064"/>
      <c r="K22" s="2065"/>
    </row>
    <row r="23" spans="1:12" x14ac:dyDescent="0.2">
      <c r="A23" s="443"/>
      <c r="B23" s="443"/>
      <c r="C23" s="443"/>
      <c r="D23" s="511"/>
      <c r="E23" s="443"/>
      <c r="F23" s="443"/>
      <c r="G23" s="805"/>
      <c r="H23" s="805"/>
      <c r="I23" s="443"/>
      <c r="J23" s="443"/>
      <c r="K23" s="443"/>
      <c r="L23" s="532"/>
    </row>
    <row r="24" spans="1:12" x14ac:dyDescent="0.2">
      <c r="A24" s="215" t="s">
        <v>115</v>
      </c>
      <c r="C24" s="219" t="s">
        <v>187</v>
      </c>
      <c r="D24" s="219"/>
      <c r="E24" s="219"/>
      <c r="F24" s="219"/>
      <c r="G24" s="219"/>
      <c r="H24" s="219"/>
      <c r="I24" s="219"/>
      <c r="L24" s="215"/>
    </row>
    <row r="25" spans="1:12" x14ac:dyDescent="0.2">
      <c r="A25" s="215" t="s">
        <v>117</v>
      </c>
      <c r="C25" s="2020" t="s">
        <v>188</v>
      </c>
      <c r="D25" s="2020"/>
      <c r="E25" s="2020"/>
      <c r="F25" s="2020"/>
      <c r="G25" s="2020"/>
      <c r="H25" s="2020"/>
      <c r="I25" s="2020"/>
      <c r="L25" s="215"/>
    </row>
    <row r="26" spans="1:12" x14ac:dyDescent="0.2">
      <c r="A26" s="2066" t="s">
        <v>47</v>
      </c>
      <c r="B26" s="2067" t="s">
        <v>119</v>
      </c>
      <c r="C26" s="2067" t="s">
        <v>120</v>
      </c>
      <c r="D26" s="2067" t="s">
        <v>121</v>
      </c>
      <c r="E26" s="2067" t="s">
        <v>122</v>
      </c>
      <c r="F26" s="404"/>
      <c r="G26" s="404"/>
      <c r="H26" s="404"/>
      <c r="I26" s="2068" t="s">
        <v>126</v>
      </c>
      <c r="L26" s="215"/>
    </row>
    <row r="27" spans="1:12" ht="48" x14ac:dyDescent="0.2">
      <c r="A27" s="2066"/>
      <c r="B27" s="2067"/>
      <c r="C27" s="2067"/>
      <c r="D27" s="2067"/>
      <c r="E27" s="2067"/>
      <c r="F27" s="1844" t="s">
        <v>129</v>
      </c>
      <c r="G27" s="1844" t="s">
        <v>124</v>
      </c>
      <c r="H27" s="1844" t="s">
        <v>2165</v>
      </c>
      <c r="I27" s="2068"/>
      <c r="L27" s="215"/>
    </row>
    <row r="28" spans="1:12" x14ac:dyDescent="0.2">
      <c r="A28" s="2018" t="s">
        <v>2182</v>
      </c>
      <c r="B28" s="2019"/>
      <c r="C28" s="777">
        <f>SUM(C29:C32)</f>
        <v>91458</v>
      </c>
      <c r="D28" s="777">
        <f>SUM(D29:D32)</f>
        <v>55100</v>
      </c>
      <c r="E28" s="777">
        <f>SUM(E29:E32)</f>
        <v>55100</v>
      </c>
      <c r="F28" s="777"/>
      <c r="G28" s="777">
        <f>SUM(G29:G32)</f>
        <v>55100</v>
      </c>
      <c r="H28" s="777">
        <f>SUM(H29:H32)</f>
        <v>78402</v>
      </c>
      <c r="I28" s="778"/>
      <c r="L28" s="215"/>
    </row>
    <row r="29" spans="1:12" ht="36" x14ac:dyDescent="0.2">
      <c r="A29" s="1864">
        <v>1</v>
      </c>
      <c r="B29" s="223" t="s">
        <v>191</v>
      </c>
      <c r="C29" s="224">
        <v>45000</v>
      </c>
      <c r="D29" s="224">
        <v>45000</v>
      </c>
      <c r="E29" s="224">
        <v>50000</v>
      </c>
      <c r="F29" s="411">
        <v>2279</v>
      </c>
      <c r="G29" s="224">
        <v>50000</v>
      </c>
      <c r="H29" s="224">
        <f>ROUNDUP(G29/0.702804,0)</f>
        <v>71144</v>
      </c>
      <c r="I29" s="416"/>
      <c r="L29" s="215"/>
    </row>
    <row r="30" spans="1:12" ht="48" x14ac:dyDescent="0.2">
      <c r="A30" s="1864">
        <v>2</v>
      </c>
      <c r="B30" s="223" t="s">
        <v>192</v>
      </c>
      <c r="C30" s="224">
        <v>4700</v>
      </c>
      <c r="D30" s="224">
        <v>4700</v>
      </c>
      <c r="E30" s="224">
        <v>500</v>
      </c>
      <c r="F30" s="411">
        <v>2279</v>
      </c>
      <c r="G30" s="224">
        <v>500</v>
      </c>
      <c r="H30" s="224">
        <f>ROUNDUP(G30/0.702804,0)</f>
        <v>712</v>
      </c>
      <c r="I30" s="416"/>
      <c r="L30" s="215"/>
    </row>
    <row r="31" spans="1:12" ht="24" x14ac:dyDescent="0.2">
      <c r="A31" s="1864">
        <v>3</v>
      </c>
      <c r="B31" s="223" t="s">
        <v>193</v>
      </c>
      <c r="C31" s="224">
        <f>5000+36358</f>
        <v>41358</v>
      </c>
      <c r="D31" s="224">
        <v>5000</v>
      </c>
      <c r="E31" s="224">
        <v>4300</v>
      </c>
      <c r="F31" s="411">
        <v>2519</v>
      </c>
      <c r="G31" s="224">
        <v>4300</v>
      </c>
      <c r="H31" s="224">
        <f>ROUNDUP(G31/0.702804,0)</f>
        <v>6119</v>
      </c>
      <c r="I31" s="416"/>
      <c r="L31" s="215"/>
    </row>
    <row r="32" spans="1:12" ht="36" x14ac:dyDescent="0.2">
      <c r="A32" s="1865">
        <v>4</v>
      </c>
      <c r="B32" s="998" t="s">
        <v>194</v>
      </c>
      <c r="C32" s="481">
        <v>400</v>
      </c>
      <c r="D32" s="481">
        <v>400</v>
      </c>
      <c r="E32" s="481">
        <v>300</v>
      </c>
      <c r="F32" s="422">
        <v>2276</v>
      </c>
      <c r="G32" s="481">
        <v>300</v>
      </c>
      <c r="H32" s="481">
        <f>ROUNDUP(G32/0.702804,0)</f>
        <v>427</v>
      </c>
      <c r="I32" s="464"/>
      <c r="L32" s="215"/>
    </row>
    <row r="33" spans="1:12" x14ac:dyDescent="0.2">
      <c r="D33" s="215"/>
      <c r="G33" s="215"/>
      <c r="H33" s="215"/>
      <c r="L33" s="215"/>
    </row>
    <row r="34" spans="1:12" x14ac:dyDescent="0.2">
      <c r="A34" s="443"/>
      <c r="B34" s="443"/>
      <c r="C34" s="443"/>
      <c r="D34" s="443"/>
      <c r="E34" s="805"/>
      <c r="F34" s="443"/>
      <c r="G34" s="443"/>
      <c r="H34" s="443"/>
    </row>
    <row r="35" spans="1:12" x14ac:dyDescent="0.2">
      <c r="A35" s="215" t="s">
        <v>115</v>
      </c>
      <c r="C35" s="2052" t="s">
        <v>1337</v>
      </c>
      <c r="D35" s="2052"/>
      <c r="E35" s="2052"/>
      <c r="F35" s="2052"/>
      <c r="G35" s="2052"/>
      <c r="H35" s="2052"/>
    </row>
    <row r="36" spans="1:12" ht="12.75" x14ac:dyDescent="0.2">
      <c r="A36" s="215" t="s">
        <v>117</v>
      </c>
      <c r="C36" s="2053" t="s">
        <v>544</v>
      </c>
      <c r="D36" s="2053"/>
      <c r="E36" s="2053"/>
      <c r="F36" s="2053"/>
      <c r="G36" s="2053"/>
      <c r="H36" s="2053"/>
    </row>
    <row r="37" spans="1:12" x14ac:dyDescent="0.2">
      <c r="A37" s="2054" t="s">
        <v>47</v>
      </c>
      <c r="B37" s="2057" t="s">
        <v>119</v>
      </c>
      <c r="C37" s="2060" t="s">
        <v>120</v>
      </c>
      <c r="D37" s="2057"/>
      <c r="E37" s="2060" t="s">
        <v>121</v>
      </c>
      <c r="F37" s="2057"/>
      <c r="G37" s="2060" t="s">
        <v>122</v>
      </c>
      <c r="H37" s="2057"/>
      <c r="I37" s="1839"/>
      <c r="J37" s="1839"/>
      <c r="K37" s="1839"/>
      <c r="L37" s="2047" t="s">
        <v>126</v>
      </c>
    </row>
    <row r="38" spans="1:12" x14ac:dyDescent="0.2">
      <c r="A38" s="2055"/>
      <c r="B38" s="2058"/>
      <c r="C38" s="2061"/>
      <c r="D38" s="2062"/>
      <c r="E38" s="2061"/>
      <c r="F38" s="2062"/>
      <c r="G38" s="2061"/>
      <c r="H38" s="2062"/>
      <c r="I38" s="2050" t="s">
        <v>129</v>
      </c>
      <c r="J38" s="2050" t="s">
        <v>124</v>
      </c>
      <c r="K38" s="2050" t="s">
        <v>2165</v>
      </c>
      <c r="L38" s="2048"/>
    </row>
    <row r="39" spans="1:12" ht="35.25" customHeight="1" x14ac:dyDescent="0.2">
      <c r="A39" s="2056"/>
      <c r="B39" s="2059"/>
      <c r="C39" s="1808" t="s">
        <v>127</v>
      </c>
      <c r="D39" s="1808" t="s">
        <v>128</v>
      </c>
      <c r="E39" s="1808" t="s">
        <v>127</v>
      </c>
      <c r="F39" s="1808" t="s">
        <v>128</v>
      </c>
      <c r="G39" s="1808" t="s">
        <v>127</v>
      </c>
      <c r="H39" s="1808" t="s">
        <v>128</v>
      </c>
      <c r="I39" s="2051"/>
      <c r="J39" s="2051"/>
      <c r="K39" s="2051"/>
      <c r="L39" s="2049"/>
    </row>
    <row r="40" spans="1:12" x14ac:dyDescent="0.2">
      <c r="A40" s="2014" t="s">
        <v>1532</v>
      </c>
      <c r="B40" s="2015"/>
      <c r="C40" s="806">
        <f>SUM(C41:C63)</f>
        <v>158865</v>
      </c>
      <c r="D40" s="806">
        <f t="shared" ref="D40:F40" si="0">SUM(D41:D63)</f>
        <v>24741</v>
      </c>
      <c r="E40" s="806">
        <f t="shared" si="0"/>
        <v>57076</v>
      </c>
      <c r="F40" s="806">
        <f t="shared" si="0"/>
        <v>24741</v>
      </c>
      <c r="G40" s="806">
        <f>SUM(G41:G63)</f>
        <v>295513</v>
      </c>
      <c r="H40" s="806">
        <f>SUM(H41:H63)</f>
        <v>81823</v>
      </c>
      <c r="I40" s="1848"/>
      <c r="J40" s="806">
        <f>SUM(J41:J63)</f>
        <v>266326</v>
      </c>
      <c r="K40" s="806">
        <f>SUM(K41:K63)</f>
        <v>378958</v>
      </c>
      <c r="L40" s="807"/>
    </row>
    <row r="41" spans="1:12" ht="36" x14ac:dyDescent="0.2">
      <c r="A41" s="2039">
        <v>1</v>
      </c>
      <c r="B41" s="2041" t="s">
        <v>1338</v>
      </c>
      <c r="C41" s="809">
        <v>6540</v>
      </c>
      <c r="D41" s="809"/>
      <c r="E41" s="798">
        <v>3693</v>
      </c>
      <c r="F41" s="798"/>
      <c r="G41" s="797">
        <v>7000</v>
      </c>
      <c r="H41" s="797"/>
      <c r="I41" s="794">
        <v>2279</v>
      </c>
      <c r="J41" s="798">
        <v>4000</v>
      </c>
      <c r="K41" s="797">
        <f>ROUNDUP(J41/0.702804,0)</f>
        <v>5692</v>
      </c>
      <c r="L41" s="478" t="s">
        <v>1339</v>
      </c>
    </row>
    <row r="42" spans="1:12" ht="24" x14ac:dyDescent="0.2">
      <c r="A42" s="2040"/>
      <c r="B42" s="2042"/>
      <c r="C42" s="809">
        <v>2420</v>
      </c>
      <c r="D42" s="809"/>
      <c r="E42" s="797">
        <v>2420</v>
      </c>
      <c r="F42" s="797"/>
      <c r="G42" s="797">
        <v>0</v>
      </c>
      <c r="H42" s="797"/>
      <c r="I42" s="794">
        <v>2232</v>
      </c>
      <c r="J42" s="798"/>
      <c r="K42" s="797">
        <f t="shared" ref="K42:K63" si="1">ROUNDUP(J42/0.702804,0)</f>
        <v>0</v>
      </c>
      <c r="L42" s="478" t="s">
        <v>1340</v>
      </c>
    </row>
    <row r="43" spans="1:12" ht="72" x14ac:dyDescent="0.2">
      <c r="A43" s="811">
        <v>2</v>
      </c>
      <c r="B43" s="1842" t="s">
        <v>1341</v>
      </c>
      <c r="C43" s="809">
        <v>3859</v>
      </c>
      <c r="D43" s="809"/>
      <c r="E43" s="809">
        <v>3602</v>
      </c>
      <c r="F43" s="809"/>
      <c r="G43" s="797">
        <v>20000</v>
      </c>
      <c r="H43" s="797"/>
      <c r="I43" s="794">
        <v>2239</v>
      </c>
      <c r="J43" s="798">
        <v>12000</v>
      </c>
      <c r="K43" s="797">
        <f t="shared" si="1"/>
        <v>17075</v>
      </c>
      <c r="L43" s="478" t="s">
        <v>1342</v>
      </c>
    </row>
    <row r="44" spans="1:12" x14ac:dyDescent="0.2">
      <c r="A44" s="2039">
        <v>3</v>
      </c>
      <c r="B44" s="2041" t="s">
        <v>1343</v>
      </c>
      <c r="C44" s="809">
        <v>1000</v>
      </c>
      <c r="D44" s="809"/>
      <c r="E44" s="798">
        <v>181</v>
      </c>
      <c r="F44" s="798"/>
      <c r="G44" s="797">
        <v>2100</v>
      </c>
      <c r="H44" s="797"/>
      <c r="I44" s="794">
        <v>2312</v>
      </c>
      <c r="J44" s="798">
        <v>1000</v>
      </c>
      <c r="K44" s="797">
        <f t="shared" si="1"/>
        <v>1423</v>
      </c>
      <c r="L44" s="478" t="s">
        <v>1344</v>
      </c>
    </row>
    <row r="45" spans="1:12" x14ac:dyDescent="0.2">
      <c r="A45" s="2040"/>
      <c r="B45" s="2042"/>
      <c r="C45" s="809">
        <v>200</v>
      </c>
      <c r="D45" s="809"/>
      <c r="E45" s="797">
        <v>0</v>
      </c>
      <c r="F45" s="797"/>
      <c r="G45" s="797">
        <v>100</v>
      </c>
      <c r="H45" s="797"/>
      <c r="I45" s="794">
        <v>2244</v>
      </c>
      <c r="J45" s="798">
        <v>100</v>
      </c>
      <c r="K45" s="797">
        <f t="shared" si="1"/>
        <v>143</v>
      </c>
      <c r="L45" s="478"/>
    </row>
    <row r="46" spans="1:12" ht="12.75" x14ac:dyDescent="0.2">
      <c r="A46" s="2039">
        <v>4</v>
      </c>
      <c r="B46" s="529" t="s">
        <v>1345</v>
      </c>
      <c r="C46" s="809">
        <v>39048</v>
      </c>
      <c r="D46" s="809"/>
      <c r="E46" s="797">
        <v>12015</v>
      </c>
      <c r="F46" s="797"/>
      <c r="G46" s="797">
        <v>126755</v>
      </c>
      <c r="H46" s="797"/>
      <c r="I46" s="794">
        <v>2263</v>
      </c>
      <c r="J46" s="798">
        <v>17000</v>
      </c>
      <c r="K46" s="797">
        <f t="shared" si="1"/>
        <v>24189</v>
      </c>
      <c r="L46" s="812" t="s">
        <v>1346</v>
      </c>
    </row>
    <row r="47" spans="1:12" ht="25.5" x14ac:dyDescent="0.2">
      <c r="A47" s="2040"/>
      <c r="B47" s="1842" t="s">
        <v>1347</v>
      </c>
      <c r="C47" s="809">
        <v>1457</v>
      </c>
      <c r="D47" s="809"/>
      <c r="E47" s="797">
        <v>1131</v>
      </c>
      <c r="F47" s="797"/>
      <c r="G47" s="797">
        <v>1200</v>
      </c>
      <c r="H47" s="797"/>
      <c r="I47" s="794">
        <v>2263</v>
      </c>
      <c r="J47" s="798">
        <v>1200</v>
      </c>
      <c r="K47" s="797">
        <f t="shared" si="1"/>
        <v>1708</v>
      </c>
      <c r="L47" s="478" t="s">
        <v>1348</v>
      </c>
    </row>
    <row r="48" spans="1:12" ht="12.75" x14ac:dyDescent="0.2">
      <c r="A48" s="811">
        <v>5</v>
      </c>
      <c r="B48" s="529" t="s">
        <v>1349</v>
      </c>
      <c r="C48" s="809"/>
      <c r="D48" s="809">
        <v>24741</v>
      </c>
      <c r="E48" s="797"/>
      <c r="F48" s="797">
        <v>24741</v>
      </c>
      <c r="G48" s="797"/>
      <c r="H48" s="797">
        <v>81823</v>
      </c>
      <c r="I48" s="794">
        <v>2261</v>
      </c>
      <c r="J48" s="798">
        <v>54886</v>
      </c>
      <c r="K48" s="797">
        <f t="shared" si="1"/>
        <v>78096</v>
      </c>
      <c r="L48" s="812" t="s">
        <v>1350</v>
      </c>
    </row>
    <row r="49" spans="1:12" ht="96" x14ac:dyDescent="0.2">
      <c r="A49" s="2039">
        <v>6</v>
      </c>
      <c r="B49" s="1985" t="s">
        <v>1351</v>
      </c>
      <c r="C49" s="809">
        <v>58213</v>
      </c>
      <c r="D49" s="809"/>
      <c r="E49" s="798">
        <v>17406</v>
      </c>
      <c r="F49" s="798"/>
      <c r="G49" s="797">
        <v>27692</v>
      </c>
      <c r="H49" s="797"/>
      <c r="I49" s="794">
        <v>2244</v>
      </c>
      <c r="J49" s="798">
        <f>27692+21192+21192</f>
        <v>70076</v>
      </c>
      <c r="K49" s="797">
        <f>ROUNDUP(J49/0.702804,0)</f>
        <v>99710</v>
      </c>
      <c r="L49" s="478" t="s">
        <v>1352</v>
      </c>
    </row>
    <row r="50" spans="1:12" x14ac:dyDescent="0.2">
      <c r="A50" s="2043"/>
      <c r="B50" s="1986"/>
      <c r="C50" s="809">
        <v>1532</v>
      </c>
      <c r="D50" s="809"/>
      <c r="E50" s="797">
        <v>1532</v>
      </c>
      <c r="F50" s="797"/>
      <c r="G50" s="809">
        <v>1532</v>
      </c>
      <c r="H50" s="809"/>
      <c r="I50" s="794">
        <v>2279</v>
      </c>
      <c r="J50" s="798"/>
      <c r="K50" s="797">
        <f t="shared" si="1"/>
        <v>0</v>
      </c>
      <c r="L50" s="2044" t="s">
        <v>1353</v>
      </c>
    </row>
    <row r="51" spans="1:12" x14ac:dyDescent="0.2">
      <c r="A51" s="2043"/>
      <c r="B51" s="1986"/>
      <c r="C51" s="809">
        <v>4500</v>
      </c>
      <c r="D51" s="809"/>
      <c r="E51" s="797">
        <v>2924</v>
      </c>
      <c r="F51" s="797"/>
      <c r="G51" s="809">
        <v>6000</v>
      </c>
      <c r="H51" s="809"/>
      <c r="I51" s="439">
        <v>5250</v>
      </c>
      <c r="J51" s="798">
        <v>6000</v>
      </c>
      <c r="K51" s="797">
        <f t="shared" si="1"/>
        <v>8538</v>
      </c>
      <c r="L51" s="2045"/>
    </row>
    <row r="52" spans="1:12" x14ac:dyDescent="0.2">
      <c r="A52" s="2043"/>
      <c r="B52" s="1986"/>
      <c r="C52" s="809">
        <v>1000</v>
      </c>
      <c r="D52" s="809"/>
      <c r="E52" s="797">
        <v>520</v>
      </c>
      <c r="F52" s="797"/>
      <c r="G52" s="809">
        <v>1000</v>
      </c>
      <c r="H52" s="809"/>
      <c r="I52" s="439">
        <v>2223</v>
      </c>
      <c r="J52" s="798">
        <v>700</v>
      </c>
      <c r="K52" s="797">
        <f t="shared" si="1"/>
        <v>997</v>
      </c>
      <c r="L52" s="2045"/>
    </row>
    <row r="53" spans="1:12" x14ac:dyDescent="0.2">
      <c r="A53" s="2043"/>
      <c r="B53" s="1986"/>
      <c r="C53" s="809">
        <v>386</v>
      </c>
      <c r="D53" s="809"/>
      <c r="E53" s="797">
        <v>289</v>
      </c>
      <c r="F53" s="797"/>
      <c r="G53" s="809">
        <v>386</v>
      </c>
      <c r="H53" s="809"/>
      <c r="I53" s="439">
        <v>2212</v>
      </c>
      <c r="J53" s="798">
        <v>386</v>
      </c>
      <c r="K53" s="797">
        <f t="shared" si="1"/>
        <v>550</v>
      </c>
      <c r="L53" s="2045"/>
    </row>
    <row r="54" spans="1:12" x14ac:dyDescent="0.2">
      <c r="A54" s="2043"/>
      <c r="B54" s="1986"/>
      <c r="C54" s="809">
        <v>2890</v>
      </c>
      <c r="D54" s="809"/>
      <c r="E54" s="797">
        <v>2890</v>
      </c>
      <c r="F54" s="797"/>
      <c r="G54" s="809">
        <v>2890</v>
      </c>
      <c r="H54" s="809"/>
      <c r="I54" s="439">
        <v>2221</v>
      </c>
      <c r="J54" s="798">
        <v>3300</v>
      </c>
      <c r="K54" s="797">
        <f t="shared" si="1"/>
        <v>4696</v>
      </c>
      <c r="L54" s="2046"/>
    </row>
    <row r="55" spans="1:12" ht="38.25" x14ac:dyDescent="0.2">
      <c r="A55" s="811">
        <v>7</v>
      </c>
      <c r="B55" s="529" t="s">
        <v>1354</v>
      </c>
      <c r="C55" s="809">
        <v>22181</v>
      </c>
      <c r="D55" s="809"/>
      <c r="E55" s="798">
        <v>0</v>
      </c>
      <c r="F55" s="798"/>
      <c r="G55" s="797">
        <v>22181</v>
      </c>
      <c r="H55" s="797"/>
      <c r="I55" s="794">
        <v>2244</v>
      </c>
      <c r="J55" s="798">
        <v>22181</v>
      </c>
      <c r="K55" s="797">
        <f t="shared" si="1"/>
        <v>31561</v>
      </c>
      <c r="L55" s="478" t="s">
        <v>1355</v>
      </c>
    </row>
    <row r="56" spans="1:12" ht="25.5" x14ac:dyDescent="0.2">
      <c r="A56" s="811">
        <v>8</v>
      </c>
      <c r="B56" s="529" t="s">
        <v>1356</v>
      </c>
      <c r="C56" s="809">
        <v>0</v>
      </c>
      <c r="D56" s="809"/>
      <c r="E56" s="798">
        <v>0</v>
      </c>
      <c r="F56" s="798"/>
      <c r="G56" s="797">
        <v>3180</v>
      </c>
      <c r="H56" s="797"/>
      <c r="I56" s="794">
        <v>2279</v>
      </c>
      <c r="J56" s="798"/>
      <c r="K56" s="797">
        <f>ROUNDUP(J56/0.702804,0)</f>
        <v>0</v>
      </c>
      <c r="L56" s="478" t="s">
        <v>1357</v>
      </c>
    </row>
    <row r="57" spans="1:12" ht="12.75" x14ac:dyDescent="0.2">
      <c r="A57" s="811">
        <v>9</v>
      </c>
      <c r="B57" s="529" t="s">
        <v>1358</v>
      </c>
      <c r="C57" s="809">
        <v>8300</v>
      </c>
      <c r="D57" s="809"/>
      <c r="E57" s="798">
        <v>4594</v>
      </c>
      <c r="F57" s="798"/>
      <c r="G57" s="797">
        <v>12822</v>
      </c>
      <c r="H57" s="797"/>
      <c r="I57" s="794">
        <v>2247</v>
      </c>
      <c r="J57" s="798">
        <v>12822</v>
      </c>
      <c r="K57" s="797">
        <f t="shared" si="1"/>
        <v>18245</v>
      </c>
      <c r="L57" s="812" t="s">
        <v>1359</v>
      </c>
    </row>
    <row r="58" spans="1:12" ht="24" x14ac:dyDescent="0.2">
      <c r="A58" s="811">
        <v>10</v>
      </c>
      <c r="B58" s="529" t="s">
        <v>1360</v>
      </c>
      <c r="C58" s="809">
        <v>2000</v>
      </c>
      <c r="D58" s="809"/>
      <c r="E58" s="798">
        <v>1200</v>
      </c>
      <c r="F58" s="798"/>
      <c r="G58" s="797">
        <f>2000+17000</f>
        <v>19000</v>
      </c>
      <c r="H58" s="797"/>
      <c r="I58" s="794">
        <v>2279</v>
      </c>
      <c r="J58" s="798">
        <f>2000+17000</f>
        <v>19000</v>
      </c>
      <c r="K58" s="797">
        <f t="shared" si="1"/>
        <v>27035</v>
      </c>
      <c r="L58" s="478" t="s">
        <v>1361</v>
      </c>
    </row>
    <row r="59" spans="1:12" x14ac:dyDescent="0.2">
      <c r="A59" s="1837">
        <v>11</v>
      </c>
      <c r="B59" s="1838" t="s">
        <v>1362</v>
      </c>
      <c r="C59" s="450">
        <v>40</v>
      </c>
      <c r="D59" s="450"/>
      <c r="E59" s="309">
        <v>0</v>
      </c>
      <c r="F59" s="309"/>
      <c r="G59" s="797">
        <v>75</v>
      </c>
      <c r="H59" s="797"/>
      <c r="I59" s="794">
        <v>2519</v>
      </c>
      <c r="J59" s="309">
        <v>75</v>
      </c>
      <c r="K59" s="797">
        <f t="shared" si="1"/>
        <v>107</v>
      </c>
      <c r="L59" s="478" t="s">
        <v>1363</v>
      </c>
    </row>
    <row r="60" spans="1:12" x14ac:dyDescent="0.2">
      <c r="A60" s="1837">
        <v>12</v>
      </c>
      <c r="B60" s="1838" t="s">
        <v>1364</v>
      </c>
      <c r="C60" s="450">
        <v>700</v>
      </c>
      <c r="D60" s="450"/>
      <c r="E60" s="309">
        <v>80</v>
      </c>
      <c r="F60" s="309"/>
      <c r="G60" s="797">
        <v>0</v>
      </c>
      <c r="H60" s="797"/>
      <c r="I60" s="794">
        <v>2520</v>
      </c>
      <c r="J60" s="309"/>
      <c r="K60" s="797">
        <f t="shared" si="1"/>
        <v>0</v>
      </c>
      <c r="L60" s="478" t="s">
        <v>1365</v>
      </c>
    </row>
    <row r="61" spans="1:12" x14ac:dyDescent="0.2">
      <c r="A61" s="1836">
        <v>13</v>
      </c>
      <c r="B61" s="1835" t="s">
        <v>1366</v>
      </c>
      <c r="C61" s="1210">
        <v>2599</v>
      </c>
      <c r="D61" s="1210"/>
      <c r="E61" s="1211">
        <v>2599</v>
      </c>
      <c r="F61" s="1211"/>
      <c r="G61" s="1212">
        <v>0</v>
      </c>
      <c r="H61" s="1212"/>
      <c r="I61" s="1745">
        <v>2244</v>
      </c>
      <c r="J61" s="1211"/>
      <c r="K61" s="1212">
        <f t="shared" si="1"/>
        <v>0</v>
      </c>
      <c r="L61" s="1843"/>
    </row>
    <row r="62" spans="1:12" x14ac:dyDescent="0.2">
      <c r="A62" s="929">
        <v>14</v>
      </c>
      <c r="B62" s="1178" t="s">
        <v>1239</v>
      </c>
      <c r="C62" s="1178"/>
      <c r="D62" s="1178"/>
      <c r="E62" s="1178"/>
      <c r="F62" s="1178"/>
      <c r="G62" s="1747">
        <v>21600</v>
      </c>
      <c r="H62" s="1747"/>
      <c r="I62" s="1746">
        <v>2244</v>
      </c>
      <c r="J62" s="1178">
        <v>21600</v>
      </c>
      <c r="K62" s="797">
        <f t="shared" si="1"/>
        <v>30735</v>
      </c>
      <c r="L62" s="1214"/>
    </row>
    <row r="63" spans="1:12" ht="24" x14ac:dyDescent="0.2">
      <c r="A63" s="904">
        <v>15</v>
      </c>
      <c r="B63" s="474" t="s">
        <v>1946</v>
      </c>
      <c r="C63" s="1178"/>
      <c r="D63" s="1178"/>
      <c r="E63" s="1178"/>
      <c r="F63" s="1178"/>
      <c r="G63" s="1747">
        <v>20000</v>
      </c>
      <c r="H63" s="1747"/>
      <c r="I63" s="1746">
        <v>5110</v>
      </c>
      <c r="J63" s="1178">
        <v>20000</v>
      </c>
      <c r="K63" s="797">
        <f t="shared" si="1"/>
        <v>28458</v>
      </c>
      <c r="L63" s="1214"/>
    </row>
  </sheetData>
  <sheetProtection password="CA5B" sheet="1" objects="1" scenarios="1"/>
  <mergeCells count="49">
    <mergeCell ref="C13:C14"/>
    <mergeCell ref="D13:D14"/>
    <mergeCell ref="E13:E14"/>
    <mergeCell ref="I13:K14"/>
    <mergeCell ref="I1:L3"/>
    <mergeCell ref="A15:B15"/>
    <mergeCell ref="I15:K15"/>
    <mergeCell ref="A16:A21"/>
    <mergeCell ref="B16:B21"/>
    <mergeCell ref="I16:K16"/>
    <mergeCell ref="I17:K17"/>
    <mergeCell ref="I18:K18"/>
    <mergeCell ref="I19:K19"/>
    <mergeCell ref="I20:K20"/>
    <mergeCell ref="I21:K21"/>
    <mergeCell ref="A8:L8"/>
    <mergeCell ref="C10:L10"/>
    <mergeCell ref="C12:L12"/>
    <mergeCell ref="A13:A14"/>
    <mergeCell ref="B13:B14"/>
    <mergeCell ref="I22:K22"/>
    <mergeCell ref="C25:I25"/>
    <mergeCell ref="A26:A27"/>
    <mergeCell ref="B26:B27"/>
    <mergeCell ref="C26:C27"/>
    <mergeCell ref="D26:D27"/>
    <mergeCell ref="E26:E27"/>
    <mergeCell ref="I26:I27"/>
    <mergeCell ref="A40:B40"/>
    <mergeCell ref="A41:A42"/>
    <mergeCell ref="B41:B42"/>
    <mergeCell ref="A28:B28"/>
    <mergeCell ref="C35:H35"/>
    <mergeCell ref="C36:H36"/>
    <mergeCell ref="A37:A39"/>
    <mergeCell ref="B37:B39"/>
    <mergeCell ref="C37:D38"/>
    <mergeCell ref="E37:F38"/>
    <mergeCell ref="G37:H38"/>
    <mergeCell ref="L50:L54"/>
    <mergeCell ref="L37:L39"/>
    <mergeCell ref="I38:I39"/>
    <mergeCell ref="J38:J39"/>
    <mergeCell ref="K38:K39"/>
    <mergeCell ref="A44:A45"/>
    <mergeCell ref="B44:B45"/>
    <mergeCell ref="A46:A47"/>
    <mergeCell ref="A49:A54"/>
    <mergeCell ref="B49:B54"/>
  </mergeCells>
  <hyperlinks>
    <hyperlink ref="L46" location="Zemes_noma!A1" display="Skat.Zemes_noma"/>
    <hyperlink ref="L48" location="Telpu_noma!A1" display="Skat.Telpu_noma"/>
  </hyperlinks>
  <pageMargins left="0.98425196850393704" right="0" top="0.39370078740157483" bottom="0.39370078740157483" header="0.51181102362204722" footer="0.51181102362204722"/>
  <pageSetup paperSize="9" scale="5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25</vt:i4>
      </vt:variant>
    </vt:vector>
  </HeadingPairs>
  <TitlesOfParts>
    <vt:vector size="54" baseType="lpstr">
      <vt:lpstr>3.piel.</vt:lpstr>
      <vt:lpstr>4.piel.</vt:lpstr>
      <vt:lpstr>5.piel.</vt:lpstr>
      <vt:lpstr>6.piel.</vt:lpstr>
      <vt:lpstr>7.piel.</vt:lpstr>
      <vt:lpstr>8.piel.</vt:lpstr>
      <vt:lpstr>9.piel.</vt:lpstr>
      <vt:lpstr>10.piel.</vt:lpstr>
      <vt:lpstr>11.piel.</vt:lpstr>
      <vt:lpstr>12.piel.</vt:lpstr>
      <vt:lpstr>13.piel.</vt:lpstr>
      <vt:lpstr>14.piel.</vt:lpstr>
      <vt:lpstr>15.piel.</vt:lpstr>
      <vt:lpstr>16.piel.</vt:lpstr>
      <vt:lpstr>17.piel.</vt:lpstr>
      <vt:lpstr>18.piel.</vt:lpstr>
      <vt:lpstr>19.piel.</vt:lpstr>
      <vt:lpstr>20.piel.</vt:lpstr>
      <vt:lpstr>21.piel.</vt:lpstr>
      <vt:lpstr>22.piel.</vt:lpstr>
      <vt:lpstr>23.piel.</vt:lpstr>
      <vt:lpstr>24.piel.</vt:lpstr>
      <vt:lpstr>25.piel.</vt:lpstr>
      <vt:lpstr>26.piel.</vt:lpstr>
      <vt:lpstr>27.piel.</vt:lpstr>
      <vt:lpstr>28.piel.</vt:lpstr>
      <vt:lpstr>29.piel.</vt:lpstr>
      <vt:lpstr>30.piel.</vt:lpstr>
      <vt:lpstr>Sheet3</vt:lpstr>
      <vt:lpstr>'10.piel.'!Print_Area</vt:lpstr>
      <vt:lpstr>'11.piel.'!Print_Area</vt:lpstr>
      <vt:lpstr>'12.piel.'!Print_Area</vt:lpstr>
      <vt:lpstr>'13.piel.'!Print_Area</vt:lpstr>
      <vt:lpstr>'14.piel.'!Print_Area</vt:lpstr>
      <vt:lpstr>'15.piel.'!Print_Area</vt:lpstr>
      <vt:lpstr>'16.piel.'!Print_Area</vt:lpstr>
      <vt:lpstr>'17.piel.'!Print_Area</vt:lpstr>
      <vt:lpstr>'18.piel.'!Print_Area</vt:lpstr>
      <vt:lpstr>'19.piel.'!Print_Area</vt:lpstr>
      <vt:lpstr>'20.piel.'!Print_Area</vt:lpstr>
      <vt:lpstr>'21.piel.'!Print_Area</vt:lpstr>
      <vt:lpstr>'22.piel.'!Print_Area</vt:lpstr>
      <vt:lpstr>'24.piel.'!Print_Area</vt:lpstr>
      <vt:lpstr>'25.piel.'!Print_Area</vt:lpstr>
      <vt:lpstr>'26.piel.'!Print_Area</vt:lpstr>
      <vt:lpstr>'27.piel.'!Print_Area</vt:lpstr>
      <vt:lpstr>'29.piel.'!Print_Area</vt:lpstr>
      <vt:lpstr>'3.piel.'!Print_Area</vt:lpstr>
      <vt:lpstr>'30.piel.'!Print_Area</vt:lpstr>
      <vt:lpstr>'4.piel.'!Print_Area</vt:lpstr>
      <vt:lpstr>'6.piel.'!Print_Area</vt:lpstr>
      <vt:lpstr>'7.piel.'!Print_Area</vt:lpstr>
      <vt:lpstr>'8.piel.'!Print_Area</vt:lpstr>
      <vt:lpstr>'9.piel.'!Print_Area</vt:lpstr>
    </vt:vector>
  </TitlesOfParts>
  <Company>jpd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Liga Krutkramele</dc:creator>
  <cp:lastModifiedBy>Liene Zalkovska</cp:lastModifiedBy>
  <cp:lastPrinted>2014-01-07T13:20:56Z</cp:lastPrinted>
  <dcterms:created xsi:type="dcterms:W3CDTF">2013-10-28T15:39:50Z</dcterms:created>
  <dcterms:modified xsi:type="dcterms:W3CDTF">2014-01-07T13:22:40Z</dcterms:modified>
</cp:coreProperties>
</file>