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5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U14" i="1" l="1"/>
  <c r="V14" i="1"/>
  <c r="U34" i="1"/>
  <c r="S35" i="1"/>
  <c r="S34" i="1"/>
  <c r="P14" i="1"/>
  <c r="P21" i="1"/>
  <c r="S23" i="1" l="1"/>
  <c r="P34" i="1" l="1"/>
  <c r="Q34" i="1"/>
  <c r="R34" i="1"/>
  <c r="O34" i="1"/>
  <c r="U21" i="1"/>
  <c r="V21" i="1"/>
  <c r="W21" i="1"/>
  <c r="U22" i="1"/>
  <c r="V22" i="1"/>
  <c r="W22" i="1"/>
  <c r="U23" i="1"/>
  <c r="V23" i="1"/>
  <c r="W23" i="1"/>
  <c r="Y24" i="1"/>
  <c r="Y25" i="1"/>
  <c r="Y26" i="1"/>
  <c r="Y27" i="1"/>
  <c r="Y28" i="1"/>
  <c r="Y29" i="1"/>
  <c r="Y30" i="1"/>
  <c r="Y31" i="1"/>
  <c r="Y32" i="1"/>
  <c r="Y33" i="1"/>
  <c r="Y34" i="1"/>
  <c r="V20" i="1"/>
  <c r="W20" i="1"/>
  <c r="U20" i="1"/>
  <c r="W14" i="1"/>
  <c r="Q38" i="1" l="1"/>
  <c r="O36" i="1"/>
  <c r="Q40" i="1" s="1"/>
  <c r="V34" i="1"/>
  <c r="W34" i="1"/>
  <c r="R35" i="1"/>
  <c r="R36" i="1"/>
  <c r="N20" i="1"/>
  <c r="M34" i="1"/>
  <c r="L34" i="1"/>
  <c r="K34" i="1"/>
  <c r="F34" i="1"/>
  <c r="F35" i="1" s="1"/>
  <c r="H20" i="1"/>
  <c r="H14" i="1"/>
  <c r="E34" i="1"/>
  <c r="B20" i="1"/>
  <c r="B14" i="1"/>
  <c r="Q39" i="1" l="1"/>
  <c r="T20" i="1"/>
  <c r="S22" i="1"/>
  <c r="Q20" i="1" l="1"/>
  <c r="Q14" i="1"/>
  <c r="O14" i="1"/>
  <c r="S29" i="1"/>
  <c r="S20" i="1"/>
  <c r="S21" i="1"/>
  <c r="K23" i="1"/>
  <c r="J23" i="1"/>
  <c r="K22" i="1"/>
  <c r="I22" i="1"/>
  <c r="K21" i="1"/>
  <c r="I21" i="1"/>
  <c r="K20" i="1"/>
  <c r="I20" i="1"/>
  <c r="E23" i="1"/>
  <c r="C23" i="1"/>
  <c r="E22" i="1"/>
  <c r="D22" i="1"/>
  <c r="D34" i="1" s="1"/>
  <c r="C22" i="1"/>
  <c r="E21" i="1"/>
  <c r="D21" i="1"/>
  <c r="C21" i="1"/>
  <c r="E20" i="1"/>
  <c r="C20" i="1"/>
  <c r="S31" i="1"/>
  <c r="C34" i="1" l="1"/>
  <c r="B21" i="1" l="1"/>
  <c r="B22" i="1"/>
  <c r="B23" i="1"/>
  <c r="B24" i="1"/>
  <c r="B25" i="1"/>
  <c r="B28" i="1"/>
  <c r="B29" i="1"/>
  <c r="B30" i="1"/>
  <c r="B31" i="1"/>
  <c r="B32" i="1"/>
  <c r="B33" i="1"/>
  <c r="Q23" i="1"/>
  <c r="P23" i="1"/>
  <c r="S24" i="1" l="1"/>
  <c r="N31" i="1"/>
  <c r="S28" i="1"/>
  <c r="N29" i="1"/>
  <c r="S32" i="1"/>
  <c r="N24" i="1"/>
  <c r="S25" i="1"/>
  <c r="S33" i="1"/>
  <c r="N30" i="1"/>
  <c r="N32" i="1"/>
  <c r="H30" i="1"/>
  <c r="H31" i="1"/>
  <c r="H32" i="1"/>
  <c r="H28" i="1"/>
  <c r="H29" i="1"/>
  <c r="T29" i="1" s="1"/>
  <c r="H33" i="1"/>
  <c r="N26" i="1"/>
  <c r="H24" i="1"/>
  <c r="H25" i="1"/>
  <c r="Q22" i="1"/>
  <c r="P22" i="1"/>
  <c r="O22" i="1"/>
  <c r="H22" i="1"/>
  <c r="Q21" i="1"/>
  <c r="P20" i="1"/>
  <c r="G26" i="1"/>
  <c r="S27" i="1"/>
  <c r="G27" i="1"/>
  <c r="B27" i="1" s="1"/>
  <c r="K14" i="1"/>
  <c r="J14" i="1"/>
  <c r="I14" i="1"/>
  <c r="D14" i="1"/>
  <c r="C14" i="1"/>
  <c r="E14" i="1"/>
  <c r="T33" i="1" l="1"/>
  <c r="T32" i="1"/>
  <c r="T31" i="1"/>
  <c r="T30" i="1"/>
  <c r="T24" i="1"/>
  <c r="N25" i="1"/>
  <c r="T25" i="1" s="1"/>
  <c r="S14" i="1"/>
  <c r="B26" i="1"/>
  <c r="B34" i="1" s="1"/>
  <c r="G34" i="1"/>
  <c r="N28" i="1"/>
  <c r="T28" i="1" s="1"/>
  <c r="N33" i="1"/>
  <c r="N22" i="1"/>
  <c r="T22" i="1" s="1"/>
  <c r="B36" i="1" l="1"/>
  <c r="E35" i="1"/>
  <c r="Y14" i="1"/>
  <c r="N14" i="1"/>
  <c r="T14" i="1" s="1"/>
  <c r="N27" i="1"/>
  <c r="N23" i="1"/>
  <c r="N21" i="1"/>
  <c r="J34" i="1"/>
  <c r="I34" i="1"/>
  <c r="H27" i="1"/>
  <c r="T27" i="1" s="1"/>
  <c r="H26" i="1"/>
  <c r="T26" i="1" s="1"/>
  <c r="H23" i="1"/>
  <c r="H21" i="1"/>
  <c r="T21" i="1" l="1"/>
  <c r="H34" i="1"/>
  <c r="I35" i="1" s="1"/>
  <c r="N34" i="1"/>
  <c r="T23" i="1"/>
  <c r="L35" i="1"/>
  <c r="K35" i="1" l="1"/>
  <c r="T34" i="1"/>
  <c r="Q35" i="1"/>
  <c r="O35" i="1"/>
  <c r="P35" i="1"/>
  <c r="N35" i="1" s="1"/>
  <c r="J35" i="1"/>
  <c r="M35" i="1"/>
  <c r="C35" i="1"/>
  <c r="G35" i="1"/>
  <c r="D35" i="1"/>
  <c r="N36" i="1"/>
  <c r="H36" i="1"/>
  <c r="B35" i="1" l="1"/>
  <c r="H35" i="1"/>
</calcChain>
</file>

<file path=xl/sharedStrings.xml><?xml version="1.0" encoding="utf-8"?>
<sst xmlns="http://schemas.openxmlformats.org/spreadsheetml/2006/main" count="117" uniqueCount="47">
  <si>
    <t>2.pielikums Jūrmalas pilsētas domes</t>
  </si>
  <si>
    <t>KOPĀ</t>
  </si>
  <si>
    <t>Attiecināmās izmaksas</t>
  </si>
  <si>
    <t>Neattiecināmās izmaksas</t>
  </si>
  <si>
    <t>KOPĀ:</t>
  </si>
  <si>
    <t>Apstiprinātais plāns</t>
  </si>
  <si>
    <t>Precizētais plāns</t>
  </si>
  <si>
    <t>IZMAKSU POZĪCIJAS (AKTIVITĀTES) NOSAUKUMS*</t>
  </si>
  <si>
    <t>IEŅĒMUMI</t>
  </si>
  <si>
    <t>Bilance</t>
  </si>
  <si>
    <t>Īpatsvars, %</t>
  </si>
  <si>
    <t>Izpilde</t>
  </si>
  <si>
    <t>Izpilde pret precizēto plānu (%)</t>
  </si>
  <si>
    <t>Attiecināmo izmaksu segšanai</t>
  </si>
  <si>
    <t>Neattiecināmo izmaksu segšanai</t>
  </si>
  <si>
    <t>Projekta</t>
  </si>
  <si>
    <t>ERAF līdzfinansējums</t>
  </si>
  <si>
    <t>JPD līdzfinansējums</t>
  </si>
  <si>
    <t>Partneru līdzfinansējums</t>
  </si>
  <si>
    <t>budžeta kopsavilkums (latos)</t>
  </si>
  <si>
    <t>JPD finansējums</t>
  </si>
  <si>
    <t>Stenda noformējums, līmplēves</t>
  </si>
  <si>
    <t>Degvielas izdevumi</t>
  </si>
  <si>
    <t>Dienas naudas</t>
  </si>
  <si>
    <t>Izdevumi par viesnīcu (naktsmītni)</t>
  </si>
  <si>
    <t>Ekonomiskās klases sabiedriskā transporta izdevumi</t>
  </si>
  <si>
    <t>Veselības apdrošināšanas izdevumi</t>
  </si>
  <si>
    <t>Vīzu iegādes izdevumi</t>
  </si>
  <si>
    <t>Prāmja biļešu iegādes izdevumi (autotransportam)</t>
  </si>
  <si>
    <t>Autostāvvietas izmaksas</t>
  </si>
  <si>
    <t>Avio pakalpojumu rezervēšanas maksa</t>
  </si>
  <si>
    <t>Bankas komisijas</t>
  </si>
  <si>
    <t>Maksa par dalību konferencēs, izstādēs vai kontaktbiržās, aktivitātēm, kuras pārsniedz noteiktās attiecināmās izmaksas</t>
  </si>
  <si>
    <t>Valūtas kursa svārstības</t>
  </si>
  <si>
    <t>Starptautiskās izstādes organizatora noteiktā reģistrācijas, dalības un stenda nomas maksa</t>
  </si>
  <si>
    <t>(projekta līguma Nr.L-ĀTA-12-1235  un projekta Nr.ĀTA/2.3.1.1.1/12/44/013)</t>
  </si>
  <si>
    <t>X</t>
  </si>
  <si>
    <t>*Saskaņā ar Jūrmalas pilsētas domes 2012.gada 20.decembra lēmumu Nr.739, partneru neattiecināmo izmaksu summa nav fiksēta.</t>
  </si>
  <si>
    <t>Partneru līdzfinansējums*</t>
  </si>
  <si>
    <t xml:space="preserve">JPD līdzfinansējums </t>
  </si>
  <si>
    <t>Attiecināmo izmaksu īpatsvars (%):</t>
  </si>
  <si>
    <t xml:space="preserve">ERAF līdzfinansējums </t>
  </si>
  <si>
    <t xml:space="preserve">Partneru līdzfinansējums </t>
  </si>
  <si>
    <t>2014.gada 15.maija lēmumam Nr.213</t>
  </si>
  <si>
    <t>(Protokols Nr.9, 11.punkts)</t>
  </si>
  <si>
    <t>Atbilstoši Latvijas investīciju un attīstības aģentūras 2013.gada 17.jūlija vēstulei Nr.9.2-1.1/5464SF „Par ierosināto līguma grozījumu atbalstīšanu”, tika mainītas projekta ietvaros plānotās aktivitātes, kā rezultātā mainījās attiecināmo izmaksu īpatsvars. JPD plānotā līdzfinansējuma apjoms tika palielināts par LVL 2105.50, savukārt partneru plānotā līdzfinansējuma apjoms samazināts par LVL 2105.50. Projekta līguma grozījumi tika sagatavoti atbilstoši 26.06.2007. MK noteikumu Nr.419, 25.1.punktam, proti mainot plānotās projekta aktivitātes netiek mainīta projekta kopsumma, paredzot papildus veicamas darbības. Projekta pieteikums tiek izstrādātas saskaņā ar 10.10.2010. MK noteikumiem Nr.969, paredzot maksimālo viesnīcas maksas normu, taču savlaicīgi plānojot un īstenojot projektā paredzētās aktivitātes, faktiskās viesnīcas izmaksas ir krietni mazākas. Pēc projekta līguma grozījumu atbalstošas, tika izvērtēta projekta starpposma izpilde un pamatojoties uz fiksēto JPD attiecināmo izmaksu ekonomiju, tika pieņemts lēmums neveikt grozījumus Jūrmalas pilsētas domes 2012.gada 20.decembra lēmumā Nr.739, jo faktiskais finansējuma apjoms turpmāko projekta aktivitāšu īstenošanai tika izvērtēts kā pietiekams.</t>
  </si>
  <si>
    <r>
      <rPr>
        <b/>
        <i/>
        <sz val="13"/>
        <color theme="1"/>
        <rFont val="Times New Roman"/>
        <family val="1"/>
        <charset val="186"/>
      </rPr>
      <t>„Jūrmalas kūrortpilsētas dalība ārvalstu starptautiskajās tūrisma izstādēs, gadatirgos un konferencēs”</t>
    </r>
    <r>
      <rPr>
        <sz val="13"/>
        <color theme="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</si>
</sst>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Times New Roman"/>
      <family val="2"/>
      <charset val="186"/>
    </font>
    <font>
      <sz val="13"/>
      <color theme="1"/>
      <name val="Times New Roman"/>
      <family val="1"/>
      <charset val="186"/>
    </font>
    <font>
      <b/>
      <i/>
      <sz val="13"/>
      <color theme="1"/>
      <name val="Times New Roman"/>
      <family val="1"/>
      <charset val="186"/>
    </font>
    <font>
      <i/>
      <sz val="13"/>
      <color theme="1"/>
      <name val="Times New Roman"/>
      <family val="1"/>
      <charset val="186"/>
    </font>
    <font>
      <b/>
      <sz val="13"/>
      <color theme="1"/>
      <name val="Times New Roman"/>
      <family val="1"/>
      <charset val="186"/>
    </font>
    <font>
      <sz val="13"/>
      <color rgb="FFFF0000"/>
      <name val="Times New Roman"/>
      <family val="1"/>
      <charset val="186"/>
    </font>
    <font>
      <b/>
      <i/>
      <sz val="13"/>
      <color theme="1" tint="4.9989318521683403E-2"/>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hair">
        <color auto="1"/>
      </top>
      <bottom/>
      <diagonal/>
    </border>
    <border>
      <left/>
      <right/>
      <top style="hair">
        <color auto="1"/>
      </top>
      <bottom/>
      <diagonal/>
    </border>
    <border>
      <left/>
      <right style="hair">
        <color auto="1"/>
      </right>
      <top style="hair">
        <color auto="1"/>
      </top>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cellStyleXfs>
  <cellXfs count="63">
    <xf numFmtId="0" fontId="0" fillId="0" borderId="0" xfId="0"/>
    <xf numFmtId="0" fontId="1" fillId="0" borderId="0" xfId="0" applyFont="1" applyAlignment="1">
      <alignment horizontal="right" vertical="center"/>
    </xf>
    <xf numFmtId="0" fontId="1" fillId="0" borderId="0" xfId="0" applyFont="1"/>
    <xf numFmtId="0" fontId="1" fillId="0" borderId="0" xfId="0" applyFont="1" applyAlignment="1">
      <alignment horizontal="center"/>
    </xf>
    <xf numFmtId="0" fontId="1" fillId="0" borderId="0" xfId="0" applyFont="1" applyFill="1" applyAlignment="1">
      <alignment horizontal="center"/>
    </xf>
    <xf numFmtId="0" fontId="3" fillId="0" borderId="0" xfId="0" applyFont="1" applyFill="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vertical="center" wrapText="1"/>
    </xf>
    <xf numFmtId="0" fontId="6"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right" vertical="center" wrapText="1"/>
    </xf>
    <xf numFmtId="0" fontId="2" fillId="0" borderId="2" xfId="0" applyFont="1" applyBorder="1" applyAlignment="1">
      <alignment horizontal="center" wrapText="1"/>
    </xf>
    <xf numFmtId="2" fontId="2" fillId="0" borderId="1" xfId="0" applyNumberFormat="1" applyFont="1" applyBorder="1" applyAlignment="1">
      <alignment vertical="center" wrapText="1"/>
    </xf>
    <xf numFmtId="0" fontId="2" fillId="0" borderId="1" xfId="0" applyFont="1" applyBorder="1" applyAlignment="1">
      <alignment vertical="center" wrapText="1"/>
    </xf>
    <xf numFmtId="4" fontId="2" fillId="0" borderId="1" xfId="0" applyNumberFormat="1" applyFont="1" applyBorder="1" applyAlignment="1">
      <alignment vertical="center" wrapText="1"/>
    </xf>
    <xf numFmtId="1" fontId="2" fillId="0" borderId="2" xfId="0" applyNumberFormat="1" applyFont="1" applyBorder="1" applyAlignment="1">
      <alignment vertical="center" wrapText="1"/>
    </xf>
    <xf numFmtId="1" fontId="2" fillId="0" borderId="2" xfId="0" applyNumberFormat="1" applyFont="1" applyBorder="1" applyAlignment="1">
      <alignment horizontal="center" vertical="center" wrapText="1"/>
    </xf>
    <xf numFmtId="0" fontId="6" fillId="0" borderId="0" xfId="0" applyFont="1" applyBorder="1" applyAlignment="1">
      <alignment horizontal="right" vertical="center" wrapText="1"/>
    </xf>
    <xf numFmtId="0" fontId="2" fillId="0" borderId="0" xfId="0" applyFont="1" applyBorder="1" applyAlignment="1">
      <alignment horizont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5" fillId="0" borderId="8" xfId="0"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2" fillId="0" borderId="1" xfId="0" applyFont="1" applyBorder="1" applyAlignment="1">
      <alignment horizontal="right" vertical="center" wrapText="1"/>
    </xf>
    <xf numFmtId="2"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0" xfId="0" applyFont="1" applyAlignment="1">
      <alignment horizontal="right" vertical="center"/>
    </xf>
    <xf numFmtId="9" fontId="2" fillId="0" borderId="1" xfId="0" applyNumberFormat="1" applyFont="1" applyFill="1" applyBorder="1" applyAlignment="1">
      <alignment horizontal="center" vertical="center" wrapText="1"/>
    </xf>
    <xf numFmtId="9" fontId="2" fillId="0" borderId="1" xfId="0" applyNumberFormat="1" applyFont="1" applyBorder="1" applyAlignment="1">
      <alignment horizontal="center"/>
    </xf>
    <xf numFmtId="0" fontId="2" fillId="0" borderId="0" xfId="0" applyFont="1" applyAlignment="1">
      <alignment horizontal="right"/>
    </xf>
    <xf numFmtId="0" fontId="2" fillId="0" borderId="11" xfId="0" applyFont="1" applyFill="1" applyBorder="1" applyAlignment="1">
      <alignment horizontal="center" vertical="center" wrapText="1"/>
    </xf>
    <xf numFmtId="4" fontId="2" fillId="2" borderId="2" xfId="0" applyNumberFormat="1" applyFont="1" applyFill="1" applyBorder="1" applyAlignment="1">
      <alignment horizontal="center"/>
    </xf>
    <xf numFmtId="4" fontId="2" fillId="2" borderId="3" xfId="0" applyNumberFormat="1"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3" fillId="0" borderId="0" xfId="0" applyFont="1"/>
    <xf numFmtId="0" fontId="3" fillId="0" borderId="0" xfId="0" applyFont="1" applyAlignment="1">
      <alignment vertical="center"/>
    </xf>
    <xf numFmtId="9" fontId="3" fillId="0" borderId="0" xfId="0" applyNumberFormat="1" applyFont="1"/>
    <xf numFmtId="9" fontId="3" fillId="0" borderId="0" xfId="0" applyNumberFormat="1" applyFont="1" applyAlignment="1">
      <alignment horizontal="left"/>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
  <sheetViews>
    <sheetView tabSelected="1" topLeftCell="Q6" zoomScale="120" zoomScaleNormal="120" workbookViewId="0">
      <selection activeCell="T11" sqref="T11:Y11"/>
    </sheetView>
  </sheetViews>
  <sheetFormatPr defaultRowHeight="16.5" x14ac:dyDescent="0.25"/>
  <cols>
    <col min="1" max="1" width="27.85546875" style="2" customWidth="1"/>
    <col min="2" max="2" width="10.140625" style="2" customWidth="1"/>
    <col min="3" max="3" width="13.42578125" style="2" customWidth="1"/>
    <col min="4" max="4" width="12.85546875" style="2" customWidth="1"/>
    <col min="5" max="5" width="13.42578125" style="2" customWidth="1"/>
    <col min="6" max="6" width="14.7109375" style="2" customWidth="1"/>
    <col min="7" max="7" width="13.85546875" style="2" customWidth="1"/>
    <col min="8" max="8" width="9.140625" style="2" customWidth="1"/>
    <col min="9" max="11" width="15.5703125" style="2" customWidth="1"/>
    <col min="12" max="12" width="14" style="2" customWidth="1"/>
    <col min="13" max="13" width="13.7109375" style="2" customWidth="1"/>
    <col min="14" max="14" width="9.140625" style="2" customWidth="1"/>
    <col min="15" max="15" width="13.140625" style="2" customWidth="1"/>
    <col min="16" max="17" width="16.28515625" style="2" customWidth="1"/>
    <col min="18" max="18" width="14.7109375" style="2" customWidth="1"/>
    <col min="19" max="19" width="13.7109375" style="2" customWidth="1"/>
    <col min="20" max="20" width="11.42578125" style="2" customWidth="1"/>
    <col min="21" max="27" width="16.140625" style="2" customWidth="1"/>
    <col min="28" max="16384" width="9.140625" style="2"/>
  </cols>
  <sheetData>
    <row r="1" spans="1:25" x14ac:dyDescent="0.25">
      <c r="A1" s="1"/>
      <c r="N1" s="1"/>
      <c r="Y1" s="1" t="s">
        <v>0</v>
      </c>
    </row>
    <row r="2" spans="1:25" x14ac:dyDescent="0.25">
      <c r="A2" s="1"/>
      <c r="N2" s="1"/>
      <c r="Y2" s="1" t="s">
        <v>43</v>
      </c>
    </row>
    <row r="3" spans="1:25" x14ac:dyDescent="0.25">
      <c r="A3" s="1"/>
      <c r="N3" s="1"/>
      <c r="Y3" s="1" t="s">
        <v>44</v>
      </c>
    </row>
    <row r="4" spans="1:25" x14ac:dyDescent="0.25">
      <c r="A4" s="1"/>
    </row>
    <row r="5" spans="1:25" ht="15.75" customHeight="1" x14ac:dyDescent="0.25">
      <c r="A5" s="3" t="s">
        <v>15</v>
      </c>
      <c r="B5" s="3"/>
      <c r="C5" s="3"/>
      <c r="D5" s="3"/>
      <c r="E5" s="3"/>
      <c r="F5" s="3"/>
      <c r="G5" s="3"/>
      <c r="H5" s="3"/>
      <c r="I5" s="3"/>
      <c r="J5" s="3"/>
      <c r="K5" s="3"/>
      <c r="L5" s="3"/>
      <c r="M5" s="3"/>
      <c r="N5" s="3"/>
      <c r="O5" s="3"/>
      <c r="P5" s="3"/>
      <c r="Q5" s="3"/>
      <c r="R5" s="3"/>
      <c r="S5" s="3"/>
      <c r="T5" s="3"/>
      <c r="U5" s="3"/>
      <c r="V5" s="3"/>
      <c r="W5" s="3"/>
      <c r="X5" s="3"/>
      <c r="Y5" s="3"/>
    </row>
    <row r="6" spans="1:25" ht="15.75" customHeight="1" x14ac:dyDescent="0.3">
      <c r="A6" s="4" t="s">
        <v>46</v>
      </c>
      <c r="B6" s="4"/>
      <c r="C6" s="4"/>
      <c r="D6" s="4"/>
      <c r="E6" s="4"/>
      <c r="F6" s="4"/>
      <c r="G6" s="4"/>
      <c r="H6" s="4"/>
      <c r="I6" s="4"/>
      <c r="J6" s="4"/>
      <c r="K6" s="4"/>
      <c r="L6" s="4"/>
      <c r="M6" s="4"/>
      <c r="N6" s="4"/>
      <c r="O6" s="4"/>
      <c r="P6" s="4"/>
      <c r="Q6" s="4"/>
      <c r="R6" s="4"/>
      <c r="S6" s="4"/>
      <c r="T6" s="4"/>
      <c r="U6" s="4"/>
      <c r="V6" s="4"/>
      <c r="W6" s="4"/>
      <c r="X6" s="4"/>
      <c r="Y6" s="4"/>
    </row>
    <row r="7" spans="1:25" ht="15.75" customHeight="1" x14ac:dyDescent="0.25">
      <c r="A7" s="5" t="s">
        <v>35</v>
      </c>
      <c r="B7" s="5"/>
      <c r="C7" s="5"/>
      <c r="D7" s="5"/>
      <c r="E7" s="5"/>
      <c r="F7" s="5"/>
      <c r="G7" s="5"/>
      <c r="H7" s="5"/>
      <c r="I7" s="5"/>
      <c r="J7" s="5"/>
      <c r="K7" s="5"/>
      <c r="L7" s="5"/>
      <c r="M7" s="5"/>
      <c r="N7" s="5"/>
      <c r="O7" s="5"/>
      <c r="P7" s="5"/>
      <c r="Q7" s="5"/>
      <c r="R7" s="5"/>
      <c r="S7" s="5"/>
      <c r="T7" s="5"/>
      <c r="U7" s="5"/>
      <c r="V7" s="5"/>
      <c r="W7" s="5"/>
      <c r="X7" s="5"/>
      <c r="Y7" s="5"/>
    </row>
    <row r="8" spans="1:25" x14ac:dyDescent="0.25">
      <c r="A8" s="6" t="s">
        <v>19</v>
      </c>
      <c r="B8" s="6"/>
      <c r="C8" s="6"/>
      <c r="D8" s="6"/>
      <c r="E8" s="6"/>
      <c r="F8" s="6"/>
      <c r="G8" s="6"/>
      <c r="H8" s="6"/>
      <c r="I8" s="6"/>
      <c r="J8" s="6"/>
      <c r="K8" s="6"/>
      <c r="L8" s="6"/>
      <c r="M8" s="6"/>
      <c r="N8" s="6"/>
      <c r="O8" s="6"/>
      <c r="P8" s="6"/>
      <c r="Q8" s="6"/>
      <c r="R8" s="6"/>
      <c r="S8" s="6"/>
      <c r="T8" s="6"/>
      <c r="U8" s="6"/>
      <c r="V8" s="6"/>
      <c r="W8" s="6"/>
      <c r="X8" s="6"/>
      <c r="Y8" s="6"/>
    </row>
    <row r="9" spans="1:25" x14ac:dyDescent="0.25">
      <c r="A9" s="7"/>
    </row>
    <row r="10" spans="1:25" x14ac:dyDescent="0.25">
      <c r="A10" s="8"/>
      <c r="B10" s="8"/>
      <c r="C10" s="8"/>
      <c r="D10" s="8"/>
      <c r="E10" s="8"/>
      <c r="F10" s="8"/>
      <c r="G10" s="8"/>
      <c r="H10" s="8"/>
      <c r="I10" s="8"/>
      <c r="J10" s="8"/>
    </row>
    <row r="11" spans="1:25" ht="17.25" x14ac:dyDescent="0.25">
      <c r="A11" s="9" t="s">
        <v>8</v>
      </c>
      <c r="B11" s="10" t="s">
        <v>5</v>
      </c>
      <c r="C11" s="11"/>
      <c r="D11" s="11"/>
      <c r="E11" s="11"/>
      <c r="F11" s="11"/>
      <c r="G11" s="12"/>
      <c r="H11" s="13" t="s">
        <v>6</v>
      </c>
      <c r="I11" s="14"/>
      <c r="J11" s="14"/>
      <c r="K11" s="14"/>
      <c r="L11" s="14"/>
      <c r="M11" s="15"/>
      <c r="N11" s="13" t="s">
        <v>11</v>
      </c>
      <c r="O11" s="14"/>
      <c r="P11" s="14"/>
      <c r="Q11" s="14"/>
      <c r="R11" s="14"/>
      <c r="S11" s="15"/>
      <c r="T11" s="10" t="s">
        <v>12</v>
      </c>
      <c r="U11" s="11"/>
      <c r="V11" s="11"/>
      <c r="W11" s="11"/>
      <c r="X11" s="11"/>
      <c r="Y11" s="12"/>
    </row>
    <row r="12" spans="1:25" x14ac:dyDescent="0.25">
      <c r="A12" s="16"/>
      <c r="B12" s="17" t="s">
        <v>1</v>
      </c>
      <c r="C12" s="18" t="s">
        <v>13</v>
      </c>
      <c r="D12" s="18"/>
      <c r="E12" s="18"/>
      <c r="F12" s="19" t="s">
        <v>14</v>
      </c>
      <c r="G12" s="20"/>
      <c r="H12" s="17" t="s">
        <v>1</v>
      </c>
      <c r="I12" s="18" t="s">
        <v>13</v>
      </c>
      <c r="J12" s="18"/>
      <c r="K12" s="18"/>
      <c r="L12" s="19" t="s">
        <v>14</v>
      </c>
      <c r="M12" s="20"/>
      <c r="N12" s="17" t="s">
        <v>1</v>
      </c>
      <c r="O12" s="18" t="s">
        <v>13</v>
      </c>
      <c r="P12" s="18"/>
      <c r="Q12" s="18"/>
      <c r="R12" s="19" t="s">
        <v>14</v>
      </c>
      <c r="S12" s="20"/>
      <c r="T12" s="17" t="s">
        <v>1</v>
      </c>
      <c r="U12" s="18" t="s">
        <v>13</v>
      </c>
      <c r="V12" s="18"/>
      <c r="W12" s="18"/>
      <c r="X12" s="19" t="s">
        <v>14</v>
      </c>
      <c r="Y12" s="20"/>
    </row>
    <row r="13" spans="1:25" ht="49.5" x14ac:dyDescent="0.25">
      <c r="A13" s="21"/>
      <c r="B13" s="17"/>
      <c r="C13" s="22" t="s">
        <v>17</v>
      </c>
      <c r="D13" s="22" t="s">
        <v>18</v>
      </c>
      <c r="E13" s="22" t="s">
        <v>16</v>
      </c>
      <c r="F13" s="22" t="s">
        <v>38</v>
      </c>
      <c r="G13" s="22" t="s">
        <v>20</v>
      </c>
      <c r="H13" s="17"/>
      <c r="I13" s="22" t="s">
        <v>17</v>
      </c>
      <c r="J13" s="22" t="s">
        <v>18</v>
      </c>
      <c r="K13" s="22" t="s">
        <v>16</v>
      </c>
      <c r="L13" s="22" t="s">
        <v>18</v>
      </c>
      <c r="M13" s="22" t="s">
        <v>20</v>
      </c>
      <c r="N13" s="17"/>
      <c r="O13" s="22" t="s">
        <v>17</v>
      </c>
      <c r="P13" s="22" t="s">
        <v>18</v>
      </c>
      <c r="Q13" s="22" t="s">
        <v>16</v>
      </c>
      <c r="R13" s="22" t="s">
        <v>38</v>
      </c>
      <c r="S13" s="22" t="s">
        <v>20</v>
      </c>
      <c r="T13" s="17"/>
      <c r="U13" s="22" t="s">
        <v>17</v>
      </c>
      <c r="V13" s="22" t="s">
        <v>18</v>
      </c>
      <c r="W13" s="22" t="s">
        <v>16</v>
      </c>
      <c r="X13" s="22" t="s">
        <v>38</v>
      </c>
      <c r="Y13" s="22" t="s">
        <v>20</v>
      </c>
    </row>
    <row r="14" spans="1:25" ht="17.25" x14ac:dyDescent="0.3">
      <c r="A14" s="23" t="s">
        <v>1</v>
      </c>
      <c r="B14" s="24">
        <f>SUM(C14:G14)</f>
        <v>111937</v>
      </c>
      <c r="C14" s="25">
        <f>44900/2</f>
        <v>22450</v>
      </c>
      <c r="D14" s="25">
        <f>59542/2</f>
        <v>29771</v>
      </c>
      <c r="E14" s="25">
        <f>104442/2</f>
        <v>52221</v>
      </c>
      <c r="F14" s="25">
        <v>0</v>
      </c>
      <c r="G14" s="25">
        <v>7495</v>
      </c>
      <c r="H14" s="24">
        <f>SUM(I14:M14)</f>
        <v>111937</v>
      </c>
      <c r="I14" s="25">
        <f>44900/2</f>
        <v>22450</v>
      </c>
      <c r="J14" s="25">
        <f>59542/2</f>
        <v>29771</v>
      </c>
      <c r="K14" s="25">
        <f>104442/2</f>
        <v>52221</v>
      </c>
      <c r="L14" s="25">
        <v>0</v>
      </c>
      <c r="M14" s="25">
        <v>7495</v>
      </c>
      <c r="N14" s="24">
        <f>SUM(O14:S14)</f>
        <v>57272.319999999985</v>
      </c>
      <c r="O14" s="26">
        <f>31092.42/2+0.01</f>
        <v>15546.22</v>
      </c>
      <c r="P14" s="26">
        <f>(6273.62+1483+7218.19+1185.99+1858.62+1194.29+948.16+574.31)/2</f>
        <v>10368.09</v>
      </c>
      <c r="Q14" s="26">
        <f>25914.29</f>
        <v>25914.29</v>
      </c>
      <c r="R14" s="26">
        <v>664.03</v>
      </c>
      <c r="S14" s="27">
        <f>S34</f>
        <v>4779.6899999999905</v>
      </c>
      <c r="T14" s="28">
        <f>N14*100/H14</f>
        <v>51.164780188856213</v>
      </c>
      <c r="U14" s="29">
        <f>O14*100/I14</f>
        <v>69.248195991091308</v>
      </c>
      <c r="V14" s="29">
        <f>P14*100/J14</f>
        <v>34.826139531759097</v>
      </c>
      <c r="W14" s="29">
        <f t="shared" ref="W14:Y14" si="0">Q14*100/K14</f>
        <v>49.624269929721763</v>
      </c>
      <c r="X14" s="29" t="s">
        <v>36</v>
      </c>
      <c r="Y14" s="29">
        <f t="shared" si="0"/>
        <v>63.77171447631742</v>
      </c>
    </row>
    <row r="15" spans="1:25" ht="17.25" x14ac:dyDescent="0.3">
      <c r="A15" s="30"/>
      <c r="B15" s="31"/>
      <c r="C15" s="32"/>
      <c r="D15" s="32"/>
      <c r="E15" s="32"/>
      <c r="F15" s="32"/>
      <c r="G15" s="32"/>
      <c r="H15" s="31"/>
      <c r="I15" s="32"/>
      <c r="J15" s="32"/>
      <c r="K15" s="32"/>
      <c r="L15" s="32"/>
      <c r="M15" s="32"/>
      <c r="N15" s="31"/>
      <c r="O15" s="32"/>
      <c r="P15" s="32"/>
      <c r="Q15" s="32"/>
      <c r="R15" s="32"/>
      <c r="S15" s="32"/>
      <c r="T15" s="33"/>
      <c r="U15" s="33"/>
      <c r="V15" s="33"/>
      <c r="W15" s="33"/>
      <c r="X15" s="33"/>
      <c r="Y15" s="33"/>
    </row>
    <row r="16" spans="1:25" x14ac:dyDescent="0.25">
      <c r="A16" s="34"/>
      <c r="B16" s="8"/>
      <c r="C16" s="8"/>
      <c r="D16" s="8"/>
      <c r="E16" s="8"/>
      <c r="F16" s="8"/>
      <c r="G16" s="8"/>
      <c r="H16" s="8"/>
      <c r="I16" s="8"/>
      <c r="J16" s="8"/>
    </row>
    <row r="17" spans="1:25" ht="22.5" customHeight="1" x14ac:dyDescent="0.25">
      <c r="A17" s="17" t="s">
        <v>7</v>
      </c>
      <c r="B17" s="17" t="s">
        <v>5</v>
      </c>
      <c r="C17" s="17"/>
      <c r="D17" s="17"/>
      <c r="E17" s="17"/>
      <c r="F17" s="17"/>
      <c r="G17" s="17"/>
      <c r="H17" s="17" t="s">
        <v>6</v>
      </c>
      <c r="I17" s="17"/>
      <c r="J17" s="17"/>
      <c r="K17" s="17"/>
      <c r="L17" s="17"/>
      <c r="M17" s="17"/>
      <c r="N17" s="17" t="s">
        <v>11</v>
      </c>
      <c r="O17" s="17"/>
      <c r="P17" s="17"/>
      <c r="Q17" s="17"/>
      <c r="R17" s="17"/>
      <c r="S17" s="17"/>
      <c r="T17" s="17" t="s">
        <v>12</v>
      </c>
      <c r="U17" s="17"/>
      <c r="V17" s="17"/>
      <c r="W17" s="17"/>
      <c r="X17" s="17"/>
      <c r="Y17" s="17"/>
    </row>
    <row r="18" spans="1:25" x14ac:dyDescent="0.25">
      <c r="A18" s="17"/>
      <c r="B18" s="17" t="s">
        <v>1</v>
      </c>
      <c r="C18" s="18" t="s">
        <v>2</v>
      </c>
      <c r="D18" s="18"/>
      <c r="E18" s="18"/>
      <c r="F18" s="19" t="s">
        <v>3</v>
      </c>
      <c r="G18" s="20"/>
      <c r="H18" s="17" t="s">
        <v>1</v>
      </c>
      <c r="I18" s="18" t="s">
        <v>2</v>
      </c>
      <c r="J18" s="18"/>
      <c r="K18" s="18"/>
      <c r="L18" s="19" t="s">
        <v>3</v>
      </c>
      <c r="M18" s="20"/>
      <c r="N18" s="17" t="s">
        <v>1</v>
      </c>
      <c r="O18" s="18" t="s">
        <v>2</v>
      </c>
      <c r="P18" s="18"/>
      <c r="Q18" s="18"/>
      <c r="R18" s="19" t="s">
        <v>3</v>
      </c>
      <c r="S18" s="20"/>
      <c r="T18" s="17" t="s">
        <v>1</v>
      </c>
      <c r="U18" s="18" t="s">
        <v>2</v>
      </c>
      <c r="V18" s="18"/>
      <c r="W18" s="18"/>
      <c r="X18" s="19" t="s">
        <v>3</v>
      </c>
      <c r="Y18" s="20"/>
    </row>
    <row r="19" spans="1:25" ht="49.5" x14ac:dyDescent="0.25">
      <c r="A19" s="17"/>
      <c r="B19" s="17"/>
      <c r="C19" s="22" t="s">
        <v>17</v>
      </c>
      <c r="D19" s="22" t="s">
        <v>18</v>
      </c>
      <c r="E19" s="22" t="s">
        <v>16</v>
      </c>
      <c r="F19" s="22" t="s">
        <v>38</v>
      </c>
      <c r="G19" s="22" t="s">
        <v>20</v>
      </c>
      <c r="H19" s="17"/>
      <c r="I19" s="22" t="s">
        <v>17</v>
      </c>
      <c r="J19" s="22" t="s">
        <v>18</v>
      </c>
      <c r="K19" s="22" t="s">
        <v>16</v>
      </c>
      <c r="L19" s="22" t="s">
        <v>18</v>
      </c>
      <c r="M19" s="22" t="s">
        <v>20</v>
      </c>
      <c r="N19" s="17"/>
      <c r="O19" s="22" t="s">
        <v>17</v>
      </c>
      <c r="P19" s="22" t="s">
        <v>18</v>
      </c>
      <c r="Q19" s="22" t="s">
        <v>16</v>
      </c>
      <c r="R19" s="22" t="s">
        <v>38</v>
      </c>
      <c r="S19" s="22" t="s">
        <v>20</v>
      </c>
      <c r="T19" s="17"/>
      <c r="U19" s="22" t="s">
        <v>17</v>
      </c>
      <c r="V19" s="22" t="s">
        <v>18</v>
      </c>
      <c r="W19" s="22" t="s">
        <v>16</v>
      </c>
      <c r="X19" s="22" t="s">
        <v>38</v>
      </c>
      <c r="Y19" s="22" t="s">
        <v>20</v>
      </c>
    </row>
    <row r="20" spans="1:25" ht="17.25" x14ac:dyDescent="0.25">
      <c r="A20" s="35" t="s">
        <v>23</v>
      </c>
      <c r="B20" s="36">
        <f>SUM(C20:G20)</f>
        <v>11412</v>
      </c>
      <c r="C20" s="37">
        <f>2314</f>
        <v>2314</v>
      </c>
      <c r="D20" s="37">
        <v>3392</v>
      </c>
      <c r="E20" s="37">
        <f>3392+2314</f>
        <v>5706</v>
      </c>
      <c r="F20" s="37">
        <v>0</v>
      </c>
      <c r="G20" s="37">
        <v>0</v>
      </c>
      <c r="H20" s="36">
        <f>SUM(I20:M20)</f>
        <v>10876</v>
      </c>
      <c r="I20" s="38">
        <f>2314</f>
        <v>2314</v>
      </c>
      <c r="J20" s="38">
        <v>3124</v>
      </c>
      <c r="K20" s="38">
        <f>2314+3124</f>
        <v>5438</v>
      </c>
      <c r="L20" s="37">
        <v>0</v>
      </c>
      <c r="M20" s="37">
        <v>0</v>
      </c>
      <c r="N20" s="36">
        <f>SUM(O20:S20)</f>
        <v>6428.01</v>
      </c>
      <c r="O20" s="39">
        <v>1805.6</v>
      </c>
      <c r="P20" s="38">
        <f>1402</f>
        <v>1402</v>
      </c>
      <c r="Q20" s="38">
        <f>1805.6+1402+0.01</f>
        <v>3207.61</v>
      </c>
      <c r="R20" s="37">
        <v>0</v>
      </c>
      <c r="S20" s="40">
        <f>9.6+3.2</f>
        <v>12.8</v>
      </c>
      <c r="T20" s="41">
        <f>N20*100/H20</f>
        <v>59.102703199705772</v>
      </c>
      <c r="U20" s="42">
        <f>O20*100/I20</f>
        <v>78.029386343993082</v>
      </c>
      <c r="V20" s="42">
        <f t="shared" ref="V20:W20" si="1">P20*100/J20</f>
        <v>44.878361075544177</v>
      </c>
      <c r="W20" s="42">
        <f t="shared" si="1"/>
        <v>58.985104817947771</v>
      </c>
      <c r="X20" s="42">
        <v>0</v>
      </c>
      <c r="Y20" s="42">
        <v>0</v>
      </c>
    </row>
    <row r="21" spans="1:25" ht="33" x14ac:dyDescent="0.25">
      <c r="A21" s="35" t="s">
        <v>24</v>
      </c>
      <c r="B21" s="36">
        <f t="shared" ref="B21:B33" si="2">SUM(C21:G21)</f>
        <v>39970</v>
      </c>
      <c r="C21" s="37">
        <f>8331</f>
        <v>8331</v>
      </c>
      <c r="D21" s="37">
        <f>11654</f>
        <v>11654</v>
      </c>
      <c r="E21" s="37">
        <f>8331+11654</f>
        <v>19985</v>
      </c>
      <c r="F21" s="37">
        <v>0</v>
      </c>
      <c r="G21" s="37">
        <v>0</v>
      </c>
      <c r="H21" s="36">
        <f t="shared" ref="H21:H33" si="3">SUM(I21:M21)</f>
        <v>36094</v>
      </c>
      <c r="I21" s="38">
        <f>8331</f>
        <v>8331</v>
      </c>
      <c r="J21" s="38">
        <v>9716</v>
      </c>
      <c r="K21" s="38">
        <f>8331+9716</f>
        <v>18047</v>
      </c>
      <c r="L21" s="37">
        <v>0</v>
      </c>
      <c r="M21" s="37">
        <v>0</v>
      </c>
      <c r="N21" s="36">
        <f t="shared" ref="N21:N33" si="4">SUM(O21:S21)</f>
        <v>10738.849999999999</v>
      </c>
      <c r="O21" s="38">
        <v>3074.47</v>
      </c>
      <c r="P21" s="38">
        <f>1938.67-0.01</f>
        <v>1938.66</v>
      </c>
      <c r="Q21" s="38">
        <f>3074.46+1938.66</f>
        <v>5013.12</v>
      </c>
      <c r="R21" s="37">
        <v>0</v>
      </c>
      <c r="S21" s="40">
        <f>199+147+329.34+457+118.07+147.59+331.52+131.41+560.74-37.89+252.58+500+620-0.5+223.33+245.89+157.08+262.29+8.44+340.47+217+456.44+117.07+234.14+300+194.48+5.21+2.02+0.87+340.94-(6148.93)</f>
        <v>712.59999999999854</v>
      </c>
      <c r="T21" s="41">
        <f t="shared" ref="T21:T34" si="5">N21*100/H21</f>
        <v>29.752451931068869</v>
      </c>
      <c r="U21" s="42">
        <f t="shared" ref="U21:U23" si="6">O21*100/I21</f>
        <v>36.90397311247149</v>
      </c>
      <c r="V21" s="42">
        <f t="shared" ref="V21:V23" si="7">P21*100/J21</f>
        <v>19.95327295183203</v>
      </c>
      <c r="W21" s="42">
        <f t="shared" ref="W21:W34" si="8">Q21*100/K21</f>
        <v>27.778134870061507</v>
      </c>
      <c r="X21" s="42">
        <v>0</v>
      </c>
      <c r="Y21" s="42">
        <v>0</v>
      </c>
    </row>
    <row r="22" spans="1:25" ht="49.5" x14ac:dyDescent="0.25">
      <c r="A22" s="35" t="s">
        <v>25</v>
      </c>
      <c r="B22" s="36">
        <f t="shared" si="2"/>
        <v>19150</v>
      </c>
      <c r="C22" s="37">
        <f>3925</f>
        <v>3925</v>
      </c>
      <c r="D22" s="37">
        <f>5650</f>
        <v>5650</v>
      </c>
      <c r="E22" s="37">
        <f>3925+5650</f>
        <v>9575</v>
      </c>
      <c r="F22" s="37">
        <v>0</v>
      </c>
      <c r="G22" s="37">
        <v>0</v>
      </c>
      <c r="H22" s="36">
        <f t="shared" si="3"/>
        <v>18751</v>
      </c>
      <c r="I22" s="38">
        <f>3925</f>
        <v>3925</v>
      </c>
      <c r="J22" s="38">
        <v>5450.5</v>
      </c>
      <c r="K22" s="38">
        <f>3925+5450.5</f>
        <v>9375.5</v>
      </c>
      <c r="L22" s="37">
        <v>0</v>
      </c>
      <c r="M22" s="37">
        <v>0</v>
      </c>
      <c r="N22" s="36">
        <f t="shared" si="4"/>
        <v>10024.759999999998</v>
      </c>
      <c r="O22" s="38">
        <f>2806</f>
        <v>2806</v>
      </c>
      <c r="P22" s="38">
        <f>2127.96</f>
        <v>2127.96</v>
      </c>
      <c r="Q22" s="38">
        <f>2805.99+2127.95</f>
        <v>4933.9399999999996</v>
      </c>
      <c r="R22" s="37">
        <v>0</v>
      </c>
      <c r="S22" s="40">
        <f>196+435.68+73.41+0.49+5.63+30+44+29.92+2.99+471.76-13.85+20+10.64+1.53+185.63+337.94+1.97+161.24-20+370+182.24+75+160.36+114.07+170+30+70+5.48-9.52+33.92+128.63+263.48+11.08+54.58+5.76+5.74+0.5+2.93+0.5+0.5+4.78+40-31.76+30.49+232+197.5+234.58+247.44+227.44+112.76+51+100+115.24+43.36+23.4+1.68+5.6+19.45+8.34+20.9+3.66+21.67+0.47+5.21+6.89+4.15+4.15-33.93+263.31+143.86-(31.68)-(5611.99)+47.65-0.99</f>
        <v>156.859999999998</v>
      </c>
      <c r="T22" s="41">
        <f t="shared" si="5"/>
        <v>53.462535331448983</v>
      </c>
      <c r="U22" s="42">
        <f t="shared" si="6"/>
        <v>71.490445859872608</v>
      </c>
      <c r="V22" s="42">
        <f t="shared" si="7"/>
        <v>39.04155582056692</v>
      </c>
      <c r="W22" s="42">
        <f t="shared" si="8"/>
        <v>52.625886619380296</v>
      </c>
      <c r="X22" s="42">
        <v>0</v>
      </c>
      <c r="Y22" s="42">
        <v>0</v>
      </c>
    </row>
    <row r="23" spans="1:25" ht="66" x14ac:dyDescent="0.25">
      <c r="A23" s="35" t="s">
        <v>34</v>
      </c>
      <c r="B23" s="36">
        <f t="shared" si="2"/>
        <v>33910</v>
      </c>
      <c r="C23" s="37">
        <f>7880</f>
        <v>7880</v>
      </c>
      <c r="D23" s="37">
        <v>9075</v>
      </c>
      <c r="E23" s="37">
        <f>7880+9075</f>
        <v>16955</v>
      </c>
      <c r="F23" s="37">
        <v>0</v>
      </c>
      <c r="G23" s="37">
        <v>0</v>
      </c>
      <c r="H23" s="36">
        <f t="shared" si="3"/>
        <v>38721</v>
      </c>
      <c r="I23" s="38">
        <v>9985.5</v>
      </c>
      <c r="J23" s="38">
        <f>9375</f>
        <v>9375</v>
      </c>
      <c r="K23" s="38">
        <f>9985.5+9375</f>
        <v>19360.5</v>
      </c>
      <c r="L23" s="37">
        <v>0</v>
      </c>
      <c r="M23" s="37">
        <v>0</v>
      </c>
      <c r="N23" s="36">
        <f t="shared" si="4"/>
        <v>27366.139999999992</v>
      </c>
      <c r="O23" s="38">
        <v>7860.15</v>
      </c>
      <c r="P23" s="38">
        <f>4899.47</f>
        <v>4899.47</v>
      </c>
      <c r="Q23" s="38">
        <f>7860.15+4899.47</f>
        <v>12759.619999999999</v>
      </c>
      <c r="R23" s="37">
        <v>664.03</v>
      </c>
      <c r="S23" s="40">
        <f>771.1+1151.52+1612.8+2270.06+506.02+188.8+168.67+1408+331.1+218.81+351.4+210.84+571.8+895+1331+715.97+84.95+597.38+1254.51+1500+162.2+940.76+1211.53+2108.41+381.17+178.51+1546.18+717.56+870.77+40.76-175.22+260.04+25+624.63+137.55+654.55+60+15.66-15720.3-8332.59-664.03</f>
        <v>1182.8699999999942</v>
      </c>
      <c r="T23" s="41">
        <f t="shared" si="5"/>
        <v>70.675189173833303</v>
      </c>
      <c r="U23" s="42">
        <f t="shared" si="6"/>
        <v>78.715637674628212</v>
      </c>
      <c r="V23" s="42">
        <f t="shared" si="7"/>
        <v>52.261013333333331</v>
      </c>
      <c r="W23" s="42">
        <f t="shared" si="8"/>
        <v>65.90542599622944</v>
      </c>
      <c r="X23" s="42">
        <v>0</v>
      </c>
      <c r="Y23" s="42">
        <v>0</v>
      </c>
    </row>
    <row r="24" spans="1:25" ht="33" x14ac:dyDescent="0.25">
      <c r="A24" s="35" t="s">
        <v>26</v>
      </c>
      <c r="B24" s="36">
        <f t="shared" si="2"/>
        <v>165</v>
      </c>
      <c r="C24" s="37">
        <v>0</v>
      </c>
      <c r="D24" s="37">
        <v>0</v>
      </c>
      <c r="E24" s="37">
        <v>0</v>
      </c>
      <c r="F24" s="37">
        <v>0</v>
      </c>
      <c r="G24" s="37">
        <v>165</v>
      </c>
      <c r="H24" s="36">
        <f t="shared" si="3"/>
        <v>165</v>
      </c>
      <c r="I24" s="37">
        <v>0</v>
      </c>
      <c r="J24" s="37">
        <v>0</v>
      </c>
      <c r="K24" s="37">
        <v>0</v>
      </c>
      <c r="L24" s="37">
        <v>0</v>
      </c>
      <c r="M24" s="38">
        <v>165</v>
      </c>
      <c r="N24" s="36">
        <f t="shared" si="4"/>
        <v>59.81</v>
      </c>
      <c r="O24" s="37">
        <v>0</v>
      </c>
      <c r="P24" s="37">
        <v>0</v>
      </c>
      <c r="Q24" s="37">
        <v>0</v>
      </c>
      <c r="R24" s="37">
        <v>0</v>
      </c>
      <c r="S24" s="40">
        <f>2.61+9.14+2.61+4.57+1.62+4.26+23.9+5.99+3+2.11</f>
        <v>59.81</v>
      </c>
      <c r="T24" s="41">
        <f t="shared" si="5"/>
        <v>36.24848484848485</v>
      </c>
      <c r="U24" s="43">
        <v>0</v>
      </c>
      <c r="V24" s="43">
        <v>0</v>
      </c>
      <c r="W24" s="43">
        <v>0</v>
      </c>
      <c r="X24" s="44" t="s">
        <v>36</v>
      </c>
      <c r="Y24" s="43">
        <f t="shared" ref="Y24:Y34" si="9">S24*100/M24</f>
        <v>36.24848484848485</v>
      </c>
    </row>
    <row r="25" spans="1:25" ht="17.25" x14ac:dyDescent="0.25">
      <c r="A25" s="35" t="s">
        <v>27</v>
      </c>
      <c r="B25" s="36">
        <f t="shared" si="2"/>
        <v>200</v>
      </c>
      <c r="C25" s="37">
        <v>0</v>
      </c>
      <c r="D25" s="37">
        <v>0</v>
      </c>
      <c r="E25" s="37">
        <v>0</v>
      </c>
      <c r="F25" s="37">
        <v>0</v>
      </c>
      <c r="G25" s="37">
        <v>200</v>
      </c>
      <c r="H25" s="36">
        <f t="shared" si="3"/>
        <v>200</v>
      </c>
      <c r="I25" s="37">
        <v>0</v>
      </c>
      <c r="J25" s="37">
        <v>0</v>
      </c>
      <c r="K25" s="37">
        <v>0</v>
      </c>
      <c r="L25" s="37">
        <v>0</v>
      </c>
      <c r="M25" s="38">
        <v>200</v>
      </c>
      <c r="N25" s="36">
        <f t="shared" si="4"/>
        <v>17.57</v>
      </c>
      <c r="O25" s="37">
        <v>0</v>
      </c>
      <c r="P25" s="37">
        <v>0</v>
      </c>
      <c r="Q25" s="37">
        <v>0</v>
      </c>
      <c r="R25" s="37">
        <v>0</v>
      </c>
      <c r="S25" s="40">
        <f>17.57</f>
        <v>17.57</v>
      </c>
      <c r="T25" s="41">
        <f t="shared" si="5"/>
        <v>8.7850000000000001</v>
      </c>
      <c r="U25" s="43">
        <v>0</v>
      </c>
      <c r="V25" s="43">
        <v>0</v>
      </c>
      <c r="W25" s="43">
        <v>0</v>
      </c>
      <c r="X25" s="44" t="s">
        <v>36</v>
      </c>
      <c r="Y25" s="43">
        <f t="shared" si="9"/>
        <v>8.7850000000000001</v>
      </c>
    </row>
    <row r="26" spans="1:25" ht="17.25" x14ac:dyDescent="0.25">
      <c r="A26" s="35" t="s">
        <v>22</v>
      </c>
      <c r="B26" s="36">
        <f t="shared" si="2"/>
        <v>500</v>
      </c>
      <c r="C26" s="37">
        <v>0</v>
      </c>
      <c r="D26" s="37">
        <v>0</v>
      </c>
      <c r="E26" s="37">
        <v>0</v>
      </c>
      <c r="F26" s="37">
        <v>0</v>
      </c>
      <c r="G26" s="37">
        <f>500</f>
        <v>500</v>
      </c>
      <c r="H26" s="36">
        <f t="shared" si="3"/>
        <v>500</v>
      </c>
      <c r="I26" s="37">
        <v>0</v>
      </c>
      <c r="J26" s="37">
        <v>0</v>
      </c>
      <c r="K26" s="37">
        <v>0</v>
      </c>
      <c r="L26" s="37">
        <v>0</v>
      </c>
      <c r="M26" s="38">
        <v>500</v>
      </c>
      <c r="N26" s="36">
        <f t="shared" si="4"/>
        <v>267.77999999999997</v>
      </c>
      <c r="O26" s="37">
        <v>0</v>
      </c>
      <c r="P26" s="37">
        <v>0</v>
      </c>
      <c r="Q26" s="37">
        <v>0</v>
      </c>
      <c r="R26" s="37">
        <v>0</v>
      </c>
      <c r="S26" s="40">
        <v>267.77999999999997</v>
      </c>
      <c r="T26" s="41">
        <f t="shared" si="5"/>
        <v>53.55599999999999</v>
      </c>
      <c r="U26" s="43">
        <v>0</v>
      </c>
      <c r="V26" s="43">
        <v>0</v>
      </c>
      <c r="W26" s="43">
        <v>0</v>
      </c>
      <c r="X26" s="44" t="s">
        <v>36</v>
      </c>
      <c r="Y26" s="43">
        <f t="shared" si="9"/>
        <v>53.55599999999999</v>
      </c>
    </row>
    <row r="27" spans="1:25" ht="33" x14ac:dyDescent="0.25">
      <c r="A27" s="35" t="s">
        <v>21</v>
      </c>
      <c r="B27" s="36">
        <f t="shared" si="2"/>
        <v>2000</v>
      </c>
      <c r="C27" s="37">
        <v>0</v>
      </c>
      <c r="D27" s="37">
        <v>0</v>
      </c>
      <c r="E27" s="37">
        <v>0</v>
      </c>
      <c r="F27" s="37">
        <v>0</v>
      </c>
      <c r="G27" s="37">
        <f>2000</f>
        <v>2000</v>
      </c>
      <c r="H27" s="36">
        <f t="shared" si="3"/>
        <v>2000</v>
      </c>
      <c r="I27" s="37">
        <v>0</v>
      </c>
      <c r="J27" s="37">
        <v>0</v>
      </c>
      <c r="K27" s="37">
        <v>0</v>
      </c>
      <c r="L27" s="37">
        <v>0</v>
      </c>
      <c r="M27" s="38">
        <v>2000</v>
      </c>
      <c r="N27" s="36">
        <f t="shared" si="4"/>
        <v>1571.81</v>
      </c>
      <c r="O27" s="37">
        <v>0</v>
      </c>
      <c r="P27" s="37">
        <v>0</v>
      </c>
      <c r="Q27" s="37">
        <v>0</v>
      </c>
      <c r="R27" s="37">
        <v>0</v>
      </c>
      <c r="S27" s="40">
        <f>1571.81</f>
        <v>1571.81</v>
      </c>
      <c r="T27" s="41">
        <f t="shared" si="5"/>
        <v>78.590500000000006</v>
      </c>
      <c r="U27" s="43">
        <v>0</v>
      </c>
      <c r="V27" s="43">
        <v>0</v>
      </c>
      <c r="W27" s="43">
        <v>0</v>
      </c>
      <c r="X27" s="44" t="s">
        <v>36</v>
      </c>
      <c r="Y27" s="43">
        <f t="shared" si="9"/>
        <v>78.590500000000006</v>
      </c>
    </row>
    <row r="28" spans="1:25" ht="49.5" x14ac:dyDescent="0.25">
      <c r="A28" s="35" t="s">
        <v>28</v>
      </c>
      <c r="B28" s="36">
        <f t="shared" si="2"/>
        <v>450</v>
      </c>
      <c r="C28" s="37">
        <v>0</v>
      </c>
      <c r="D28" s="37">
        <v>0</v>
      </c>
      <c r="E28" s="37">
        <v>0</v>
      </c>
      <c r="F28" s="37">
        <v>0</v>
      </c>
      <c r="G28" s="37">
        <v>450</v>
      </c>
      <c r="H28" s="36">
        <f t="shared" si="3"/>
        <v>450</v>
      </c>
      <c r="I28" s="37">
        <v>0</v>
      </c>
      <c r="J28" s="37">
        <v>0</v>
      </c>
      <c r="K28" s="37">
        <v>0</v>
      </c>
      <c r="L28" s="37">
        <v>0</v>
      </c>
      <c r="M28" s="38">
        <v>450</v>
      </c>
      <c r="N28" s="36">
        <f t="shared" si="4"/>
        <v>264.76</v>
      </c>
      <c r="O28" s="37">
        <v>0</v>
      </c>
      <c r="P28" s="37">
        <v>0</v>
      </c>
      <c r="Q28" s="37">
        <v>0</v>
      </c>
      <c r="R28" s="37">
        <v>0</v>
      </c>
      <c r="S28" s="40">
        <f>52+172+130-89.24</f>
        <v>264.76</v>
      </c>
      <c r="T28" s="41">
        <f t="shared" si="5"/>
        <v>58.835555555555558</v>
      </c>
      <c r="U28" s="43">
        <v>0</v>
      </c>
      <c r="V28" s="43">
        <v>0</v>
      </c>
      <c r="W28" s="43">
        <v>0</v>
      </c>
      <c r="X28" s="44" t="s">
        <v>36</v>
      </c>
      <c r="Y28" s="43">
        <f t="shared" si="9"/>
        <v>58.835555555555558</v>
      </c>
    </row>
    <row r="29" spans="1:25" ht="17.25" x14ac:dyDescent="0.25">
      <c r="A29" s="35" t="s">
        <v>29</v>
      </c>
      <c r="B29" s="36">
        <f t="shared" si="2"/>
        <v>200</v>
      </c>
      <c r="C29" s="37">
        <v>0</v>
      </c>
      <c r="D29" s="37">
        <v>0</v>
      </c>
      <c r="E29" s="37">
        <v>0</v>
      </c>
      <c r="F29" s="37">
        <v>0</v>
      </c>
      <c r="G29" s="37">
        <v>200</v>
      </c>
      <c r="H29" s="36">
        <f t="shared" si="3"/>
        <v>200</v>
      </c>
      <c r="I29" s="37">
        <v>0</v>
      </c>
      <c r="J29" s="37">
        <v>0</v>
      </c>
      <c r="K29" s="37">
        <v>0</v>
      </c>
      <c r="L29" s="37">
        <v>0</v>
      </c>
      <c r="M29" s="38">
        <v>200</v>
      </c>
      <c r="N29" s="36">
        <f t="shared" si="4"/>
        <v>199.45999999999998</v>
      </c>
      <c r="O29" s="37">
        <v>0</v>
      </c>
      <c r="P29" s="37">
        <v>0</v>
      </c>
      <c r="Q29" s="37">
        <v>0</v>
      </c>
      <c r="R29" s="37">
        <v>0</v>
      </c>
      <c r="S29" s="40">
        <f>5+6+68.14+28.46+0.33+64+44.45+30.73-47.65</f>
        <v>199.45999999999998</v>
      </c>
      <c r="T29" s="41">
        <f t="shared" si="5"/>
        <v>99.729999999999976</v>
      </c>
      <c r="U29" s="43">
        <v>0</v>
      </c>
      <c r="V29" s="43">
        <v>0</v>
      </c>
      <c r="W29" s="43">
        <v>0</v>
      </c>
      <c r="X29" s="44" t="s">
        <v>36</v>
      </c>
      <c r="Y29" s="43">
        <f t="shared" si="9"/>
        <v>99.729999999999976</v>
      </c>
    </row>
    <row r="30" spans="1:25" ht="99" x14ac:dyDescent="0.25">
      <c r="A30" s="35" t="s">
        <v>32</v>
      </c>
      <c r="B30" s="36">
        <f t="shared" si="2"/>
        <v>3200</v>
      </c>
      <c r="C30" s="37">
        <v>0</v>
      </c>
      <c r="D30" s="37">
        <v>0</v>
      </c>
      <c r="E30" s="37">
        <v>0</v>
      </c>
      <c r="F30" s="37">
        <v>0</v>
      </c>
      <c r="G30" s="37">
        <v>3200</v>
      </c>
      <c r="H30" s="36">
        <f t="shared" si="3"/>
        <v>3200</v>
      </c>
      <c r="I30" s="37">
        <v>0</v>
      </c>
      <c r="J30" s="37">
        <v>0</v>
      </c>
      <c r="K30" s="37">
        <v>0</v>
      </c>
      <c r="L30" s="37">
        <v>0</v>
      </c>
      <c r="M30" s="38">
        <v>3200</v>
      </c>
      <c r="N30" s="36">
        <f t="shared" si="4"/>
        <v>0</v>
      </c>
      <c r="O30" s="37">
        <v>0</v>
      </c>
      <c r="P30" s="37">
        <v>0</v>
      </c>
      <c r="Q30" s="37">
        <v>0</v>
      </c>
      <c r="R30" s="37">
        <v>0</v>
      </c>
      <c r="S30" s="40">
        <v>0</v>
      </c>
      <c r="T30" s="41">
        <f t="shared" si="5"/>
        <v>0</v>
      </c>
      <c r="U30" s="43">
        <v>0</v>
      </c>
      <c r="V30" s="43">
        <v>0</v>
      </c>
      <c r="W30" s="43">
        <v>0</v>
      </c>
      <c r="X30" s="44" t="s">
        <v>36</v>
      </c>
      <c r="Y30" s="43">
        <f t="shared" si="9"/>
        <v>0</v>
      </c>
    </row>
    <row r="31" spans="1:25" ht="33" x14ac:dyDescent="0.25">
      <c r="A31" s="35" t="s">
        <v>30</v>
      </c>
      <c r="B31" s="36">
        <f t="shared" si="2"/>
        <v>460</v>
      </c>
      <c r="C31" s="37">
        <v>0</v>
      </c>
      <c r="D31" s="37">
        <v>0</v>
      </c>
      <c r="E31" s="37">
        <v>0</v>
      </c>
      <c r="F31" s="37">
        <v>0</v>
      </c>
      <c r="G31" s="37">
        <v>460</v>
      </c>
      <c r="H31" s="36">
        <f t="shared" si="3"/>
        <v>460</v>
      </c>
      <c r="I31" s="37">
        <v>0</v>
      </c>
      <c r="J31" s="37">
        <v>0</v>
      </c>
      <c r="K31" s="37">
        <v>0</v>
      </c>
      <c r="L31" s="37">
        <v>0</v>
      </c>
      <c r="M31" s="38">
        <v>460</v>
      </c>
      <c r="N31" s="36">
        <f t="shared" si="4"/>
        <v>300</v>
      </c>
      <c r="O31" s="37">
        <v>0</v>
      </c>
      <c r="P31" s="37">
        <v>0</v>
      </c>
      <c r="Q31" s="37">
        <v>0</v>
      </c>
      <c r="R31" s="37">
        <v>0</v>
      </c>
      <c r="S31" s="45">
        <f>40+20+20+20+20+20+20+20+20+20+20+20+20+20</f>
        <v>300</v>
      </c>
      <c r="T31" s="41">
        <f t="shared" si="5"/>
        <v>65.217391304347828</v>
      </c>
      <c r="U31" s="43">
        <v>0</v>
      </c>
      <c r="V31" s="43">
        <v>0</v>
      </c>
      <c r="W31" s="43">
        <v>0</v>
      </c>
      <c r="X31" s="44" t="s">
        <v>36</v>
      </c>
      <c r="Y31" s="43">
        <f t="shared" si="9"/>
        <v>65.217391304347828</v>
      </c>
    </row>
    <row r="32" spans="1:25" ht="17.25" x14ac:dyDescent="0.25">
      <c r="A32" s="35" t="s">
        <v>31</v>
      </c>
      <c r="B32" s="36">
        <f t="shared" si="2"/>
        <v>70</v>
      </c>
      <c r="C32" s="37">
        <v>0</v>
      </c>
      <c r="D32" s="37">
        <v>0</v>
      </c>
      <c r="E32" s="37">
        <v>0</v>
      </c>
      <c r="F32" s="37">
        <v>0</v>
      </c>
      <c r="G32" s="37">
        <v>70</v>
      </c>
      <c r="H32" s="36">
        <f t="shared" si="3"/>
        <v>70</v>
      </c>
      <c r="I32" s="37">
        <v>0</v>
      </c>
      <c r="J32" s="37">
        <v>0</v>
      </c>
      <c r="K32" s="37">
        <v>0</v>
      </c>
      <c r="L32" s="37">
        <v>0</v>
      </c>
      <c r="M32" s="38">
        <v>70</v>
      </c>
      <c r="N32" s="36">
        <f t="shared" si="4"/>
        <v>30.8</v>
      </c>
      <c r="O32" s="37">
        <v>0</v>
      </c>
      <c r="P32" s="37">
        <v>0</v>
      </c>
      <c r="Q32" s="37">
        <v>0</v>
      </c>
      <c r="R32" s="37">
        <v>0</v>
      </c>
      <c r="S32" s="45">
        <f>0.33+2.46+5.36+4.92+2.74+10.54+2.46+1.99</f>
        <v>30.8</v>
      </c>
      <c r="T32" s="41">
        <f t="shared" si="5"/>
        <v>44</v>
      </c>
      <c r="U32" s="43">
        <v>0</v>
      </c>
      <c r="V32" s="43">
        <v>0</v>
      </c>
      <c r="W32" s="43">
        <v>0</v>
      </c>
      <c r="X32" s="44" t="s">
        <v>36</v>
      </c>
      <c r="Y32" s="43">
        <f t="shared" si="9"/>
        <v>44</v>
      </c>
    </row>
    <row r="33" spans="1:25" ht="17.25" x14ac:dyDescent="0.25">
      <c r="A33" s="35" t="s">
        <v>33</v>
      </c>
      <c r="B33" s="36">
        <f t="shared" si="2"/>
        <v>250</v>
      </c>
      <c r="C33" s="37">
        <v>0</v>
      </c>
      <c r="D33" s="37">
        <v>0</v>
      </c>
      <c r="E33" s="37">
        <v>0</v>
      </c>
      <c r="F33" s="37">
        <v>0</v>
      </c>
      <c r="G33" s="37">
        <v>250</v>
      </c>
      <c r="H33" s="36">
        <f t="shared" si="3"/>
        <v>250</v>
      </c>
      <c r="I33" s="37">
        <v>0</v>
      </c>
      <c r="J33" s="37">
        <v>0</v>
      </c>
      <c r="K33" s="37">
        <v>0</v>
      </c>
      <c r="L33" s="37">
        <v>0</v>
      </c>
      <c r="M33" s="38">
        <v>250</v>
      </c>
      <c r="N33" s="36">
        <f t="shared" si="4"/>
        <v>2.57</v>
      </c>
      <c r="O33" s="37">
        <v>0</v>
      </c>
      <c r="P33" s="37">
        <v>0</v>
      </c>
      <c r="Q33" s="37">
        <v>0</v>
      </c>
      <c r="R33" s="37">
        <v>0</v>
      </c>
      <c r="S33" s="45">
        <f>2.57</f>
        <v>2.57</v>
      </c>
      <c r="T33" s="41">
        <f t="shared" si="5"/>
        <v>1.028</v>
      </c>
      <c r="U33" s="43">
        <v>0</v>
      </c>
      <c r="V33" s="43">
        <v>0</v>
      </c>
      <c r="W33" s="43">
        <v>0</v>
      </c>
      <c r="X33" s="44" t="s">
        <v>36</v>
      </c>
      <c r="Y33" s="43">
        <f t="shared" si="9"/>
        <v>1.028</v>
      </c>
    </row>
    <row r="34" spans="1:25" ht="17.25" x14ac:dyDescent="0.25">
      <c r="A34" s="46" t="s">
        <v>4</v>
      </c>
      <c r="B34" s="36">
        <f>SUM(B20:B33)</f>
        <v>111937</v>
      </c>
      <c r="C34" s="47">
        <f>SUM(C20:C33)</f>
        <v>22450</v>
      </c>
      <c r="D34" s="47">
        <f t="shared" ref="D34:G34" si="10">SUM(D20:D33)</f>
        <v>29771</v>
      </c>
      <c r="E34" s="47">
        <f>SUM(E20:E33)</f>
        <v>52221</v>
      </c>
      <c r="F34" s="47">
        <f>SUM(F20:F33)</f>
        <v>0</v>
      </c>
      <c r="G34" s="47">
        <f t="shared" si="10"/>
        <v>7495</v>
      </c>
      <c r="H34" s="36">
        <f>SUM(H20:H33)</f>
        <v>111937</v>
      </c>
      <c r="I34" s="47">
        <f t="shared" ref="I34:J34" si="11">SUM(I20:I27)</f>
        <v>24555.5</v>
      </c>
      <c r="J34" s="47">
        <f t="shared" si="11"/>
        <v>27665.5</v>
      </c>
      <c r="K34" s="47">
        <f>SUM(K20:K27)</f>
        <v>52221</v>
      </c>
      <c r="L34" s="47">
        <f>SUM(L20:L33)</f>
        <v>0</v>
      </c>
      <c r="M34" s="47">
        <f>SUM(M20:M33)</f>
        <v>7495</v>
      </c>
      <c r="N34" s="36">
        <f>SUM(N20:N33)</f>
        <v>57272.319999999992</v>
      </c>
      <c r="O34" s="36">
        <f>SUM(O20:O33)</f>
        <v>15546.22</v>
      </c>
      <c r="P34" s="36">
        <f t="shared" ref="P34:R34" si="12">SUM(P20:P33)</f>
        <v>10368.09</v>
      </c>
      <c r="Q34" s="36">
        <f t="shared" si="12"/>
        <v>25914.289999999997</v>
      </c>
      <c r="R34" s="36">
        <f t="shared" si="12"/>
        <v>664.03</v>
      </c>
      <c r="S34" s="48">
        <f>SUM(S20:S33)</f>
        <v>4779.6899999999905</v>
      </c>
      <c r="T34" s="41">
        <f t="shared" si="5"/>
        <v>51.16478018885622</v>
      </c>
      <c r="U34" s="41">
        <f>O34*100/I34</f>
        <v>63.310541426564313</v>
      </c>
      <c r="V34" s="41">
        <f>P34*100/J34</f>
        <v>37.476604435126781</v>
      </c>
      <c r="W34" s="41">
        <f t="shared" si="8"/>
        <v>49.624269929721748</v>
      </c>
      <c r="X34" s="48" t="s">
        <v>36</v>
      </c>
      <c r="Y34" s="41">
        <f t="shared" si="9"/>
        <v>63.77171447631742</v>
      </c>
    </row>
    <row r="35" spans="1:25" ht="17.25" x14ac:dyDescent="0.3">
      <c r="A35" s="49" t="s">
        <v>10</v>
      </c>
      <c r="B35" s="50">
        <f>SUM(C35:G35)</f>
        <v>1</v>
      </c>
      <c r="C35" s="51">
        <f>C34/B34</f>
        <v>0.20055924314569804</v>
      </c>
      <c r="D35" s="51">
        <f>D34/B34</f>
        <v>0.26596210368332185</v>
      </c>
      <c r="E35" s="51">
        <f>E34/B34</f>
        <v>0.46652134682901991</v>
      </c>
      <c r="F35" s="51">
        <f>F34/C34</f>
        <v>0</v>
      </c>
      <c r="G35" s="51">
        <f>G34/B34</f>
        <v>6.6957306341960204E-2</v>
      </c>
      <c r="H35" s="50">
        <f>SUM(I35:M35)</f>
        <v>1</v>
      </c>
      <c r="I35" s="51">
        <f>I34/H34</f>
        <v>0.21936893073782573</v>
      </c>
      <c r="J35" s="51">
        <f>J34/H34</f>
        <v>0.24715241609119415</v>
      </c>
      <c r="K35" s="51">
        <f>K34/H34</f>
        <v>0.46652134682901991</v>
      </c>
      <c r="L35" s="51">
        <f>L34/I34</f>
        <v>0</v>
      </c>
      <c r="M35" s="51">
        <f>M34/H34</f>
        <v>6.6957306341960204E-2</v>
      </c>
      <c r="N35" s="50">
        <f>SUM(O35:S35)</f>
        <v>0.99999999999999978</v>
      </c>
      <c r="O35" s="51">
        <f>O34/N34</f>
        <v>0.27144386677543358</v>
      </c>
      <c r="P35" s="51">
        <f>P34/N34</f>
        <v>0.18103143019175758</v>
      </c>
      <c r="Q35" s="51">
        <f>Q34/N34</f>
        <v>0.45247494775835867</v>
      </c>
      <c r="R35" s="51">
        <f>R34/N34</f>
        <v>1.1594257051224747E-2</v>
      </c>
      <c r="S35" s="51">
        <f>S34/N34</f>
        <v>8.3455498223225302E-2</v>
      </c>
    </row>
    <row r="36" spans="1:25" ht="17.25" x14ac:dyDescent="0.3">
      <c r="A36" s="52" t="s">
        <v>9</v>
      </c>
      <c r="B36" s="53">
        <f>B14-B34</f>
        <v>0</v>
      </c>
      <c r="H36" s="53">
        <f>H14-H34</f>
        <v>0</v>
      </c>
      <c r="N36" s="53">
        <f>N14-N34</f>
        <v>0</v>
      </c>
      <c r="O36" s="54">
        <f>O34+P34+Q34</f>
        <v>51828.599999999991</v>
      </c>
      <c r="P36" s="55"/>
      <c r="Q36" s="55"/>
      <c r="R36" s="56">
        <f>R34+S34</f>
        <v>5443.7199999999903</v>
      </c>
      <c r="S36" s="57"/>
    </row>
    <row r="37" spans="1:25" x14ac:dyDescent="0.25">
      <c r="O37" s="58" t="s">
        <v>40</v>
      </c>
    </row>
    <row r="38" spans="1:25" x14ac:dyDescent="0.25">
      <c r="A38" s="59" t="s">
        <v>37</v>
      </c>
      <c r="O38" s="58" t="s">
        <v>41</v>
      </c>
      <c r="P38" s="60"/>
      <c r="Q38" s="61">
        <f>Q34/O36</f>
        <v>0.49999980705633573</v>
      </c>
    </row>
    <row r="39" spans="1:25" x14ac:dyDescent="0.25">
      <c r="O39" s="58" t="s">
        <v>42</v>
      </c>
      <c r="P39" s="60"/>
      <c r="Q39" s="61">
        <f>P34/O36</f>
        <v>0.20004572764844125</v>
      </c>
    </row>
    <row r="40" spans="1:25" x14ac:dyDescent="0.25">
      <c r="O40" s="58" t="s">
        <v>39</v>
      </c>
      <c r="P40" s="60"/>
      <c r="Q40" s="61">
        <f>O34/O36</f>
        <v>0.29995446529522313</v>
      </c>
    </row>
    <row r="41" spans="1:25" x14ac:dyDescent="0.25">
      <c r="O41" s="58"/>
      <c r="P41" s="60"/>
      <c r="Q41" s="61"/>
    </row>
    <row r="42" spans="1:25" ht="15" customHeight="1" x14ac:dyDescent="0.25">
      <c r="A42" s="62" t="s">
        <v>45</v>
      </c>
      <c r="B42" s="62"/>
      <c r="C42" s="62"/>
      <c r="D42" s="62"/>
      <c r="E42" s="62"/>
      <c r="F42" s="62"/>
      <c r="G42" s="62"/>
      <c r="H42" s="62"/>
      <c r="I42" s="62"/>
      <c r="J42" s="62"/>
      <c r="K42" s="62"/>
      <c r="L42" s="62"/>
      <c r="M42" s="62"/>
      <c r="N42" s="62"/>
      <c r="O42" s="62"/>
      <c r="P42" s="62"/>
      <c r="Q42" s="62"/>
      <c r="R42" s="62"/>
      <c r="S42" s="62"/>
      <c r="T42" s="62"/>
      <c r="U42" s="62"/>
      <c r="V42" s="62"/>
      <c r="W42" s="62"/>
      <c r="X42" s="62"/>
      <c r="Y42" s="62"/>
    </row>
    <row r="43" spans="1:25" x14ac:dyDescent="0.25">
      <c r="A43" s="62"/>
      <c r="B43" s="62"/>
      <c r="C43" s="62"/>
      <c r="D43" s="62"/>
      <c r="E43" s="62"/>
      <c r="F43" s="62"/>
      <c r="G43" s="62"/>
      <c r="H43" s="62"/>
      <c r="I43" s="62"/>
      <c r="J43" s="62"/>
      <c r="K43" s="62"/>
      <c r="L43" s="62"/>
      <c r="M43" s="62"/>
      <c r="N43" s="62"/>
      <c r="O43" s="62"/>
      <c r="P43" s="62"/>
      <c r="Q43" s="62"/>
      <c r="R43" s="62"/>
      <c r="S43" s="62"/>
      <c r="T43" s="62"/>
      <c r="U43" s="62"/>
      <c r="V43" s="62"/>
      <c r="W43" s="62"/>
      <c r="X43" s="62"/>
      <c r="Y43" s="62"/>
    </row>
    <row r="44" spans="1:25" ht="21.75" customHeight="1"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c r="Y44" s="62"/>
    </row>
  </sheetData>
  <mergeCells count="41">
    <mergeCell ref="A6:Y6"/>
    <mergeCell ref="A7:Y7"/>
    <mergeCell ref="A5:Y5"/>
    <mergeCell ref="N11:S11"/>
    <mergeCell ref="T11:Y11"/>
    <mergeCell ref="H11:M11"/>
    <mergeCell ref="A8:Y8"/>
    <mergeCell ref="A11:A13"/>
    <mergeCell ref="H12:H13"/>
    <mergeCell ref="I12:K12"/>
    <mergeCell ref="N12:N13"/>
    <mergeCell ref="B11:G11"/>
    <mergeCell ref="X12:Y12"/>
    <mergeCell ref="T12:T13"/>
    <mergeCell ref="U12:W12"/>
    <mergeCell ref="B12:B13"/>
    <mergeCell ref="L12:M12"/>
    <mergeCell ref="L18:M18"/>
    <mergeCell ref="C18:E18"/>
    <mergeCell ref="O12:Q12"/>
    <mergeCell ref="B18:B19"/>
    <mergeCell ref="H17:M17"/>
    <mergeCell ref="H18:H19"/>
    <mergeCell ref="N17:S17"/>
    <mergeCell ref="N18:N19"/>
    <mergeCell ref="R12:S12"/>
    <mergeCell ref="O36:Q36"/>
    <mergeCell ref="R36:S36"/>
    <mergeCell ref="A42:Y44"/>
    <mergeCell ref="X18:Y18"/>
    <mergeCell ref="T17:Y17"/>
    <mergeCell ref="T18:T19"/>
    <mergeCell ref="U18:W18"/>
    <mergeCell ref="A17:A19"/>
    <mergeCell ref="R18:S18"/>
    <mergeCell ref="B17:G17"/>
    <mergeCell ref="C12:E12"/>
    <mergeCell ref="O18:Q18"/>
    <mergeCell ref="I18:K18"/>
    <mergeCell ref="F12:G12"/>
    <mergeCell ref="F18:G18"/>
  </mergeCells>
  <pageMargins left="0.31496062992125984" right="0.31496062992125984" top="0.74803149606299213" bottom="0.74803149606299213" header="0.31496062992125984" footer="0.31496062992125984"/>
  <pageSetup paperSize="9"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Jurmalas Pilsetas Dome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Tisko</dc:creator>
  <cp:lastModifiedBy>Anna Jurkevica</cp:lastModifiedBy>
  <cp:lastPrinted>2014-05-16T08:55:09Z</cp:lastPrinted>
  <dcterms:created xsi:type="dcterms:W3CDTF">2014-01-23T10:43:45Z</dcterms:created>
  <dcterms:modified xsi:type="dcterms:W3CDTF">2014-05-16T08:55:15Z</dcterms:modified>
</cp:coreProperties>
</file>