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0995" tabRatio="951" firstSheet="12" activeTab="29"/>
  </bookViews>
  <sheets>
    <sheet name="3.pielikums" sheetId="49" r:id="rId1"/>
    <sheet name="4.pielikums" sheetId="20" r:id="rId2"/>
    <sheet name="5.pielikums" sheetId="37" r:id="rId3"/>
    <sheet name="6.pielikums" sheetId="40" r:id="rId4"/>
    <sheet name="7.pielikums" sheetId="39" r:id="rId5"/>
    <sheet name="8.pielikums" sheetId="42" r:id="rId6"/>
    <sheet name="9.pielikums" sheetId="44" r:id="rId7"/>
    <sheet name="10.pielikums" sheetId="23" r:id="rId8"/>
    <sheet name="11.pielikums" sheetId="26" r:id="rId9"/>
    <sheet name="12.pielikums" sheetId="46" r:id="rId10"/>
    <sheet name="13.pielikums" sheetId="36" r:id="rId11"/>
    <sheet name="14.pielikums" sheetId="43" r:id="rId12"/>
    <sheet name="15.pielikums" sheetId="45" r:id="rId13"/>
    <sheet name="16.pielikums" sheetId="41" r:id="rId14"/>
    <sheet name="17.pielikums" sheetId="35" r:id="rId15"/>
    <sheet name="18.pielikums" sheetId="31" r:id="rId16"/>
    <sheet name="19.pielikums" sheetId="29" r:id="rId17"/>
    <sheet name="20.pielikums" sheetId="38" r:id="rId18"/>
    <sheet name="21.pielikums" sheetId="17" r:id="rId19"/>
    <sheet name="22.pielikums" sheetId="15" r:id="rId20"/>
    <sheet name="23.pielikums" sheetId="16" r:id="rId21"/>
    <sheet name="24.pielikums" sheetId="18" r:id="rId22"/>
    <sheet name="25.pielikums" sheetId="19" r:id="rId23"/>
    <sheet name="26.pielikums" sheetId="14" r:id="rId24"/>
    <sheet name="27.pielikums" sheetId="3" r:id="rId25"/>
    <sheet name="28.pielikums" sheetId="52" r:id="rId26"/>
    <sheet name="29.pielikums" sheetId="53" r:id="rId27"/>
    <sheet name="30.pielikums" sheetId="47" r:id="rId28"/>
    <sheet name="31.pielikums" sheetId="54" r:id="rId29"/>
    <sheet name="32.pielikums" sheetId="56" r:id="rId30"/>
  </sheets>
  <definedNames>
    <definedName name="_xlnm._FilterDatabase" localSheetId="7" hidden="1">'10.pielikums'!$A$14:$G$124</definedName>
    <definedName name="_xlnm._FilterDatabase" localSheetId="9" hidden="1">'12.pielikums'!$A$22:$K$44</definedName>
    <definedName name="_xlnm._FilterDatabase" localSheetId="10" hidden="1">'13.pielikums'!$A$27:$G$43</definedName>
    <definedName name="_xlnm._FilterDatabase" localSheetId="11" hidden="1">'14.pielikums'!$A$14:$G$20</definedName>
    <definedName name="_xlnm._FilterDatabase" localSheetId="12" hidden="1">'15.pielikums'!$A$14:$K$57</definedName>
    <definedName name="_xlnm._FilterDatabase" localSheetId="13" hidden="1">'16.pielikums'!$A$13:$I$281</definedName>
    <definedName name="_xlnm._FilterDatabase" localSheetId="14" hidden="1">'17.pielikums'!$A$14:$G$31</definedName>
    <definedName name="_xlnm._FilterDatabase" localSheetId="15" hidden="1">'18.pielikums'!$A$13:$G$251</definedName>
    <definedName name="_xlnm._FilterDatabase" localSheetId="17" hidden="1">'20.pielikums'!$A$40:$G$45</definedName>
    <definedName name="_xlnm._FilterDatabase" localSheetId="18" hidden="1">'21.pielikums'!$A$14:$G$59</definedName>
    <definedName name="_xlnm._FilterDatabase" localSheetId="19" hidden="1">'22.pielikums'!$A$22:$G$40</definedName>
    <definedName name="_xlnm._FilterDatabase" localSheetId="20" hidden="1">'23.pielikums'!$A$42:$G$52</definedName>
    <definedName name="_xlnm._FilterDatabase" localSheetId="21" hidden="1">'24.pielikums'!$A$13:$G$59</definedName>
    <definedName name="_xlnm._FilterDatabase" localSheetId="22" hidden="1">'25.pielikums'!$A$13:$G$22</definedName>
    <definedName name="_xlnm._FilterDatabase" localSheetId="23" hidden="1">'26.pielikums'!$A$15:$N$233</definedName>
    <definedName name="_xlnm._FilterDatabase" localSheetId="24" hidden="1">'27.pielikums'!$A$85:$I$120</definedName>
    <definedName name="_xlnm._FilterDatabase" localSheetId="0" hidden="1">'3.pielikums'!$A$12:$R$44</definedName>
    <definedName name="_xlnm._FilterDatabase" localSheetId="27" hidden="1">'30.pielikums'!$A$15:$R$61</definedName>
    <definedName name="_xlnm._FilterDatabase" localSheetId="28" hidden="1">'31.pielikums'!$A$15:$K$281</definedName>
    <definedName name="_xlnm._FilterDatabase" localSheetId="1" hidden="1">'4.pielikums'!$A$14:$G$25</definedName>
    <definedName name="_xlnm._FilterDatabase" localSheetId="2" hidden="1">'5.pielikums'!$A$13:$G$32</definedName>
    <definedName name="_xlnm._FilterDatabase" localSheetId="3" hidden="1">'6.pielikums'!$A$14:$G$33</definedName>
    <definedName name="_xlnm._FilterDatabase" localSheetId="4" hidden="1">'7.pielikums'!$A$14:$G$18</definedName>
    <definedName name="_xlnm._FilterDatabase" localSheetId="5" hidden="1">'8.pielikums'!$A$31:$G$39</definedName>
    <definedName name="_xlnm._FilterDatabase" localSheetId="6" hidden="1">'9.pielikums'!$A$44:$G$56</definedName>
    <definedName name="_xlnm.Print_Area" localSheetId="7">'10.pielikums'!$A$1:$G$123</definedName>
    <definedName name="_xlnm.Print_Area" localSheetId="8">'11.pielikums'!$A$1:$G$18</definedName>
    <definedName name="_xlnm.Print_Area" localSheetId="9">'12.pielikums'!$A$1:$K$44</definedName>
    <definedName name="_xlnm.Print_Area" localSheetId="10">'13.pielikums'!$A$1:$G$89</definedName>
    <definedName name="_xlnm.Print_Area" localSheetId="11">'14.pielikums'!$A$1:$G$29</definedName>
    <definedName name="_xlnm.Print_Area" localSheetId="12">'15.pielikums'!$A$1:$K$57</definedName>
    <definedName name="_xlnm.Print_Area" localSheetId="13">'16.pielikums'!$A$1:$I$281</definedName>
    <definedName name="_xlnm.Print_Area" localSheetId="14">'17.pielikums'!$A$1:$G$31</definedName>
    <definedName name="_xlnm.Print_Area" localSheetId="15">'18.pielikums'!$A$1:$G$265</definedName>
    <definedName name="_xlnm.Print_Area" localSheetId="16">'19.pielikums'!$A$1:$G$18</definedName>
    <definedName name="_xlnm.Print_Area" localSheetId="17">'20.pielikums'!$A$1:$G$54</definedName>
    <definedName name="_xlnm.Print_Area" localSheetId="18">'21.pielikums'!$A$1:$G$59</definedName>
    <definedName name="_xlnm.Print_Area" localSheetId="19">'22.pielikums'!$A$1:$G$64</definedName>
    <definedName name="_xlnm.Print_Area" localSheetId="20">'23.pielikums'!$A$1:$G$68</definedName>
    <definedName name="_xlnm.Print_Area" localSheetId="21">'24.pielikums'!$A$1:$G$59</definedName>
    <definedName name="_xlnm.Print_Area" localSheetId="22">'25.pielikums'!$A$1:$G$39</definedName>
    <definedName name="_xlnm.Print_Area" localSheetId="23">'26.pielikums'!$A$1:$K$233</definedName>
    <definedName name="_xlnm.Print_Area" localSheetId="24">'27.pielikums'!$A$1:$G$120</definedName>
    <definedName name="_xlnm.Print_Area" localSheetId="25">'28.pielikums'!$A$1:$G$26</definedName>
    <definedName name="_xlnm.Print_Area" localSheetId="26">'29.pielikums'!$A$1:$G$25</definedName>
    <definedName name="_xlnm.Print_Area" localSheetId="0">'3.pielikums'!$A$1:$R$44</definedName>
    <definedName name="_xlnm.Print_Area" localSheetId="27">'30.pielikums'!$A$1:$K$61</definedName>
    <definedName name="_xlnm.Print_Area" localSheetId="28">'31.pielikums'!$A$1:$K$281</definedName>
    <definedName name="_xlnm.Print_Area" localSheetId="29">'32.pielikums'!$A$1:$M$61</definedName>
    <definedName name="_xlnm.Print_Area" localSheetId="1">'4.pielikums'!$A$1:$G$27</definedName>
    <definedName name="_xlnm.Print_Area" localSheetId="2">'5.pielikums'!$A$1:$G$33</definedName>
    <definedName name="_xlnm.Print_Area" localSheetId="3">'6.pielikums'!$A$1:$G$34</definedName>
    <definedName name="_xlnm.Print_Area" localSheetId="4">'7.pielikums'!$A$1:$G$19</definedName>
    <definedName name="_xlnm.Print_Area" localSheetId="5">'8.pielikums'!$A$1:$G$40</definedName>
    <definedName name="_xlnm.Print_Area" localSheetId="6">'9.pielikums'!$A$1:$G$56</definedName>
    <definedName name="_xlnm.Print_Titles" localSheetId="13">'16.pielikums'!$13:$13</definedName>
    <definedName name="_xlnm.Print_Titles" localSheetId="23">'26.pielikums'!$13:$14</definedName>
    <definedName name="_xlnm.Print_Titles" localSheetId="28">'31.pielikums'!$12:$13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4" l="1"/>
  <c r="J95" i="14"/>
  <c r="J89" i="14"/>
  <c r="J83" i="14"/>
  <c r="J76" i="14"/>
  <c r="J69" i="14"/>
  <c r="K231" i="54" l="1"/>
  <c r="J237" i="54"/>
  <c r="K159" i="54"/>
  <c r="G116" i="3"/>
  <c r="J188" i="14"/>
  <c r="J51" i="14"/>
  <c r="G46" i="15"/>
  <c r="G24" i="15"/>
  <c r="G54" i="17"/>
  <c r="G23" i="17"/>
  <c r="G27" i="38"/>
  <c r="G25" i="31"/>
  <c r="I148" i="41"/>
  <c r="I116" i="41"/>
  <c r="I65" i="41"/>
  <c r="K16" i="45"/>
  <c r="G29" i="36"/>
  <c r="G16" i="36"/>
  <c r="G118" i="23" l="1"/>
  <c r="G107" i="23"/>
  <c r="G99" i="23"/>
  <c r="G92" i="23"/>
  <c r="G66" i="23"/>
  <c r="G52" i="23"/>
  <c r="G24" i="23"/>
  <c r="G13" i="49" l="1"/>
  <c r="H13" i="49"/>
  <c r="G15" i="49"/>
  <c r="H15" i="49"/>
  <c r="G26" i="49"/>
  <c r="H26" i="49"/>
  <c r="G31" i="49"/>
  <c r="H31" i="49"/>
  <c r="G38" i="49"/>
  <c r="H38" i="49"/>
  <c r="G43" i="49"/>
  <c r="G42" i="49" s="1"/>
  <c r="H43" i="49"/>
  <c r="H42" i="49" s="1"/>
  <c r="H12" i="49" l="1"/>
  <c r="G12" i="49"/>
  <c r="H10" i="49"/>
  <c r="G10" i="49"/>
  <c r="D37" i="23"/>
  <c r="C37" i="23"/>
  <c r="C74" i="23"/>
  <c r="C118" i="23" l="1"/>
  <c r="E121" i="23"/>
  <c r="E120" i="23"/>
  <c r="D99" i="23"/>
  <c r="C99" i="23"/>
  <c r="D86" i="23"/>
  <c r="C86" i="23"/>
  <c r="D83" i="23"/>
  <c r="D82" i="23" s="1"/>
  <c r="C83" i="23"/>
  <c r="C82" i="23" s="1"/>
  <c r="G76" i="23"/>
  <c r="E76" i="23"/>
  <c r="E66" i="23"/>
  <c r="D68" i="23"/>
  <c r="D66" i="23" s="1"/>
  <c r="C68" i="23"/>
  <c r="C66" i="23" s="1"/>
  <c r="G60" i="23"/>
  <c r="G59" i="23" s="1"/>
  <c r="E59" i="23"/>
  <c r="D59" i="23"/>
  <c r="C59" i="23"/>
  <c r="E52" i="23"/>
  <c r="D53" i="23"/>
  <c r="D52" i="23" s="1"/>
  <c r="C53" i="23"/>
  <c r="C52" i="23" s="1"/>
  <c r="E44" i="23"/>
  <c r="C44" i="23"/>
  <c r="D39" i="23"/>
  <c r="C39" i="23"/>
  <c r="D38" i="23"/>
  <c r="D36" i="23" s="1"/>
  <c r="C38" i="23"/>
  <c r="C36" i="23" s="1"/>
  <c r="E24" i="23"/>
  <c r="D24" i="23"/>
  <c r="C24" i="23"/>
  <c r="E19" i="23"/>
  <c r="G18" i="23"/>
  <c r="E18" i="23"/>
  <c r="D16" i="23"/>
  <c r="C16" i="23"/>
  <c r="M24" i="49"/>
  <c r="F24" i="49" s="1"/>
  <c r="E24" i="49"/>
  <c r="F23" i="49"/>
  <c r="E23" i="49"/>
  <c r="M16" i="49"/>
  <c r="F16" i="49" s="1"/>
  <c r="F22" i="49"/>
  <c r="E22" i="49"/>
  <c r="F21" i="49"/>
  <c r="E21" i="49"/>
  <c r="F20" i="49"/>
  <c r="E20" i="49"/>
  <c r="F19" i="49"/>
  <c r="E19" i="49"/>
  <c r="L13" i="49"/>
  <c r="D107" i="23" l="1"/>
  <c r="E118" i="23"/>
  <c r="D118" i="23"/>
  <c r="G42" i="38"/>
  <c r="C42" i="38"/>
  <c r="D42" i="38"/>
  <c r="E42" i="38"/>
  <c r="G18" i="35" l="1"/>
  <c r="G72" i="36" l="1"/>
  <c r="J194" i="14" l="1"/>
  <c r="G188" i="14"/>
  <c r="M61" i="56" l="1"/>
  <c r="M60" i="56" s="1"/>
  <c r="M59" i="56" s="1"/>
  <c r="H61" i="56"/>
  <c r="L61" i="56" s="1"/>
  <c r="F61" i="56"/>
  <c r="D61" i="56" s="1"/>
  <c r="C61" i="56"/>
  <c r="L60" i="56"/>
  <c r="L59" i="56" s="1"/>
  <c r="J60" i="56"/>
  <c r="I60" i="56"/>
  <c r="I59" i="56" s="1"/>
  <c r="H60" i="56"/>
  <c r="G60" i="56"/>
  <c r="G59" i="56" s="1"/>
  <c r="G14" i="56" s="1"/>
  <c r="E60" i="56"/>
  <c r="C60" i="56"/>
  <c r="C59" i="56" s="1"/>
  <c r="J59" i="56"/>
  <c r="H59" i="56"/>
  <c r="E59" i="56"/>
  <c r="J58" i="56"/>
  <c r="M58" i="56" s="1"/>
  <c r="H58" i="56"/>
  <c r="L58" i="56" s="1"/>
  <c r="F58" i="56"/>
  <c r="C58" i="56"/>
  <c r="J57" i="56"/>
  <c r="M57" i="56" s="1"/>
  <c r="M56" i="56" s="1"/>
  <c r="H57" i="56"/>
  <c r="L57" i="56" s="1"/>
  <c r="L56" i="56" s="1"/>
  <c r="F57" i="56"/>
  <c r="C57" i="56"/>
  <c r="I56" i="56"/>
  <c r="H56" i="56"/>
  <c r="G56" i="56"/>
  <c r="E56" i="56"/>
  <c r="J55" i="56"/>
  <c r="M55" i="56" s="1"/>
  <c r="H55" i="56"/>
  <c r="L55" i="56" s="1"/>
  <c r="F55" i="56"/>
  <c r="D55" i="56" s="1"/>
  <c r="C55" i="56"/>
  <c r="J54" i="56"/>
  <c r="M54" i="56" s="1"/>
  <c r="H54" i="56"/>
  <c r="L54" i="56" s="1"/>
  <c r="F54" i="56"/>
  <c r="D54" i="56"/>
  <c r="C54" i="56"/>
  <c r="M53" i="56"/>
  <c r="J53" i="56"/>
  <c r="H53" i="56"/>
  <c r="L53" i="56" s="1"/>
  <c r="F53" i="56"/>
  <c r="D53" i="56"/>
  <c r="C53" i="56"/>
  <c r="J52" i="56"/>
  <c r="M52" i="56" s="1"/>
  <c r="H52" i="56"/>
  <c r="L52" i="56" s="1"/>
  <c r="F52" i="56"/>
  <c r="K52" i="56" s="1"/>
  <c r="C52" i="56"/>
  <c r="J51" i="56"/>
  <c r="M51" i="56" s="1"/>
  <c r="H51" i="56"/>
  <c r="L51" i="56" s="1"/>
  <c r="F51" i="56"/>
  <c r="D51" i="56" s="1"/>
  <c r="C51" i="56"/>
  <c r="J50" i="56"/>
  <c r="M50" i="56" s="1"/>
  <c r="H50" i="56"/>
  <c r="L50" i="56" s="1"/>
  <c r="F50" i="56"/>
  <c r="D50" i="56"/>
  <c r="C50" i="56"/>
  <c r="M49" i="56"/>
  <c r="J49" i="56"/>
  <c r="H49" i="56"/>
  <c r="L49" i="56" s="1"/>
  <c r="F49" i="56"/>
  <c r="D49" i="56"/>
  <c r="C49" i="56"/>
  <c r="J48" i="56"/>
  <c r="M48" i="56" s="1"/>
  <c r="H48" i="56"/>
  <c r="L48" i="56" s="1"/>
  <c r="F48" i="56"/>
  <c r="K48" i="56" s="1"/>
  <c r="C48" i="56"/>
  <c r="J47" i="56"/>
  <c r="M47" i="56" s="1"/>
  <c r="H47" i="56"/>
  <c r="L47" i="56" s="1"/>
  <c r="F47" i="56"/>
  <c r="D47" i="56" s="1"/>
  <c r="C47" i="56"/>
  <c r="J46" i="56"/>
  <c r="M46" i="56" s="1"/>
  <c r="H46" i="56"/>
  <c r="L46" i="56" s="1"/>
  <c r="F46" i="56"/>
  <c r="D46" i="56"/>
  <c r="C46" i="56"/>
  <c r="M45" i="56"/>
  <c r="J45" i="56"/>
  <c r="H45" i="56"/>
  <c r="L45" i="56" s="1"/>
  <c r="F45" i="56"/>
  <c r="D45" i="56"/>
  <c r="C45" i="56"/>
  <c r="J44" i="56"/>
  <c r="M44" i="56" s="1"/>
  <c r="H44" i="56"/>
  <c r="F44" i="56"/>
  <c r="K44" i="56" s="1"/>
  <c r="C44" i="56"/>
  <c r="C43" i="56" s="1"/>
  <c r="J43" i="56"/>
  <c r="I43" i="56"/>
  <c r="G43" i="56"/>
  <c r="E43" i="56"/>
  <c r="J42" i="56"/>
  <c r="M42" i="56" s="1"/>
  <c r="H42" i="56"/>
  <c r="L42" i="56" s="1"/>
  <c r="F42" i="56"/>
  <c r="C42" i="56"/>
  <c r="J41" i="56"/>
  <c r="M41" i="56" s="1"/>
  <c r="H41" i="56"/>
  <c r="L41" i="56" s="1"/>
  <c r="F41" i="56"/>
  <c r="C41" i="56"/>
  <c r="J40" i="56"/>
  <c r="M40" i="56" s="1"/>
  <c r="H40" i="56"/>
  <c r="L40" i="56" s="1"/>
  <c r="F40" i="56"/>
  <c r="C40" i="56"/>
  <c r="J39" i="56"/>
  <c r="M39" i="56" s="1"/>
  <c r="H39" i="56"/>
  <c r="L39" i="56" s="1"/>
  <c r="F39" i="56"/>
  <c r="C39" i="56"/>
  <c r="J38" i="56"/>
  <c r="M38" i="56" s="1"/>
  <c r="H38" i="56"/>
  <c r="L38" i="56" s="1"/>
  <c r="F38" i="56"/>
  <c r="C38" i="56"/>
  <c r="J37" i="56"/>
  <c r="M37" i="56" s="1"/>
  <c r="H37" i="56"/>
  <c r="L37" i="56" s="1"/>
  <c r="F37" i="56"/>
  <c r="C37" i="56"/>
  <c r="J36" i="56"/>
  <c r="M36" i="56" s="1"/>
  <c r="H36" i="56"/>
  <c r="L36" i="56" s="1"/>
  <c r="F36" i="56"/>
  <c r="C36" i="56"/>
  <c r="J35" i="56"/>
  <c r="M35" i="56" s="1"/>
  <c r="H35" i="56"/>
  <c r="L35" i="56" s="1"/>
  <c r="F35" i="56"/>
  <c r="C35" i="56"/>
  <c r="J34" i="56"/>
  <c r="M34" i="56" s="1"/>
  <c r="H34" i="56"/>
  <c r="L34" i="56" s="1"/>
  <c r="F34" i="56"/>
  <c r="C34" i="56"/>
  <c r="J33" i="56"/>
  <c r="M33" i="56" s="1"/>
  <c r="H33" i="56"/>
  <c r="L33" i="56" s="1"/>
  <c r="F33" i="56"/>
  <c r="C33" i="56"/>
  <c r="J32" i="56"/>
  <c r="M32" i="56" s="1"/>
  <c r="H32" i="56"/>
  <c r="L32" i="56" s="1"/>
  <c r="F32" i="56"/>
  <c r="C32" i="56"/>
  <c r="J31" i="56"/>
  <c r="M31" i="56" s="1"/>
  <c r="H31" i="56"/>
  <c r="L31" i="56" s="1"/>
  <c r="F31" i="56"/>
  <c r="C31" i="56"/>
  <c r="J30" i="56"/>
  <c r="M30" i="56" s="1"/>
  <c r="H30" i="56"/>
  <c r="L30" i="56" s="1"/>
  <c r="L29" i="56" s="1"/>
  <c r="F30" i="56"/>
  <c r="C30" i="56"/>
  <c r="C29" i="56" s="1"/>
  <c r="J29" i="56"/>
  <c r="I29" i="56"/>
  <c r="H29" i="56"/>
  <c r="G29" i="56"/>
  <c r="F29" i="56"/>
  <c r="E29" i="56"/>
  <c r="I28" i="56"/>
  <c r="G28" i="56"/>
  <c r="M27" i="56"/>
  <c r="H27" i="56"/>
  <c r="L27" i="56" s="1"/>
  <c r="F27" i="56"/>
  <c r="D27" i="56"/>
  <c r="C27" i="56"/>
  <c r="J26" i="56"/>
  <c r="M26" i="56" s="1"/>
  <c r="M25" i="56" s="1"/>
  <c r="H26" i="56"/>
  <c r="F26" i="56"/>
  <c r="K26" i="56" s="1"/>
  <c r="C26" i="56"/>
  <c r="C25" i="56" s="1"/>
  <c r="J25" i="56"/>
  <c r="I25" i="56"/>
  <c r="G25" i="56"/>
  <c r="E25" i="56"/>
  <c r="J24" i="56"/>
  <c r="M24" i="56" s="1"/>
  <c r="H24" i="56"/>
  <c r="L24" i="56" s="1"/>
  <c r="F24" i="56"/>
  <c r="C24" i="56"/>
  <c r="J23" i="56"/>
  <c r="M23" i="56" s="1"/>
  <c r="H23" i="56"/>
  <c r="L23" i="56" s="1"/>
  <c r="F23" i="56"/>
  <c r="C23" i="56"/>
  <c r="J22" i="56"/>
  <c r="M22" i="56" s="1"/>
  <c r="H22" i="56"/>
  <c r="L22" i="56" s="1"/>
  <c r="F22" i="56"/>
  <c r="C22" i="56"/>
  <c r="J21" i="56"/>
  <c r="M21" i="56" s="1"/>
  <c r="H21" i="56"/>
  <c r="L21" i="56" s="1"/>
  <c r="L20" i="56" s="1"/>
  <c r="F21" i="56"/>
  <c r="C21" i="56"/>
  <c r="J20" i="56"/>
  <c r="I20" i="56"/>
  <c r="H20" i="56"/>
  <c r="G20" i="56"/>
  <c r="F20" i="56"/>
  <c r="E20" i="56"/>
  <c r="I19" i="56"/>
  <c r="J19" i="56" s="1"/>
  <c r="H19" i="56"/>
  <c r="L19" i="56" s="1"/>
  <c r="L18" i="56" s="1"/>
  <c r="F19" i="56"/>
  <c r="D19" i="56" s="1"/>
  <c r="D18" i="56" s="1"/>
  <c r="H18" i="56"/>
  <c r="H17" i="56" s="1"/>
  <c r="G18" i="56"/>
  <c r="F18" i="56"/>
  <c r="F17" i="56" s="1"/>
  <c r="E18" i="56"/>
  <c r="G17" i="56"/>
  <c r="G16" i="56" s="1"/>
  <c r="E17" i="56"/>
  <c r="E16" i="56" s="1"/>
  <c r="I13" i="56"/>
  <c r="G13" i="56"/>
  <c r="E13" i="56"/>
  <c r="K55" i="56" s="1"/>
  <c r="M43" i="56" l="1"/>
  <c r="C20" i="56"/>
  <c r="K22" i="56"/>
  <c r="D13" i="56"/>
  <c r="C13" i="56"/>
  <c r="C19" i="56"/>
  <c r="C18" i="56" s="1"/>
  <c r="C17" i="56" s="1"/>
  <c r="C16" i="56" s="1"/>
  <c r="L17" i="56"/>
  <c r="K21" i="56"/>
  <c r="M20" i="56"/>
  <c r="K23" i="56"/>
  <c r="F43" i="56"/>
  <c r="D44" i="56"/>
  <c r="D48" i="56"/>
  <c r="D52" i="56"/>
  <c r="F25" i="56"/>
  <c r="F16" i="56" s="1"/>
  <c r="K16" i="56" s="1"/>
  <c r="D26" i="56"/>
  <c r="D25" i="56" s="1"/>
  <c r="K27" i="56"/>
  <c r="K25" i="56" s="1"/>
  <c r="E28" i="56"/>
  <c r="E14" i="56" s="1"/>
  <c r="K46" i="56"/>
  <c r="K50" i="56"/>
  <c r="K54" i="56"/>
  <c r="M19" i="56"/>
  <c r="M18" i="56" s="1"/>
  <c r="J18" i="56"/>
  <c r="J17" i="56" s="1"/>
  <c r="J16" i="56" s="1"/>
  <c r="K19" i="56"/>
  <c r="K18" i="56" s="1"/>
  <c r="L26" i="56"/>
  <c r="L25" i="56" s="1"/>
  <c r="H25" i="56"/>
  <c r="H16" i="56" s="1"/>
  <c r="K31" i="56"/>
  <c r="D31" i="56"/>
  <c r="K33" i="56"/>
  <c r="D33" i="56"/>
  <c r="K35" i="56"/>
  <c r="D35" i="56"/>
  <c r="K37" i="56"/>
  <c r="D37" i="56"/>
  <c r="K39" i="56"/>
  <c r="D39" i="56"/>
  <c r="K41" i="56"/>
  <c r="D41" i="56"/>
  <c r="L44" i="56"/>
  <c r="L43" i="56" s="1"/>
  <c r="L28" i="56" s="1"/>
  <c r="H43" i="56"/>
  <c r="H28" i="56" s="1"/>
  <c r="K57" i="56"/>
  <c r="D57" i="56"/>
  <c r="K61" i="56"/>
  <c r="K60" i="56" s="1"/>
  <c r="K59" i="56" s="1"/>
  <c r="I18" i="56"/>
  <c r="I17" i="56" s="1"/>
  <c r="I16" i="56" s="1"/>
  <c r="I14" i="56" s="1"/>
  <c r="D21" i="56"/>
  <c r="D22" i="56"/>
  <c r="D23" i="56"/>
  <c r="K24" i="56"/>
  <c r="D24" i="56"/>
  <c r="K30" i="56"/>
  <c r="D30" i="56"/>
  <c r="M29" i="56"/>
  <c r="M28" i="56" s="1"/>
  <c r="K32" i="56"/>
  <c r="D32" i="56"/>
  <c r="K34" i="56"/>
  <c r="D34" i="56"/>
  <c r="K36" i="56"/>
  <c r="D36" i="56"/>
  <c r="K38" i="56"/>
  <c r="D38" i="56"/>
  <c r="K40" i="56"/>
  <c r="D40" i="56"/>
  <c r="K42" i="56"/>
  <c r="D42" i="56"/>
  <c r="K45" i="56"/>
  <c r="K47" i="56"/>
  <c r="K49" i="56"/>
  <c r="K51" i="56"/>
  <c r="K53" i="56"/>
  <c r="F56" i="56"/>
  <c r="J56" i="56"/>
  <c r="J28" i="56" s="1"/>
  <c r="C56" i="56"/>
  <c r="C28" i="56" s="1"/>
  <c r="C14" i="56" s="1"/>
  <c r="K58" i="56"/>
  <c r="D58" i="56"/>
  <c r="F60" i="56"/>
  <c r="F59" i="56" s="1"/>
  <c r="K43" i="56" l="1"/>
  <c r="F28" i="56"/>
  <c r="F14" i="56" s="1"/>
  <c r="K29" i="56"/>
  <c r="K20" i="56"/>
  <c r="M17" i="56"/>
  <c r="D43" i="56"/>
  <c r="D56" i="56"/>
  <c r="H14" i="56"/>
  <c r="L16" i="56"/>
  <c r="L14" i="56" s="1"/>
  <c r="D29" i="56"/>
  <c r="D20" i="56"/>
  <c r="D17" i="56" s="1"/>
  <c r="D16" i="56" s="1"/>
  <c r="K56" i="56"/>
  <c r="K17" i="56"/>
  <c r="M16" i="56"/>
  <c r="M14" i="56" s="1"/>
  <c r="J14" i="56"/>
  <c r="K28" i="56" l="1"/>
  <c r="K14" i="56" s="1"/>
  <c r="D28" i="56"/>
  <c r="D14" i="56"/>
  <c r="G17" i="23" l="1"/>
  <c r="G16" i="23" s="1"/>
  <c r="E17" i="23"/>
  <c r="E16" i="23" s="1"/>
  <c r="I44" i="49" l="1"/>
  <c r="M44" i="49"/>
  <c r="I152" i="41" l="1"/>
  <c r="G36" i="23" l="1"/>
  <c r="D74" i="23" l="1"/>
  <c r="E74" i="23"/>
  <c r="G74" i="23"/>
  <c r="G34" i="3" l="1"/>
  <c r="F18" i="49" l="1"/>
  <c r="G82" i="23" l="1"/>
  <c r="D92" i="23" l="1"/>
  <c r="E92" i="23"/>
  <c r="C92" i="23"/>
  <c r="G16" i="37" l="1"/>
  <c r="C27" i="38" l="1"/>
  <c r="J41" i="45" l="1"/>
  <c r="J16" i="45" s="1"/>
  <c r="J34" i="46"/>
  <c r="J56" i="47" l="1"/>
  <c r="K194" i="14" l="1"/>
  <c r="K188" i="14"/>
  <c r="J184" i="14"/>
  <c r="J179" i="14"/>
  <c r="J175" i="14"/>
  <c r="J171" i="14"/>
  <c r="J166" i="14"/>
  <c r="J161" i="14"/>
  <c r="J157" i="14"/>
  <c r="J153" i="14"/>
  <c r="J149" i="14"/>
  <c r="J147" i="14"/>
  <c r="J144" i="14"/>
  <c r="J140" i="14"/>
  <c r="J136" i="14"/>
  <c r="J133" i="14"/>
  <c r="J129" i="14"/>
  <c r="J125" i="14"/>
  <c r="J122" i="14"/>
  <c r="J119" i="14"/>
  <c r="J116" i="14"/>
  <c r="J108" i="14"/>
  <c r="J103" i="14"/>
  <c r="J96" i="14"/>
  <c r="J90" i="14"/>
  <c r="J84" i="14"/>
  <c r="J77" i="14"/>
  <c r="J70" i="14"/>
  <c r="J64" i="14"/>
  <c r="J41" i="14"/>
  <c r="J58" i="14"/>
  <c r="J53" i="14"/>
  <c r="J46" i="14"/>
  <c r="J35" i="14"/>
  <c r="J30" i="14"/>
  <c r="J26" i="14"/>
  <c r="J23" i="14"/>
  <c r="J20" i="14"/>
  <c r="J17" i="14"/>
  <c r="G194" i="14"/>
  <c r="D194" i="14"/>
  <c r="E194" i="14"/>
  <c r="F194" i="14"/>
  <c r="H194" i="14"/>
  <c r="C194" i="14"/>
  <c r="J40" i="14" l="1"/>
  <c r="J16" i="14"/>
  <c r="J63" i="14"/>
  <c r="C77" i="31"/>
  <c r="C46" i="15" l="1"/>
  <c r="D46" i="15"/>
  <c r="E46" i="15"/>
  <c r="C24" i="15"/>
  <c r="D24" i="15"/>
  <c r="E24" i="15"/>
  <c r="G16" i="38" l="1"/>
  <c r="E39" i="23" l="1"/>
  <c r="G29" i="44" l="1"/>
  <c r="G16" i="44"/>
  <c r="C16" i="44"/>
  <c r="D23" i="17" l="1"/>
  <c r="E23" i="17"/>
  <c r="C23" i="17"/>
  <c r="E15" i="18"/>
  <c r="E39" i="17"/>
  <c r="E33" i="17"/>
  <c r="D17" i="52" l="1"/>
  <c r="E17" i="52" s="1"/>
  <c r="J55" i="47" l="1"/>
  <c r="E76" i="3" l="1"/>
  <c r="C52" i="3"/>
  <c r="G30" i="3"/>
  <c r="E30" i="3"/>
  <c r="D30" i="3"/>
  <c r="C30" i="3"/>
  <c r="G89" i="3"/>
  <c r="E89" i="3"/>
  <c r="D89" i="3"/>
  <c r="C89" i="3"/>
  <c r="G88" i="3"/>
  <c r="G86" i="3" s="1"/>
  <c r="E88" i="3"/>
  <c r="D88" i="3"/>
  <c r="C88" i="3"/>
  <c r="E35" i="3"/>
  <c r="E34" i="3" s="1"/>
  <c r="D35" i="3"/>
  <c r="D34" i="3" s="1"/>
  <c r="C35" i="3"/>
  <c r="C34" i="3" s="1"/>
  <c r="G28" i="3"/>
  <c r="E28" i="3"/>
  <c r="D28" i="3"/>
  <c r="C28" i="3"/>
  <c r="G22" i="3"/>
  <c r="G21" i="3" s="1"/>
  <c r="E22" i="3"/>
  <c r="E21" i="3" s="1"/>
  <c r="D22" i="3"/>
  <c r="D21" i="3" s="1"/>
  <c r="C22" i="3"/>
  <c r="C21" i="3" s="1"/>
  <c r="G18" i="3"/>
  <c r="G15" i="3" s="1"/>
  <c r="E18" i="3"/>
  <c r="E15" i="3" s="1"/>
  <c r="D18" i="3"/>
  <c r="C18" i="3"/>
  <c r="D16" i="3"/>
  <c r="C16" i="3"/>
  <c r="D104" i="3"/>
  <c r="E104" i="3"/>
  <c r="G104" i="3"/>
  <c r="C104" i="3"/>
  <c r="G108" i="3"/>
  <c r="G107" i="3" s="1"/>
  <c r="E108" i="3"/>
  <c r="E107" i="3" s="1"/>
  <c r="D108" i="3"/>
  <c r="D107" i="3" s="1"/>
  <c r="C108" i="3"/>
  <c r="C107" i="3" s="1"/>
  <c r="D110" i="3"/>
  <c r="E110" i="3"/>
  <c r="G110" i="3"/>
  <c r="C110" i="3"/>
  <c r="D112" i="3"/>
  <c r="E112" i="3"/>
  <c r="G112" i="3"/>
  <c r="C112" i="3"/>
  <c r="D114" i="3"/>
  <c r="E114" i="3"/>
  <c r="G114" i="3"/>
  <c r="C114" i="3"/>
  <c r="D116" i="3"/>
  <c r="E116" i="3"/>
  <c r="C116" i="3"/>
  <c r="D118" i="3"/>
  <c r="C118" i="3"/>
  <c r="G118" i="3"/>
  <c r="E119" i="3"/>
  <c r="E118" i="3" s="1"/>
  <c r="G101" i="3"/>
  <c r="E102" i="3"/>
  <c r="E101" i="3" s="1"/>
  <c r="D102" i="3"/>
  <c r="D101" i="3" s="1"/>
  <c r="C102" i="3"/>
  <c r="C101" i="3" s="1"/>
  <c r="D98" i="3"/>
  <c r="E98" i="3"/>
  <c r="G98" i="3"/>
  <c r="C98" i="3"/>
  <c r="G94" i="3"/>
  <c r="E97" i="3"/>
  <c r="E94" i="3" s="1"/>
  <c r="D97" i="3"/>
  <c r="D94" i="3" s="1"/>
  <c r="C97" i="3"/>
  <c r="C94" i="3" s="1"/>
  <c r="G90" i="3"/>
  <c r="E92" i="3"/>
  <c r="E90" i="3" s="1"/>
  <c r="D92" i="3"/>
  <c r="D90" i="3" s="1"/>
  <c r="C92" i="3"/>
  <c r="C90" i="3" s="1"/>
  <c r="E68" i="3"/>
  <c r="G60" i="3"/>
  <c r="E60" i="3"/>
  <c r="E59" i="3" s="1"/>
  <c r="G85" i="3" l="1"/>
  <c r="E86" i="3"/>
  <c r="E85" i="3" s="1"/>
  <c r="G27" i="3"/>
  <c r="G14" i="3" s="1"/>
  <c r="E27" i="3"/>
  <c r="D27" i="3"/>
  <c r="C27" i="3"/>
  <c r="C86" i="3"/>
  <c r="C85" i="3" s="1"/>
  <c r="D86" i="3"/>
  <c r="D85" i="3" s="1"/>
  <c r="D15" i="3"/>
  <c r="D14" i="3" s="1"/>
  <c r="C15" i="3"/>
  <c r="C14" i="3" s="1"/>
  <c r="E14" i="3"/>
  <c r="G24" i="40"/>
  <c r="E24" i="40"/>
  <c r="G24" i="52" l="1"/>
  <c r="E24" i="52"/>
  <c r="D24" i="52"/>
  <c r="C24" i="52"/>
  <c r="E16" i="52"/>
  <c r="G16" i="52"/>
  <c r="C16" i="52"/>
  <c r="C14" i="52" l="1"/>
  <c r="G14" i="52"/>
  <c r="E14" i="52"/>
  <c r="D16" i="52"/>
  <c r="D14" i="52" s="1"/>
  <c r="E77" i="3" l="1"/>
  <c r="C73" i="3"/>
  <c r="G20" i="42" l="1"/>
  <c r="G19" i="42"/>
  <c r="G33" i="17" l="1"/>
  <c r="G23" i="53" l="1"/>
  <c r="G16" i="53"/>
  <c r="G14" i="53" l="1"/>
  <c r="L43" i="49"/>
  <c r="L42" i="49" s="1"/>
  <c r="L38" i="49"/>
  <c r="L31" i="49"/>
  <c r="L26" i="49"/>
  <c r="L15" i="49"/>
  <c r="F34" i="49"/>
  <c r="F17" i="49"/>
  <c r="L12" i="49" l="1"/>
  <c r="L10" i="49" s="1"/>
  <c r="J16" i="46"/>
  <c r="G16" i="46"/>
  <c r="D77" i="3" l="1"/>
  <c r="G77" i="3"/>
  <c r="C77" i="3"/>
  <c r="D73" i="3"/>
  <c r="E73" i="3"/>
  <c r="G73" i="3"/>
  <c r="G72" i="3"/>
  <c r="G69" i="3" s="1"/>
  <c r="E72" i="3"/>
  <c r="E69" i="3" s="1"/>
  <c r="C69" i="3"/>
  <c r="D69" i="3"/>
  <c r="E66" i="3"/>
  <c r="E62" i="3"/>
  <c r="C62" i="3"/>
  <c r="D66" i="3"/>
  <c r="G66" i="3"/>
  <c r="C66" i="3"/>
  <c r="D62" i="3"/>
  <c r="G62" i="3"/>
  <c r="G59" i="3"/>
  <c r="C59" i="3"/>
  <c r="D59" i="3"/>
  <c r="G58" i="3"/>
  <c r="G55" i="3" s="1"/>
  <c r="E58" i="3"/>
  <c r="E55" i="3" s="1"/>
  <c r="C55" i="3"/>
  <c r="D55" i="3"/>
  <c r="C49" i="3"/>
  <c r="G49" i="3"/>
  <c r="E49" i="3"/>
  <c r="D49" i="3"/>
  <c r="E48" i="3"/>
  <c r="D48" i="3"/>
  <c r="D44" i="3" s="1"/>
  <c r="C48" i="3"/>
  <c r="C44" i="3" s="1"/>
  <c r="G48" i="3"/>
  <c r="G44" i="3" l="1"/>
  <c r="C43" i="3"/>
  <c r="D43" i="3"/>
  <c r="E44" i="3"/>
  <c r="E43" i="3" s="1"/>
  <c r="E86" i="23"/>
  <c r="G43" i="3" l="1"/>
  <c r="G35" i="19"/>
  <c r="G15" i="19"/>
  <c r="G57" i="18"/>
  <c r="G47" i="18"/>
  <c r="G39" i="18"/>
  <c r="G30" i="18"/>
  <c r="G15" i="18"/>
  <c r="G16" i="15"/>
  <c r="G47" i="17"/>
  <c r="G39" i="17"/>
  <c r="E52" i="38"/>
  <c r="G52" i="38"/>
  <c r="G16" i="35"/>
  <c r="G16" i="43"/>
  <c r="G49" i="36"/>
  <c r="G46" i="44"/>
  <c r="G16" i="42"/>
  <c r="I202" i="41" l="1"/>
  <c r="I280" i="41"/>
  <c r="I200" i="41"/>
  <c r="I196" i="41"/>
  <c r="I193" i="41"/>
  <c r="I183" i="41"/>
  <c r="I178" i="41"/>
  <c r="I174" i="41"/>
  <c r="I142" i="41"/>
  <c r="I138" i="41"/>
  <c r="I130" i="41"/>
  <c r="I126" i="41"/>
  <c r="I109" i="41"/>
  <c r="I98" i="41"/>
  <c r="I77" i="41"/>
  <c r="I47" i="41"/>
  <c r="I41" i="41"/>
  <c r="I38" i="41"/>
  <c r="I34" i="41"/>
  <c r="I26" i="41"/>
  <c r="I16" i="41"/>
  <c r="J280" i="54" l="1"/>
  <c r="J273" i="54"/>
  <c r="K273" i="54"/>
  <c r="K272" i="54" s="1"/>
  <c r="G273" i="54"/>
  <c r="G272" i="54" s="1"/>
  <c r="E273" i="54"/>
  <c r="E272" i="54" s="1"/>
  <c r="C273" i="54"/>
  <c r="C272" i="54" s="1"/>
  <c r="K268" i="54"/>
  <c r="J268" i="54"/>
  <c r="H268" i="54"/>
  <c r="G268" i="54"/>
  <c r="E268" i="54"/>
  <c r="C268" i="54"/>
  <c r="J267" i="54"/>
  <c r="J266" i="54" s="1"/>
  <c r="G266" i="54"/>
  <c r="E266" i="54"/>
  <c r="C266" i="54"/>
  <c r="J264" i="54"/>
  <c r="J263" i="54" s="1"/>
  <c r="G263" i="54"/>
  <c r="E263" i="54"/>
  <c r="C263" i="54"/>
  <c r="J258" i="54"/>
  <c r="G258" i="54"/>
  <c r="E258" i="54"/>
  <c r="C258" i="54"/>
  <c r="J254" i="54"/>
  <c r="G254" i="54"/>
  <c r="E254" i="54"/>
  <c r="C254" i="54"/>
  <c r="J249" i="54"/>
  <c r="G249" i="54"/>
  <c r="E249" i="54"/>
  <c r="C249" i="54"/>
  <c r="J243" i="54"/>
  <c r="G243" i="54"/>
  <c r="E243" i="54"/>
  <c r="C243" i="54"/>
  <c r="G237" i="54"/>
  <c r="E237" i="54"/>
  <c r="C237" i="54"/>
  <c r="J232" i="54"/>
  <c r="G232" i="54"/>
  <c r="E232" i="54"/>
  <c r="C232" i="54"/>
  <c r="J227" i="54"/>
  <c r="G227" i="54"/>
  <c r="E227" i="54"/>
  <c r="C227" i="54"/>
  <c r="J224" i="54"/>
  <c r="G224" i="54"/>
  <c r="E224" i="54"/>
  <c r="C224" i="54"/>
  <c r="J219" i="54"/>
  <c r="G219" i="54"/>
  <c r="E219" i="54"/>
  <c r="C219" i="54"/>
  <c r="K213" i="54"/>
  <c r="K210" i="54" s="1"/>
  <c r="J213" i="54"/>
  <c r="G213" i="54"/>
  <c r="E213" i="54"/>
  <c r="C213" i="54"/>
  <c r="H210" i="54"/>
  <c r="F210" i="54"/>
  <c r="D210" i="54"/>
  <c r="J209" i="54"/>
  <c r="J207" i="54" s="1"/>
  <c r="G207" i="54"/>
  <c r="E207" i="54"/>
  <c r="C207" i="54"/>
  <c r="K203" i="54"/>
  <c r="J203" i="54"/>
  <c r="H203" i="54"/>
  <c r="G203" i="54"/>
  <c r="F203" i="54"/>
  <c r="E203" i="54"/>
  <c r="D203" i="54"/>
  <c r="C203" i="54"/>
  <c r="K198" i="54"/>
  <c r="J198" i="54"/>
  <c r="H198" i="54"/>
  <c r="G198" i="54"/>
  <c r="F198" i="54"/>
  <c r="E198" i="54"/>
  <c r="D198" i="54"/>
  <c r="C198" i="54"/>
  <c r="K193" i="54"/>
  <c r="J193" i="54"/>
  <c r="H193" i="54"/>
  <c r="G193" i="54"/>
  <c r="F193" i="54"/>
  <c r="E193" i="54"/>
  <c r="D193" i="54"/>
  <c r="C193" i="54"/>
  <c r="K188" i="54"/>
  <c r="J188" i="54"/>
  <c r="H188" i="54"/>
  <c r="G188" i="54"/>
  <c r="F188" i="54"/>
  <c r="E188" i="54"/>
  <c r="D188" i="54"/>
  <c r="C188" i="54"/>
  <c r="J185" i="54"/>
  <c r="J184" i="54" s="1"/>
  <c r="K184" i="54"/>
  <c r="H184" i="54"/>
  <c r="H183" i="54" s="1"/>
  <c r="G184" i="54"/>
  <c r="F184" i="54"/>
  <c r="E184" i="54"/>
  <c r="D184" i="54"/>
  <c r="C184" i="54"/>
  <c r="C183" i="54" s="1"/>
  <c r="J182" i="54"/>
  <c r="K177" i="54"/>
  <c r="J177" i="54"/>
  <c r="H177" i="54"/>
  <c r="G177" i="54"/>
  <c r="F177" i="54"/>
  <c r="E177" i="54"/>
  <c r="D177" i="54"/>
  <c r="C177" i="54"/>
  <c r="K175" i="54"/>
  <c r="K174" i="54" s="1"/>
  <c r="J175" i="54"/>
  <c r="J174" i="54" s="1"/>
  <c r="H175" i="54"/>
  <c r="H174" i="54" s="1"/>
  <c r="G175" i="54"/>
  <c r="G174" i="54" s="1"/>
  <c r="F175" i="54"/>
  <c r="F174" i="54" s="1"/>
  <c r="E175" i="54"/>
  <c r="E174" i="54" s="1"/>
  <c r="D175" i="54"/>
  <c r="D174" i="54" s="1"/>
  <c r="C175" i="54"/>
  <c r="J172" i="54"/>
  <c r="G172" i="54"/>
  <c r="E172" i="54"/>
  <c r="C172" i="54"/>
  <c r="J167" i="54"/>
  <c r="G167" i="54"/>
  <c r="E167" i="54"/>
  <c r="C167" i="54"/>
  <c r="J162" i="54"/>
  <c r="G162" i="54"/>
  <c r="E162" i="54"/>
  <c r="C162" i="54"/>
  <c r="J160" i="54"/>
  <c r="J159" i="54" s="1"/>
  <c r="G160" i="54"/>
  <c r="E160" i="54"/>
  <c r="C160" i="54"/>
  <c r="C159" i="54" s="1"/>
  <c r="H159" i="54"/>
  <c r="F159" i="54"/>
  <c r="D159" i="54"/>
  <c r="K155" i="54"/>
  <c r="J155" i="54"/>
  <c r="H155" i="54"/>
  <c r="G155" i="54"/>
  <c r="F155" i="54"/>
  <c r="E155" i="54"/>
  <c r="D155" i="54"/>
  <c r="C155" i="54"/>
  <c r="K150" i="54"/>
  <c r="J150" i="54"/>
  <c r="H150" i="54"/>
  <c r="G150" i="54"/>
  <c r="F150" i="54"/>
  <c r="E150" i="54"/>
  <c r="D150" i="54"/>
  <c r="C150" i="54"/>
  <c r="K145" i="54"/>
  <c r="J145" i="54"/>
  <c r="H145" i="54"/>
  <c r="G145" i="54"/>
  <c r="F145" i="54"/>
  <c r="E145" i="54"/>
  <c r="D145" i="54"/>
  <c r="C145" i="54"/>
  <c r="J142" i="54"/>
  <c r="J141" i="54" s="1"/>
  <c r="K141" i="54"/>
  <c r="H141" i="54"/>
  <c r="H140" i="54" s="1"/>
  <c r="G141" i="54"/>
  <c r="F141" i="54"/>
  <c r="E141" i="54"/>
  <c r="D141" i="54"/>
  <c r="C141" i="54"/>
  <c r="C140" i="54" s="1"/>
  <c r="K137" i="54"/>
  <c r="J137" i="54"/>
  <c r="H137" i="54"/>
  <c r="G137" i="54"/>
  <c r="F137" i="54"/>
  <c r="E137" i="54"/>
  <c r="D137" i="54"/>
  <c r="C137" i="54"/>
  <c r="K134" i="54"/>
  <c r="H134" i="54"/>
  <c r="G134" i="54"/>
  <c r="F134" i="54"/>
  <c r="E134" i="54"/>
  <c r="D134" i="54"/>
  <c r="C134" i="54"/>
  <c r="J133" i="54"/>
  <c r="J132" i="54" s="1"/>
  <c r="K132" i="54"/>
  <c r="H132" i="54"/>
  <c r="G132" i="54"/>
  <c r="F132" i="54"/>
  <c r="E132" i="54"/>
  <c r="D132" i="54"/>
  <c r="C132" i="54"/>
  <c r="J131" i="54"/>
  <c r="K130" i="54"/>
  <c r="J130" i="54"/>
  <c r="H130" i="54"/>
  <c r="G130" i="54"/>
  <c r="F130" i="54"/>
  <c r="E130" i="54"/>
  <c r="D130" i="54"/>
  <c r="C130" i="54"/>
  <c r="K124" i="54"/>
  <c r="K123" i="54" s="1"/>
  <c r="J124" i="54"/>
  <c r="H124" i="54"/>
  <c r="G124" i="54"/>
  <c r="F124" i="54"/>
  <c r="E124" i="54"/>
  <c r="D124" i="54"/>
  <c r="C124" i="54"/>
  <c r="J122" i="54"/>
  <c r="J120" i="54" s="1"/>
  <c r="K120" i="54"/>
  <c r="H120" i="54"/>
  <c r="G120" i="54"/>
  <c r="F120" i="54"/>
  <c r="E120" i="54"/>
  <c r="D120" i="54"/>
  <c r="C120" i="54"/>
  <c r="J117" i="54"/>
  <c r="J110" i="54" s="1"/>
  <c r="J109" i="54" s="1"/>
  <c r="K110" i="54"/>
  <c r="K109" i="54" s="1"/>
  <c r="H110" i="54"/>
  <c r="H109" i="54" s="1"/>
  <c r="G110" i="54"/>
  <c r="G109" i="54" s="1"/>
  <c r="F110" i="54"/>
  <c r="E110" i="54"/>
  <c r="E109" i="54" s="1"/>
  <c r="D110" i="54"/>
  <c r="D109" i="54" s="1"/>
  <c r="C110" i="54"/>
  <c r="C109" i="54" s="1"/>
  <c r="K104" i="54"/>
  <c r="J104" i="54"/>
  <c r="H104" i="54"/>
  <c r="G104" i="54"/>
  <c r="F104" i="54"/>
  <c r="E104" i="54"/>
  <c r="D104" i="54"/>
  <c r="C104" i="54"/>
  <c r="K100" i="54"/>
  <c r="J100" i="54"/>
  <c r="H100" i="54"/>
  <c r="G100" i="54"/>
  <c r="F100" i="54"/>
  <c r="E100" i="54"/>
  <c r="D100" i="54"/>
  <c r="C100" i="54"/>
  <c r="G99" i="54"/>
  <c r="G92" i="54" s="1"/>
  <c r="J95" i="54"/>
  <c r="J93" i="54"/>
  <c r="K92" i="54"/>
  <c r="H92" i="54"/>
  <c r="F92" i="54"/>
  <c r="E92" i="54"/>
  <c r="D92" i="54"/>
  <c r="C92" i="54"/>
  <c r="K90" i="54"/>
  <c r="J90" i="54"/>
  <c r="H90" i="54"/>
  <c r="G90" i="54"/>
  <c r="F90" i="54"/>
  <c r="E90" i="54"/>
  <c r="D90" i="54"/>
  <c r="C90" i="54"/>
  <c r="E85" i="54"/>
  <c r="C85" i="54"/>
  <c r="E84" i="54"/>
  <c r="E83" i="54" s="1"/>
  <c r="C84" i="54"/>
  <c r="K83" i="54"/>
  <c r="J83" i="54"/>
  <c r="H83" i="54"/>
  <c r="G83" i="54"/>
  <c r="F83" i="54"/>
  <c r="D83" i="54"/>
  <c r="J79" i="54"/>
  <c r="J77" i="54"/>
  <c r="K76" i="54"/>
  <c r="H76" i="54"/>
  <c r="G76" i="54"/>
  <c r="F76" i="54"/>
  <c r="E76" i="54"/>
  <c r="D76" i="54"/>
  <c r="C76" i="54"/>
  <c r="K73" i="54"/>
  <c r="J73" i="54"/>
  <c r="H73" i="54"/>
  <c r="G73" i="54"/>
  <c r="F73" i="54"/>
  <c r="E73" i="54"/>
  <c r="D73" i="54"/>
  <c r="C73" i="54"/>
  <c r="K67" i="54"/>
  <c r="J67" i="54"/>
  <c r="H67" i="54"/>
  <c r="H66" i="54" s="1"/>
  <c r="G67" i="54"/>
  <c r="G66" i="54" s="1"/>
  <c r="F67" i="54"/>
  <c r="F66" i="54" s="1"/>
  <c r="E67" i="54"/>
  <c r="E66" i="54" s="1"/>
  <c r="D67" i="54"/>
  <c r="D66" i="54" s="1"/>
  <c r="C67" i="54"/>
  <c r="C66" i="54" s="1"/>
  <c r="J65" i="54"/>
  <c r="J63" i="54" s="1"/>
  <c r="K63" i="54"/>
  <c r="H63" i="54"/>
  <c r="G63" i="54"/>
  <c r="F63" i="54"/>
  <c r="F52" i="54" s="1"/>
  <c r="E63" i="54"/>
  <c r="E52" i="54" s="1"/>
  <c r="D63" i="54"/>
  <c r="D52" i="54" s="1"/>
  <c r="C63" i="54"/>
  <c r="C52" i="54" s="1"/>
  <c r="J61" i="54"/>
  <c r="K53" i="54"/>
  <c r="K52" i="54" s="1"/>
  <c r="H53" i="54"/>
  <c r="G53" i="54"/>
  <c r="F53" i="54"/>
  <c r="E53" i="54"/>
  <c r="D53" i="54"/>
  <c r="C53" i="54"/>
  <c r="K49" i="54"/>
  <c r="J49" i="54"/>
  <c r="H49" i="54"/>
  <c r="G49" i="54"/>
  <c r="F49" i="54"/>
  <c r="E49" i="54"/>
  <c r="D49" i="54"/>
  <c r="C49" i="54"/>
  <c r="K44" i="54"/>
  <c r="J44" i="54"/>
  <c r="H44" i="54"/>
  <c r="G44" i="54"/>
  <c r="F44" i="54"/>
  <c r="E44" i="54"/>
  <c r="D44" i="54"/>
  <c r="C44" i="54"/>
  <c r="K42" i="54"/>
  <c r="J42" i="54"/>
  <c r="H42" i="54"/>
  <c r="G42" i="54"/>
  <c r="F42" i="54"/>
  <c r="E42" i="54"/>
  <c r="D42" i="54"/>
  <c r="C42" i="54"/>
  <c r="J39" i="54"/>
  <c r="C38" i="54"/>
  <c r="J37" i="54"/>
  <c r="K36" i="54"/>
  <c r="H36" i="54"/>
  <c r="G36" i="54"/>
  <c r="F36" i="54"/>
  <c r="E36" i="54"/>
  <c r="D36" i="54"/>
  <c r="C36" i="54"/>
  <c r="K28" i="54"/>
  <c r="J28" i="54"/>
  <c r="H28" i="54"/>
  <c r="G28" i="54"/>
  <c r="F28" i="54"/>
  <c r="E28" i="54"/>
  <c r="D28" i="54"/>
  <c r="C28" i="54"/>
  <c r="K24" i="54"/>
  <c r="J24" i="54"/>
  <c r="H24" i="54"/>
  <c r="G24" i="54"/>
  <c r="F24" i="54"/>
  <c r="E24" i="54"/>
  <c r="D24" i="54"/>
  <c r="C24" i="54"/>
  <c r="K17" i="54"/>
  <c r="K16" i="54" s="1"/>
  <c r="J17" i="54"/>
  <c r="J16" i="54" s="1"/>
  <c r="H17" i="54"/>
  <c r="G17" i="54"/>
  <c r="G16" i="54" s="1"/>
  <c r="F17" i="54"/>
  <c r="F16" i="54" s="1"/>
  <c r="E17" i="54"/>
  <c r="E16" i="54" s="1"/>
  <c r="D17" i="54"/>
  <c r="D16" i="54" s="1"/>
  <c r="C17" i="54"/>
  <c r="C16" i="54" s="1"/>
  <c r="H16" i="54" l="1"/>
  <c r="J231" i="54"/>
  <c r="J183" i="54"/>
  <c r="J210" i="54"/>
  <c r="K183" i="54"/>
  <c r="K34" i="54"/>
  <c r="J76" i="54"/>
  <c r="J66" i="54" s="1"/>
  <c r="J36" i="54"/>
  <c r="J34" i="54" s="1"/>
  <c r="J53" i="54"/>
  <c r="J52" i="54" s="1"/>
  <c r="C83" i="54"/>
  <c r="C82" i="54" s="1"/>
  <c r="J134" i="54"/>
  <c r="J123" i="54" s="1"/>
  <c r="J92" i="54"/>
  <c r="J82" i="54" s="1"/>
  <c r="J272" i="54"/>
  <c r="E159" i="54"/>
  <c r="D140" i="54"/>
  <c r="F140" i="54"/>
  <c r="G140" i="54"/>
  <c r="D183" i="54"/>
  <c r="G183" i="54"/>
  <c r="E183" i="54"/>
  <c r="D82" i="54"/>
  <c r="H52" i="54"/>
  <c r="D34" i="54"/>
  <c r="H34" i="54"/>
  <c r="G159" i="54"/>
  <c r="E82" i="54"/>
  <c r="F82" i="54"/>
  <c r="K82" i="54"/>
  <c r="C174" i="54"/>
  <c r="C231" i="54"/>
  <c r="C34" i="54"/>
  <c r="G210" i="54"/>
  <c r="E210" i="54"/>
  <c r="K66" i="54"/>
  <c r="H82" i="54"/>
  <c r="E123" i="54"/>
  <c r="D123" i="54"/>
  <c r="H123" i="54"/>
  <c r="G123" i="54"/>
  <c r="J140" i="54"/>
  <c r="C210" i="54"/>
  <c r="E34" i="54"/>
  <c r="G231" i="54"/>
  <c r="E231" i="54"/>
  <c r="F109" i="54"/>
  <c r="C123" i="54"/>
  <c r="F34" i="54"/>
  <c r="G82" i="54"/>
  <c r="F183" i="54"/>
  <c r="G34" i="54"/>
  <c r="G52" i="54"/>
  <c r="F123" i="54"/>
  <c r="K140" i="54"/>
  <c r="E140" i="54"/>
  <c r="D14" i="54" l="1"/>
  <c r="G14" i="54"/>
  <c r="J14" i="54"/>
  <c r="H14" i="54"/>
  <c r="E14" i="54"/>
  <c r="C14" i="54"/>
  <c r="K14" i="54"/>
  <c r="F14" i="54"/>
  <c r="D23" i="53" l="1"/>
  <c r="C23" i="53"/>
  <c r="E16" i="53"/>
  <c r="C16" i="53"/>
  <c r="D16" i="53"/>
  <c r="E23" i="53" l="1"/>
  <c r="E14" i="53" s="1"/>
  <c r="D14" i="53"/>
  <c r="C14" i="53"/>
  <c r="E16" i="36" l="1"/>
  <c r="J42" i="47" l="1"/>
  <c r="J38" i="47"/>
  <c r="J34" i="47"/>
  <c r="J30" i="47"/>
  <c r="J24" i="47"/>
  <c r="J17" i="47"/>
  <c r="J29" i="47" l="1"/>
  <c r="J16" i="47"/>
  <c r="G183" i="41"/>
  <c r="H53" i="14" l="1"/>
  <c r="K25" i="46" l="1"/>
  <c r="J25" i="46"/>
  <c r="E108" i="23"/>
  <c r="C108" i="23"/>
  <c r="C107" i="23" s="1"/>
  <c r="G59" i="17" l="1"/>
  <c r="E59" i="17"/>
  <c r="E54" i="17" s="1"/>
  <c r="G216" i="41" l="1"/>
  <c r="G202" i="41" s="1"/>
  <c r="K44" i="49" l="1"/>
  <c r="J44" i="49"/>
  <c r="F44" i="49" l="1"/>
  <c r="F43" i="49" s="1"/>
  <c r="F42" i="49" s="1"/>
  <c r="E44" i="49"/>
  <c r="E43" i="49" s="1"/>
  <c r="E42" i="49" s="1"/>
  <c r="F39" i="49"/>
  <c r="F38" i="49" s="1"/>
  <c r="E39" i="49"/>
  <c r="E38" i="49" s="1"/>
  <c r="F33" i="49"/>
  <c r="F35" i="49"/>
  <c r="F36" i="49"/>
  <c r="F37" i="49"/>
  <c r="F32" i="49"/>
  <c r="E37" i="49"/>
  <c r="F28" i="49"/>
  <c r="F29" i="49"/>
  <c r="F30" i="49"/>
  <c r="F27" i="49"/>
  <c r="E29" i="49"/>
  <c r="E30" i="49"/>
  <c r="F14" i="49"/>
  <c r="F13" i="49" s="1"/>
  <c r="R26" i="49"/>
  <c r="N26" i="49"/>
  <c r="M26" i="49"/>
  <c r="I26" i="49"/>
  <c r="R15" i="49"/>
  <c r="P15" i="49"/>
  <c r="N15" i="49"/>
  <c r="M15" i="49"/>
  <c r="I15" i="49"/>
  <c r="F15" i="49" l="1"/>
  <c r="F31" i="49"/>
  <c r="F26" i="49"/>
  <c r="K36" i="49"/>
  <c r="E36" i="49" s="1"/>
  <c r="J36" i="49"/>
  <c r="M31" i="49"/>
  <c r="K35" i="49"/>
  <c r="E35" i="49" s="1"/>
  <c r="J35" i="49"/>
  <c r="K34" i="49"/>
  <c r="E34" i="49" s="1"/>
  <c r="J34" i="49"/>
  <c r="K33" i="49"/>
  <c r="E33" i="49" s="1"/>
  <c r="J33" i="49"/>
  <c r="K32" i="49"/>
  <c r="E32" i="49" s="1"/>
  <c r="J32" i="49"/>
  <c r="K28" i="49"/>
  <c r="E28" i="49" s="1"/>
  <c r="J28" i="49"/>
  <c r="K27" i="49"/>
  <c r="J27" i="49"/>
  <c r="K18" i="49"/>
  <c r="E18" i="49" s="1"/>
  <c r="J18" i="49"/>
  <c r="K17" i="49"/>
  <c r="E17" i="49" s="1"/>
  <c r="J17" i="49"/>
  <c r="K16" i="49"/>
  <c r="K14" i="49"/>
  <c r="E14" i="49" s="1"/>
  <c r="E13" i="49" s="1"/>
  <c r="J14" i="49"/>
  <c r="J16" i="49"/>
  <c r="J15" i="49" l="1"/>
  <c r="J26" i="49"/>
  <c r="E31" i="49"/>
  <c r="E16" i="49"/>
  <c r="E15" i="49" s="1"/>
  <c r="K15" i="49"/>
  <c r="E27" i="49"/>
  <c r="E26" i="49" s="1"/>
  <c r="K26" i="49"/>
  <c r="F12" i="49"/>
  <c r="F10" i="49" s="1"/>
  <c r="G218" i="31"/>
  <c r="G171" i="31"/>
  <c r="G165" i="31"/>
  <c r="G159" i="31"/>
  <c r="E159" i="31"/>
  <c r="G154" i="31"/>
  <c r="G139" i="31"/>
  <c r="E82" i="31"/>
  <c r="G82" i="31"/>
  <c r="G77" i="31"/>
  <c r="G72" i="31"/>
  <c r="E72" i="31"/>
  <c r="G51" i="31"/>
  <c r="E51" i="31"/>
  <c r="G16" i="31"/>
  <c r="E248" i="31"/>
  <c r="E245" i="31"/>
  <c r="E200" i="31"/>
  <c r="E191" i="31"/>
  <c r="E183" i="31"/>
  <c r="E182" i="31"/>
  <c r="E147" i="31"/>
  <c r="E139" i="31" s="1"/>
  <c r="E171" i="31" l="1"/>
  <c r="E218" i="31"/>
  <c r="E12" i="49"/>
  <c r="E10" i="49" s="1"/>
  <c r="G24" i="31"/>
  <c r="G15" i="31" s="1"/>
  <c r="E35" i="31"/>
  <c r="E25" i="31" s="1"/>
  <c r="E23" i="31"/>
  <c r="E16" i="31" s="1"/>
  <c r="E20" i="42" l="1"/>
  <c r="E19" i="42"/>
  <c r="E18" i="42"/>
  <c r="C18" i="42"/>
  <c r="E17" i="42"/>
  <c r="E53" i="44" l="1"/>
  <c r="E51" i="44"/>
  <c r="D50" i="44"/>
  <c r="C50" i="44"/>
  <c r="E39" i="44"/>
  <c r="E29" i="44"/>
  <c r="E17" i="39"/>
  <c r="C17" i="39"/>
  <c r="C16" i="39" s="1"/>
  <c r="D16" i="35"/>
  <c r="C16" i="35"/>
  <c r="E27" i="35"/>
  <c r="E23" i="35"/>
  <c r="G196" i="41"/>
  <c r="F280" i="41"/>
  <c r="G180" i="41"/>
  <c r="C180" i="41"/>
  <c r="G179" i="41"/>
  <c r="C179" i="41"/>
  <c r="G137" i="41"/>
  <c r="C137" i="41"/>
  <c r="C134" i="41"/>
  <c r="G132" i="41"/>
  <c r="C132" i="41"/>
  <c r="G115" i="41"/>
  <c r="C115" i="41"/>
  <c r="G114" i="41"/>
  <c r="C114" i="41"/>
  <c r="G112" i="41"/>
  <c r="C112" i="41"/>
  <c r="G111" i="41"/>
  <c r="C111" i="41"/>
  <c r="D16" i="41"/>
  <c r="G20" i="41"/>
  <c r="G16" i="41" s="1"/>
  <c r="C20" i="41"/>
  <c r="D25" i="46"/>
  <c r="E25" i="46"/>
  <c r="F25" i="46"/>
  <c r="H25" i="46"/>
  <c r="C25" i="46"/>
  <c r="C17" i="46"/>
  <c r="C17" i="20"/>
  <c r="D17" i="20"/>
  <c r="E17" i="20"/>
  <c r="G17" i="20"/>
  <c r="C17" i="40"/>
  <c r="D17" i="40"/>
  <c r="G17" i="40"/>
  <c r="E27" i="40"/>
  <c r="E17" i="40" s="1"/>
  <c r="E23" i="37"/>
  <c r="D21" i="37"/>
  <c r="D16" i="37" s="1"/>
  <c r="C21" i="37"/>
  <c r="C16" i="37" s="1"/>
  <c r="E16" i="37" l="1"/>
  <c r="E16" i="35"/>
  <c r="G28" i="43"/>
  <c r="E28" i="43"/>
  <c r="D28" i="43"/>
  <c r="C28" i="43"/>
  <c r="N43" i="49" l="1"/>
  <c r="N42" i="49" s="1"/>
  <c r="M43" i="49"/>
  <c r="M42" i="49" s="1"/>
  <c r="I43" i="49"/>
  <c r="I42" i="49" s="1"/>
  <c r="R43" i="49"/>
  <c r="R42" i="49" s="1"/>
  <c r="P43" i="49"/>
  <c r="P42" i="49" s="1"/>
  <c r="K43" i="49"/>
  <c r="K42" i="49" s="1"/>
  <c r="J43" i="49"/>
  <c r="J42" i="49" s="1"/>
  <c r="Q42" i="49"/>
  <c r="O42" i="49"/>
  <c r="N38" i="49"/>
  <c r="M38" i="49"/>
  <c r="R38" i="49"/>
  <c r="P38" i="49"/>
  <c r="K38" i="49"/>
  <c r="J38" i="49"/>
  <c r="I38" i="49"/>
  <c r="P34" i="49"/>
  <c r="R31" i="49"/>
  <c r="K31" i="49"/>
  <c r="J31" i="49"/>
  <c r="P26" i="49"/>
  <c r="R13" i="49"/>
  <c r="P13" i="49"/>
  <c r="K13" i="49"/>
  <c r="J13" i="49"/>
  <c r="J12" i="49" l="1"/>
  <c r="J10" i="49" s="1"/>
  <c r="P31" i="49"/>
  <c r="P12" i="49" s="1"/>
  <c r="P10" i="49" s="1"/>
  <c r="I31" i="49"/>
  <c r="N31" i="49"/>
  <c r="K12" i="49"/>
  <c r="K10" i="49" s="1"/>
  <c r="I13" i="49"/>
  <c r="N13" i="49"/>
  <c r="M13" i="49"/>
  <c r="M12" i="49" s="1"/>
  <c r="R12" i="49"/>
  <c r="R10" i="49" s="1"/>
  <c r="N12" i="49" l="1"/>
  <c r="N10" i="49" s="1"/>
  <c r="M10" i="49"/>
  <c r="I12" i="49"/>
  <c r="I10" i="49" l="1"/>
  <c r="D60" i="47"/>
  <c r="E60" i="47"/>
  <c r="F60" i="47"/>
  <c r="G60" i="47"/>
  <c r="H60" i="47"/>
  <c r="J60" i="47"/>
  <c r="K60" i="47"/>
  <c r="C60" i="47"/>
  <c r="G56" i="47"/>
  <c r="G55" i="47" s="1"/>
  <c r="K55" i="47"/>
  <c r="H55" i="47"/>
  <c r="F55" i="47"/>
  <c r="E55" i="47"/>
  <c r="D55" i="47"/>
  <c r="C55" i="47"/>
  <c r="K51" i="47"/>
  <c r="J51" i="47"/>
  <c r="H51" i="47"/>
  <c r="G51" i="47"/>
  <c r="F51" i="47"/>
  <c r="E51" i="47"/>
  <c r="D51" i="47"/>
  <c r="C51" i="47"/>
  <c r="K47" i="47"/>
  <c r="J47" i="47"/>
  <c r="J46" i="47" s="1"/>
  <c r="H47" i="47"/>
  <c r="H46" i="47" s="1"/>
  <c r="G47" i="47"/>
  <c r="G46" i="47" s="1"/>
  <c r="F47" i="47"/>
  <c r="E47" i="47"/>
  <c r="E46" i="47" s="1"/>
  <c r="D47" i="47"/>
  <c r="D46" i="47" s="1"/>
  <c r="C47" i="47"/>
  <c r="C46" i="47" s="1"/>
  <c r="K46" i="47"/>
  <c r="F46" i="47"/>
  <c r="K42" i="47"/>
  <c r="H42" i="47"/>
  <c r="H29" i="47" s="1"/>
  <c r="G42" i="47"/>
  <c r="F42" i="47"/>
  <c r="E42" i="47"/>
  <c r="D42" i="47"/>
  <c r="C42" i="47"/>
  <c r="K38" i="47"/>
  <c r="H38" i="47"/>
  <c r="G38" i="47"/>
  <c r="F38" i="47"/>
  <c r="E38" i="47"/>
  <c r="D38" i="47"/>
  <c r="C38" i="47"/>
  <c r="K34" i="47"/>
  <c r="H34" i="47"/>
  <c r="G34" i="47"/>
  <c r="F34" i="47"/>
  <c r="E34" i="47"/>
  <c r="D34" i="47"/>
  <c r="C34" i="47"/>
  <c r="K30" i="47"/>
  <c r="H30" i="47"/>
  <c r="G30" i="47"/>
  <c r="F30" i="47"/>
  <c r="E30" i="47"/>
  <c r="D30" i="47"/>
  <c r="C30" i="47"/>
  <c r="K24" i="47"/>
  <c r="H24" i="47"/>
  <c r="G24" i="47"/>
  <c r="F24" i="47"/>
  <c r="E24" i="47"/>
  <c r="D24" i="47"/>
  <c r="C24" i="47"/>
  <c r="K17" i="47"/>
  <c r="H17" i="47"/>
  <c r="G17" i="47"/>
  <c r="F17" i="47"/>
  <c r="E17" i="47"/>
  <c r="D17" i="47"/>
  <c r="C17" i="47"/>
  <c r="E16" i="47" l="1"/>
  <c r="K16" i="47"/>
  <c r="F29" i="47"/>
  <c r="J15" i="47"/>
  <c r="C16" i="47"/>
  <c r="G16" i="47"/>
  <c r="D29" i="47"/>
  <c r="D16" i="47"/>
  <c r="D15" i="47" s="1"/>
  <c r="F16" i="47"/>
  <c r="F15" i="47" s="1"/>
  <c r="H16" i="47"/>
  <c r="H15" i="47" s="1"/>
  <c r="C29" i="47"/>
  <c r="E29" i="47"/>
  <c r="E15" i="47" s="1"/>
  <c r="G29" i="47"/>
  <c r="K29" i="47"/>
  <c r="C15" i="47"/>
  <c r="C88" i="36"/>
  <c r="D72" i="36"/>
  <c r="E72" i="36"/>
  <c r="C72" i="36"/>
  <c r="C49" i="36"/>
  <c r="D49" i="36"/>
  <c r="E54" i="36"/>
  <c r="E49" i="36" s="1"/>
  <c r="K15" i="47" l="1"/>
  <c r="G15" i="47"/>
  <c r="E40" i="36"/>
  <c r="D40" i="36"/>
  <c r="C40" i="36"/>
  <c r="E38" i="36"/>
  <c r="D38" i="36"/>
  <c r="C38" i="36"/>
  <c r="E30" i="36"/>
  <c r="E29" i="36" l="1"/>
  <c r="D29" i="36"/>
  <c r="C29" i="36"/>
  <c r="G16" i="45"/>
  <c r="D54" i="17" l="1"/>
  <c r="C54" i="17"/>
  <c r="G31" i="46" l="1"/>
  <c r="G25" i="46" s="1"/>
  <c r="E16" i="46"/>
  <c r="C16" i="46"/>
  <c r="H16" i="45"/>
  <c r="F16" i="45"/>
  <c r="E16" i="45"/>
  <c r="D16" i="45"/>
  <c r="C16" i="45"/>
  <c r="C51" i="44"/>
  <c r="C53" i="44"/>
  <c r="E46" i="44"/>
  <c r="D46" i="44"/>
  <c r="C36" i="44"/>
  <c r="E37" i="44"/>
  <c r="E36" i="44" s="1"/>
  <c r="G36" i="44"/>
  <c r="D36" i="44"/>
  <c r="C27" i="44"/>
  <c r="G24" i="44"/>
  <c r="E24" i="44"/>
  <c r="D24" i="44"/>
  <c r="E16" i="44"/>
  <c r="D16" i="44"/>
  <c r="E16" i="43"/>
  <c r="D16" i="43"/>
  <c r="C16" i="43"/>
  <c r="C39" i="42"/>
  <c r="C38" i="42"/>
  <c r="C34" i="42"/>
  <c r="G33" i="42"/>
  <c r="E33" i="42"/>
  <c r="D33" i="42"/>
  <c r="D22" i="42"/>
  <c r="C20" i="42"/>
  <c r="E16" i="42"/>
  <c r="C17" i="42"/>
  <c r="C16" i="42" s="1"/>
  <c r="G280" i="41"/>
  <c r="E280" i="41"/>
  <c r="D280" i="41"/>
  <c r="C280" i="41"/>
  <c r="C202" i="41"/>
  <c r="F202" i="41"/>
  <c r="E202" i="41"/>
  <c r="D202" i="41"/>
  <c r="G200" i="41"/>
  <c r="F200" i="41"/>
  <c r="E200" i="41"/>
  <c r="D200" i="41"/>
  <c r="C200" i="41"/>
  <c r="F196" i="41"/>
  <c r="E196" i="41"/>
  <c r="D196" i="41"/>
  <c r="C196" i="41"/>
  <c r="G193" i="41"/>
  <c r="F193" i="41"/>
  <c r="E193" i="41"/>
  <c r="D193" i="41"/>
  <c r="C193" i="41"/>
  <c r="F183" i="41"/>
  <c r="E183" i="41"/>
  <c r="D183" i="41"/>
  <c r="C183" i="41"/>
  <c r="G178" i="41"/>
  <c r="F178" i="41"/>
  <c r="E178" i="41"/>
  <c r="D178" i="41"/>
  <c r="C178" i="41"/>
  <c r="G174" i="41"/>
  <c r="F174" i="41"/>
  <c r="E174" i="41"/>
  <c r="D174" i="41"/>
  <c r="C174" i="41"/>
  <c r="C152" i="41"/>
  <c r="F152" i="41"/>
  <c r="G152" i="41"/>
  <c r="E152" i="41"/>
  <c r="D152" i="41"/>
  <c r="G148" i="41"/>
  <c r="F148" i="41"/>
  <c r="E148" i="41"/>
  <c r="D148" i="41"/>
  <c r="C148" i="41"/>
  <c r="F144" i="41"/>
  <c r="F142" i="41" s="1"/>
  <c r="G142" i="41"/>
  <c r="E142" i="41"/>
  <c r="D142" i="41"/>
  <c r="C142" i="41"/>
  <c r="G138" i="41"/>
  <c r="F138" i="41"/>
  <c r="E138" i="41"/>
  <c r="D138" i="41"/>
  <c r="C138" i="41"/>
  <c r="F130" i="41"/>
  <c r="G130" i="41"/>
  <c r="E130" i="41"/>
  <c r="D130" i="41"/>
  <c r="C130" i="41"/>
  <c r="I128" i="41"/>
  <c r="G128" i="41"/>
  <c r="F128" i="41"/>
  <c r="E128" i="41"/>
  <c r="D128" i="41"/>
  <c r="C128" i="41"/>
  <c r="G126" i="41"/>
  <c r="F126" i="41"/>
  <c r="E126" i="41"/>
  <c r="D126" i="41"/>
  <c r="C126" i="41"/>
  <c r="I124" i="41"/>
  <c r="G124" i="41"/>
  <c r="F124" i="41"/>
  <c r="E124" i="41"/>
  <c r="D124" i="41"/>
  <c r="C124" i="41"/>
  <c r="G116" i="41"/>
  <c r="F116" i="41"/>
  <c r="E116" i="41"/>
  <c r="D116" i="41"/>
  <c r="C116" i="41"/>
  <c r="G109" i="41"/>
  <c r="E109" i="41"/>
  <c r="D109" i="41"/>
  <c r="C109" i="41"/>
  <c r="G98" i="41"/>
  <c r="F98" i="41"/>
  <c r="E98" i="41"/>
  <c r="D98" i="41"/>
  <c r="C98" i="41"/>
  <c r="G77" i="41"/>
  <c r="F77" i="41"/>
  <c r="E77" i="41"/>
  <c r="D77" i="41"/>
  <c r="C77" i="41"/>
  <c r="G65" i="41"/>
  <c r="F65" i="41"/>
  <c r="E65" i="41"/>
  <c r="D65" i="41"/>
  <c r="C65" i="41"/>
  <c r="F56" i="41"/>
  <c r="F47" i="41" s="1"/>
  <c r="G47" i="41"/>
  <c r="E47" i="41"/>
  <c r="D47" i="41"/>
  <c r="C47" i="41"/>
  <c r="F41" i="41"/>
  <c r="G41" i="41"/>
  <c r="E41" i="41"/>
  <c r="D41" i="41"/>
  <c r="C41" i="41"/>
  <c r="G38" i="41"/>
  <c r="F38" i="41"/>
  <c r="E38" i="41"/>
  <c r="D38" i="41"/>
  <c r="C38" i="41"/>
  <c r="F34" i="41"/>
  <c r="G34" i="41"/>
  <c r="E34" i="41"/>
  <c r="D34" i="41"/>
  <c r="C34" i="41"/>
  <c r="F26" i="41"/>
  <c r="G26" i="41"/>
  <c r="E26" i="41"/>
  <c r="D26" i="41"/>
  <c r="C26" i="41"/>
  <c r="F16" i="41"/>
  <c r="C17" i="41"/>
  <c r="C19" i="41"/>
  <c r="E16" i="41"/>
  <c r="D16" i="39"/>
  <c r="G16" i="39"/>
  <c r="E16" i="39"/>
  <c r="D52" i="38"/>
  <c r="C52" i="38"/>
  <c r="E27" i="38"/>
  <c r="D27" i="38"/>
  <c r="C20" i="38"/>
  <c r="C16" i="38" s="1"/>
  <c r="E16" i="38"/>
  <c r="D16" i="38"/>
  <c r="G88" i="36"/>
  <c r="E88" i="36"/>
  <c r="D88" i="36"/>
  <c r="D16" i="36"/>
  <c r="C16" i="36"/>
  <c r="G264" i="31"/>
  <c r="E264" i="31"/>
  <c r="D264" i="31"/>
  <c r="C264" i="31"/>
  <c r="G257" i="31"/>
  <c r="E257" i="31"/>
  <c r="D257" i="31"/>
  <c r="C257" i="31"/>
  <c r="C228" i="31"/>
  <c r="D227" i="31"/>
  <c r="C227" i="31"/>
  <c r="D225" i="31"/>
  <c r="C225" i="31"/>
  <c r="D224" i="31"/>
  <c r="C224" i="31"/>
  <c r="D206" i="31"/>
  <c r="C206" i="31"/>
  <c r="D202" i="31"/>
  <c r="D171" i="31" s="1"/>
  <c r="C202" i="31"/>
  <c r="C171" i="31" s="1"/>
  <c r="E165" i="31"/>
  <c r="D165" i="31"/>
  <c r="C165" i="31"/>
  <c r="D159" i="31"/>
  <c r="C159" i="31"/>
  <c r="E154" i="31"/>
  <c r="D154" i="31"/>
  <c r="C154" i="31"/>
  <c r="D139" i="31"/>
  <c r="C139" i="31"/>
  <c r="D82" i="31"/>
  <c r="C82" i="31"/>
  <c r="E77" i="31"/>
  <c r="D77" i="31"/>
  <c r="D72" i="31"/>
  <c r="C72" i="31"/>
  <c r="D51" i="31"/>
  <c r="C51" i="31"/>
  <c r="C33" i="31"/>
  <c r="C25" i="31" s="1"/>
  <c r="D25" i="31"/>
  <c r="D16" i="31"/>
  <c r="C16" i="31"/>
  <c r="G16" i="29"/>
  <c r="E16" i="29"/>
  <c r="D16" i="29"/>
  <c r="C16" i="29"/>
  <c r="G16" i="26"/>
  <c r="E16" i="26"/>
  <c r="D16" i="26"/>
  <c r="C16" i="26"/>
  <c r="I15" i="41" l="1"/>
  <c r="I14" i="41" s="1"/>
  <c r="C46" i="44"/>
  <c r="C33" i="42"/>
  <c r="D16" i="42"/>
  <c r="E24" i="31"/>
  <c r="E15" i="31" s="1"/>
  <c r="G15" i="41"/>
  <c r="G14" i="41" s="1"/>
  <c r="D24" i="31"/>
  <c r="C24" i="31"/>
  <c r="D218" i="31"/>
  <c r="C218" i="31"/>
  <c r="C24" i="44"/>
  <c r="C16" i="41"/>
  <c r="E15" i="41"/>
  <c r="E14" i="41" s="1"/>
  <c r="F109" i="41"/>
  <c r="F15" i="41" s="1"/>
  <c r="F14" i="41" s="1"/>
  <c r="D15" i="41"/>
  <c r="D14" i="41" s="1"/>
  <c r="C15" i="41" l="1"/>
  <c r="C14" i="41" s="1"/>
  <c r="C15" i="31"/>
  <c r="D15" i="31"/>
  <c r="E109" i="23"/>
  <c r="E99" i="23"/>
  <c r="E83" i="23"/>
  <c r="E82" i="23" s="1"/>
  <c r="E38" i="23"/>
  <c r="E36" i="23" s="1"/>
  <c r="E107" i="23" l="1"/>
  <c r="G54" i="15"/>
  <c r="D15" i="19" l="1"/>
  <c r="E15" i="19"/>
  <c r="C17" i="19"/>
  <c r="C15" i="19" s="1"/>
  <c r="C28" i="19"/>
  <c r="D28" i="19"/>
  <c r="E28" i="19"/>
  <c r="G28" i="19"/>
  <c r="C35" i="19"/>
  <c r="D35" i="19"/>
  <c r="E35" i="19"/>
  <c r="C15" i="18"/>
  <c r="D15" i="18"/>
  <c r="D23" i="18"/>
  <c r="E23" i="18"/>
  <c r="G23" i="18"/>
  <c r="C24" i="18"/>
  <c r="C23" i="18" s="1"/>
  <c r="D30" i="18"/>
  <c r="E30" i="18"/>
  <c r="C31" i="18"/>
  <c r="C30" i="18" s="1"/>
  <c r="D39" i="18"/>
  <c r="E39" i="18"/>
  <c r="C40" i="18"/>
  <c r="C39" i="18" s="1"/>
  <c r="D47" i="18"/>
  <c r="C48" i="18"/>
  <c r="E48" i="18"/>
  <c r="E47" i="18" s="1"/>
  <c r="C51" i="18"/>
  <c r="D57" i="18"/>
  <c r="E57" i="18"/>
  <c r="C58" i="18"/>
  <c r="C57" i="18" s="1"/>
  <c r="C16" i="17"/>
  <c r="D16" i="17"/>
  <c r="E16" i="17"/>
  <c r="G16" i="17"/>
  <c r="C39" i="17"/>
  <c r="D39" i="17"/>
  <c r="C47" i="17"/>
  <c r="D47" i="17"/>
  <c r="E47" i="17"/>
  <c r="D15" i="16"/>
  <c r="E15" i="16"/>
  <c r="G15" i="16"/>
  <c r="C15" i="16"/>
  <c r="C21" i="16"/>
  <c r="D21" i="16"/>
  <c r="E21" i="16"/>
  <c r="G21" i="16"/>
  <c r="C29" i="16"/>
  <c r="D29" i="16"/>
  <c r="E29" i="16"/>
  <c r="G29" i="16"/>
  <c r="C35" i="16"/>
  <c r="D35" i="16"/>
  <c r="E35" i="16"/>
  <c r="G35" i="16"/>
  <c r="C43" i="16"/>
  <c r="D43" i="16"/>
  <c r="G43" i="16"/>
  <c r="E44" i="16"/>
  <c r="E47" i="16"/>
  <c r="C57" i="16"/>
  <c r="D57" i="16"/>
  <c r="E57" i="16"/>
  <c r="G57" i="16"/>
  <c r="C65" i="16"/>
  <c r="D65" i="16"/>
  <c r="E65" i="16"/>
  <c r="G65" i="16"/>
  <c r="C16" i="15"/>
  <c r="D16" i="15"/>
  <c r="E16" i="15"/>
  <c r="C47" i="18" l="1"/>
  <c r="E43" i="16"/>
  <c r="K229" i="14" l="1"/>
  <c r="J229" i="14"/>
  <c r="H229" i="14"/>
  <c r="G229" i="14"/>
  <c r="F229" i="14"/>
  <c r="E229" i="14"/>
  <c r="D229" i="14"/>
  <c r="C229" i="14"/>
  <c r="K223" i="14"/>
  <c r="J223" i="14"/>
  <c r="H223" i="14"/>
  <c r="G223" i="14"/>
  <c r="F223" i="14"/>
  <c r="E223" i="14"/>
  <c r="D223" i="14"/>
  <c r="C223" i="14"/>
  <c r="K217" i="14"/>
  <c r="K216" i="14" s="1"/>
  <c r="J217" i="14"/>
  <c r="J216" i="14" s="1"/>
  <c r="H217" i="14"/>
  <c r="G217" i="14"/>
  <c r="F217" i="14"/>
  <c r="E217" i="14"/>
  <c r="D217" i="14"/>
  <c r="C217" i="14"/>
  <c r="K212" i="14"/>
  <c r="J212" i="14"/>
  <c r="H212" i="14"/>
  <c r="G212" i="14"/>
  <c r="F212" i="14"/>
  <c r="E212" i="14"/>
  <c r="D212" i="14"/>
  <c r="C212" i="14"/>
  <c r="K209" i="14"/>
  <c r="J209" i="14"/>
  <c r="H209" i="14"/>
  <c r="G209" i="14"/>
  <c r="F209" i="14"/>
  <c r="E209" i="14"/>
  <c r="D209" i="14"/>
  <c r="C209" i="14"/>
  <c r="K207" i="14"/>
  <c r="K204" i="14" s="1"/>
  <c r="J207" i="14"/>
  <c r="J204" i="14" s="1"/>
  <c r="H207" i="14"/>
  <c r="H204" i="14" s="1"/>
  <c r="G207" i="14"/>
  <c r="G204" i="14" s="1"/>
  <c r="F207" i="14"/>
  <c r="F204" i="14" s="1"/>
  <c r="E207" i="14"/>
  <c r="E204" i="14" s="1"/>
  <c r="D207" i="14"/>
  <c r="D204" i="14" s="1"/>
  <c r="C207" i="14"/>
  <c r="C204" i="14" s="1"/>
  <c r="H188" i="14"/>
  <c r="F188" i="14"/>
  <c r="E188" i="14"/>
  <c r="D188" i="14"/>
  <c r="C188" i="14"/>
  <c r="K184" i="14"/>
  <c r="H184" i="14"/>
  <c r="G184" i="14"/>
  <c r="F184" i="14"/>
  <c r="E184" i="14"/>
  <c r="D184" i="14"/>
  <c r="C184" i="14"/>
  <c r="K179" i="14"/>
  <c r="H179" i="14"/>
  <c r="G179" i="14"/>
  <c r="F179" i="14"/>
  <c r="E179" i="14"/>
  <c r="D179" i="14"/>
  <c r="C179" i="14"/>
  <c r="K175" i="14"/>
  <c r="H175" i="14"/>
  <c r="G175" i="14"/>
  <c r="F175" i="14"/>
  <c r="E175" i="14"/>
  <c r="D175" i="14"/>
  <c r="C175" i="14"/>
  <c r="K171" i="14"/>
  <c r="H171" i="14"/>
  <c r="G171" i="14"/>
  <c r="F171" i="14"/>
  <c r="E171" i="14"/>
  <c r="D171" i="14"/>
  <c r="C171" i="14"/>
  <c r="K166" i="14"/>
  <c r="H166" i="14"/>
  <c r="G166" i="14"/>
  <c r="F166" i="14"/>
  <c r="E166" i="14"/>
  <c r="D166" i="14"/>
  <c r="C166" i="14"/>
  <c r="K161" i="14"/>
  <c r="H161" i="14"/>
  <c r="G161" i="14"/>
  <c r="F161" i="14"/>
  <c r="E161" i="14"/>
  <c r="D161" i="14"/>
  <c r="C161" i="14"/>
  <c r="K157" i="14"/>
  <c r="H157" i="14"/>
  <c r="G157" i="14"/>
  <c r="F157" i="14"/>
  <c r="E157" i="14"/>
  <c r="D157" i="14"/>
  <c r="C157" i="14"/>
  <c r="K153" i="14"/>
  <c r="H153" i="14"/>
  <c r="G153" i="14"/>
  <c r="F153" i="14"/>
  <c r="E153" i="14"/>
  <c r="D153" i="14"/>
  <c r="C153" i="14"/>
  <c r="K149" i="14"/>
  <c r="H149" i="14"/>
  <c r="G149" i="14"/>
  <c r="F149" i="14"/>
  <c r="E149" i="14"/>
  <c r="D149" i="14"/>
  <c r="C149" i="14"/>
  <c r="K147" i="14"/>
  <c r="H147" i="14"/>
  <c r="G147" i="14"/>
  <c r="F147" i="14"/>
  <c r="E147" i="14"/>
  <c r="D147" i="14"/>
  <c r="C147" i="14"/>
  <c r="K144" i="14"/>
  <c r="H144" i="14"/>
  <c r="G144" i="14"/>
  <c r="F144" i="14"/>
  <c r="E144" i="14"/>
  <c r="D144" i="14"/>
  <c r="C144" i="14"/>
  <c r="K140" i="14"/>
  <c r="H140" i="14"/>
  <c r="G140" i="14"/>
  <c r="F140" i="14"/>
  <c r="E140" i="14"/>
  <c r="D140" i="14"/>
  <c r="C140" i="14"/>
  <c r="K136" i="14"/>
  <c r="H136" i="14"/>
  <c r="G136" i="14"/>
  <c r="F136" i="14"/>
  <c r="E136" i="14"/>
  <c r="D136" i="14"/>
  <c r="C136" i="14"/>
  <c r="K133" i="14"/>
  <c r="H133" i="14"/>
  <c r="G133" i="14"/>
  <c r="F133" i="14"/>
  <c r="E133" i="14"/>
  <c r="D133" i="14"/>
  <c r="C133" i="14"/>
  <c r="K129" i="14"/>
  <c r="H129" i="14"/>
  <c r="G129" i="14"/>
  <c r="F129" i="14"/>
  <c r="E129" i="14"/>
  <c r="D129" i="14"/>
  <c r="C129" i="14"/>
  <c r="K125" i="14"/>
  <c r="H125" i="14"/>
  <c r="G125" i="14"/>
  <c r="F125" i="14"/>
  <c r="E125" i="14"/>
  <c r="D125" i="14"/>
  <c r="C125" i="14"/>
  <c r="K122" i="14"/>
  <c r="H122" i="14"/>
  <c r="G122" i="14"/>
  <c r="F122" i="14"/>
  <c r="E122" i="14"/>
  <c r="D122" i="14"/>
  <c r="C122" i="14"/>
  <c r="K119" i="14"/>
  <c r="H119" i="14"/>
  <c r="G119" i="14"/>
  <c r="F119" i="14"/>
  <c r="E119" i="14"/>
  <c r="D119" i="14"/>
  <c r="C119" i="14"/>
  <c r="K116" i="14"/>
  <c r="H116" i="14"/>
  <c r="G116" i="14"/>
  <c r="F116" i="14"/>
  <c r="E116" i="14"/>
  <c r="D116" i="14"/>
  <c r="C116" i="14"/>
  <c r="K114" i="14"/>
  <c r="J114" i="14"/>
  <c r="H114" i="14"/>
  <c r="G114" i="14"/>
  <c r="F114" i="14"/>
  <c r="E114" i="14"/>
  <c r="D114" i="14"/>
  <c r="C114" i="14"/>
  <c r="K108" i="14"/>
  <c r="H108" i="14"/>
  <c r="G108" i="14"/>
  <c r="F108" i="14"/>
  <c r="E108" i="14"/>
  <c r="D108" i="14"/>
  <c r="C108" i="14"/>
  <c r="K96" i="14"/>
  <c r="H96" i="14"/>
  <c r="G96" i="14"/>
  <c r="F96" i="14"/>
  <c r="E96" i="14"/>
  <c r="D96" i="14"/>
  <c r="C96" i="14"/>
  <c r="K90" i="14"/>
  <c r="H90" i="14"/>
  <c r="G90" i="14"/>
  <c r="F90" i="14"/>
  <c r="E90" i="14"/>
  <c r="D90" i="14"/>
  <c r="C90" i="14"/>
  <c r="K84" i="14"/>
  <c r="H84" i="14"/>
  <c r="G84" i="14"/>
  <c r="F84" i="14"/>
  <c r="E84" i="14"/>
  <c r="D84" i="14"/>
  <c r="C84" i="14"/>
  <c r="K77" i="14"/>
  <c r="H77" i="14"/>
  <c r="G77" i="14"/>
  <c r="F77" i="14"/>
  <c r="E77" i="14"/>
  <c r="D77" i="14"/>
  <c r="C77" i="14"/>
  <c r="K70" i="14"/>
  <c r="H70" i="14"/>
  <c r="G70" i="14"/>
  <c r="F70" i="14"/>
  <c r="E70" i="14"/>
  <c r="D70" i="14"/>
  <c r="C70" i="14"/>
  <c r="K64" i="14"/>
  <c r="H64" i="14"/>
  <c r="G64" i="14"/>
  <c r="F64" i="14"/>
  <c r="E64" i="14"/>
  <c r="D64" i="14"/>
  <c r="C64" i="14"/>
  <c r="K58" i="14"/>
  <c r="H58" i="14"/>
  <c r="G58" i="14"/>
  <c r="F58" i="14"/>
  <c r="E58" i="14"/>
  <c r="D58" i="14"/>
  <c r="C58" i="14"/>
  <c r="G53" i="14"/>
  <c r="F53" i="14"/>
  <c r="E53" i="14"/>
  <c r="D53" i="14"/>
  <c r="C53" i="14"/>
  <c r="K51" i="14"/>
  <c r="H51" i="14"/>
  <c r="G51" i="14"/>
  <c r="F51" i="14"/>
  <c r="E51" i="14"/>
  <c r="D51" i="14"/>
  <c r="C51" i="14"/>
  <c r="K46" i="14"/>
  <c r="H46" i="14"/>
  <c r="G46" i="14"/>
  <c r="F46" i="14"/>
  <c r="E46" i="14"/>
  <c r="D46" i="14"/>
  <c r="C46" i="14"/>
  <c r="K41" i="14"/>
  <c r="H41" i="14"/>
  <c r="G41" i="14"/>
  <c r="F41" i="14"/>
  <c r="E41" i="14"/>
  <c r="D41" i="14"/>
  <c r="C41" i="14"/>
  <c r="K35" i="14"/>
  <c r="H35" i="14"/>
  <c r="G35" i="14"/>
  <c r="F35" i="14"/>
  <c r="E35" i="14"/>
  <c r="D35" i="14"/>
  <c r="C35" i="14"/>
  <c r="K30" i="14"/>
  <c r="H30" i="14"/>
  <c r="G30" i="14"/>
  <c r="F30" i="14"/>
  <c r="E30" i="14"/>
  <c r="D30" i="14"/>
  <c r="C30" i="14"/>
  <c r="K26" i="14"/>
  <c r="H26" i="14"/>
  <c r="G26" i="14"/>
  <c r="F26" i="14"/>
  <c r="E26" i="14"/>
  <c r="D26" i="14"/>
  <c r="C26" i="14"/>
  <c r="K23" i="14"/>
  <c r="H23" i="14"/>
  <c r="G23" i="14"/>
  <c r="F23" i="14"/>
  <c r="E23" i="14"/>
  <c r="D23" i="14"/>
  <c r="C23" i="14"/>
  <c r="K20" i="14"/>
  <c r="H20" i="14"/>
  <c r="G20" i="14"/>
  <c r="F20" i="14"/>
  <c r="E20" i="14"/>
  <c r="D20" i="14"/>
  <c r="C20" i="14"/>
  <c r="K17" i="14"/>
  <c r="H17" i="14"/>
  <c r="G17" i="14"/>
  <c r="F17" i="14"/>
  <c r="E17" i="14"/>
  <c r="D17" i="14"/>
  <c r="C17" i="14"/>
  <c r="K102" i="14" l="1"/>
  <c r="J102" i="14"/>
  <c r="J15" i="14" s="1"/>
  <c r="K40" i="14"/>
  <c r="G16" i="14"/>
  <c r="K16" i="14"/>
  <c r="G40" i="14"/>
  <c r="G63" i="14"/>
  <c r="G102" i="14"/>
  <c r="F16" i="14"/>
  <c r="F63" i="14"/>
  <c r="H102" i="14"/>
  <c r="C16" i="14"/>
  <c r="E40" i="14"/>
  <c r="C63" i="14"/>
  <c r="H16" i="14"/>
  <c r="F40" i="14"/>
  <c r="H63" i="14"/>
  <c r="E16" i="14"/>
  <c r="C40" i="14"/>
  <c r="E63" i="14"/>
  <c r="D16" i="14"/>
  <c r="E102" i="14"/>
  <c r="C102" i="14"/>
  <c r="D40" i="14"/>
  <c r="F102" i="14"/>
  <c r="D102" i="14"/>
  <c r="D63" i="14"/>
  <c r="K63" i="14"/>
  <c r="H40" i="14"/>
  <c r="F216" i="14"/>
  <c r="D216" i="14"/>
  <c r="H216" i="14"/>
  <c r="C216" i="14"/>
  <c r="E216" i="14"/>
  <c r="G216" i="14"/>
  <c r="K15" i="14" l="1"/>
  <c r="G15" i="14"/>
  <c r="E15" i="14"/>
  <c r="C15" i="14"/>
  <c r="D15" i="14"/>
  <c r="H15" i="14"/>
  <c r="F15" i="14"/>
</calcChain>
</file>

<file path=xl/comments1.xml><?xml version="1.0" encoding="utf-8"?>
<comments xmlns="http://schemas.openxmlformats.org/spreadsheetml/2006/main">
  <authors>
    <author>Elina Markaine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"Hide" pēc budžeta projekta ievadīšanas</t>
        </r>
      </text>
    </comment>
  </commentList>
</comments>
</file>

<file path=xl/comments2.xml><?xml version="1.0" encoding="utf-8"?>
<comments xmlns="http://schemas.openxmlformats.org/spreadsheetml/2006/main">
  <authors>
    <author>Artemjeva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Artemjevs:</t>
        </r>
        <r>
          <rPr>
            <sz val="8"/>
            <color indexed="81"/>
            <rFont val="Tahoma"/>
            <family val="2"/>
            <charset val="204"/>
          </rPr>
          <t xml:space="preserve">
Tiek organizēts iepirkums</t>
        </r>
      </text>
    </comment>
  </commentList>
</comments>
</file>

<file path=xl/comments3.xml><?xml version="1.0" encoding="utf-8"?>
<comments xmlns="http://schemas.openxmlformats.org/spreadsheetml/2006/main">
  <authors>
    <author>Elina Markaine</author>
  </authors>
  <commentLis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Priekš linkošanas sum</t>
        </r>
      </text>
    </comment>
  </commentList>
</comments>
</file>

<file path=xl/sharedStrings.xml><?xml version="1.0" encoding="utf-8"?>
<sst xmlns="http://schemas.openxmlformats.org/spreadsheetml/2006/main" count="2284" uniqueCount="1366">
  <si>
    <t>Jūrmalas sporta centrs</t>
  </si>
  <si>
    <t>Nr.</t>
  </si>
  <si>
    <t>Pasākums/ aktivitāte/ projekts/ pakalpojuma nosaukums/ objekts</t>
  </si>
  <si>
    <t>2014.gada precizētais budžets (EUR)</t>
  </si>
  <si>
    <t>2014.gada gaidāmā izpilde (EUR)</t>
  </si>
  <si>
    <t>2015.gada budžeta pieprasījums (EUR)</t>
  </si>
  <si>
    <t>Ekonomiskās klasifikācijas kodi</t>
  </si>
  <si>
    <t>pamatbudžets</t>
  </si>
  <si>
    <t>maksas pakalpojumi</t>
  </si>
  <si>
    <t xml:space="preserve">Regbijs                          </t>
  </si>
  <si>
    <t>Jaunatnes regbija turnīrs ''Together In Jūrmala 2015''</t>
  </si>
  <si>
    <t>Mācību līdzekļi</t>
  </si>
  <si>
    <t>Latvijas čempionāti regbijā</t>
  </si>
  <si>
    <t>Dalības maksa</t>
  </si>
  <si>
    <t>Regbija sacensības</t>
  </si>
  <si>
    <t>Sporta tērpu iegāde</t>
  </si>
  <si>
    <t>Peldēšana</t>
  </si>
  <si>
    <t>Peldēšanas čempionāti</t>
  </si>
  <si>
    <t>Peldēšanas sacensības</t>
  </si>
  <si>
    <t>Federācijas un novadu kausi</t>
  </si>
  <si>
    <t>Sporta nometnes</t>
  </si>
  <si>
    <t>Futbols</t>
  </si>
  <si>
    <t>Futbola čempionāti</t>
  </si>
  <si>
    <t>Futbola sacensības</t>
  </si>
  <si>
    <t>Reģistrācijas Nr. 90000056408</t>
  </si>
  <si>
    <t>Struktūrvienība</t>
  </si>
  <si>
    <t>2014.gada precizētais budžets</t>
  </si>
  <si>
    <t>2014.gada gaidāmā izpilde</t>
  </si>
  <si>
    <t xml:space="preserve">2015.gada budžeta pieprasījums </t>
  </si>
  <si>
    <t>KOPĀ</t>
  </si>
  <si>
    <t>Lieldienu pasākums (2015. gada 05. aprīlis)</t>
  </si>
  <si>
    <t>1.1.</t>
  </si>
  <si>
    <t>1.2.</t>
  </si>
  <si>
    <t>1.3.</t>
  </si>
  <si>
    <t>Starptautiskā muzeju nakts (2015.gada 16.maijs)</t>
  </si>
  <si>
    <t>2.1.</t>
  </si>
  <si>
    <t>2.2.</t>
  </si>
  <si>
    <t>3.1.</t>
  </si>
  <si>
    <t>3.2.</t>
  </si>
  <si>
    <t>3.3.</t>
  </si>
  <si>
    <t>3.4.</t>
  </si>
  <si>
    <t>Vīna svētki (septembris/oktobris)</t>
  </si>
  <si>
    <t>4.1.</t>
  </si>
  <si>
    <t>4.2.</t>
  </si>
  <si>
    <t>4.3.</t>
  </si>
  <si>
    <t>4.4.</t>
  </si>
  <si>
    <t>Ceturtdiena - zivju diena (2015. gada 4.jūn.-27.aug.)</t>
  </si>
  <si>
    <t>5.1.</t>
  </si>
  <si>
    <t>5.2.</t>
  </si>
  <si>
    <t>5.3.</t>
  </si>
  <si>
    <t>5.4.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</si>
  <si>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</si>
  <si>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</si>
  <si>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</si>
  <si>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</si>
  <si>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</si>
  <si>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</si>
  <si>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</si>
  <si>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</si>
  <si>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</si>
  <si>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 xml:space="preserve">2014.gada precizētais budžets </t>
  </si>
  <si>
    <t xml:space="preserve">2014.gada gaidāmā izpilde </t>
  </si>
  <si>
    <t>Dzejas dienas pie Raiņa priedēm 11.09. 2015</t>
  </si>
  <si>
    <t>Kultūrvēsturiskas izstādes "Aspazija un Eiropa" sagatavošana un atklāšanas pasākums 13.03.2015.</t>
  </si>
  <si>
    <t>Aspazijas 150 gadu dzimšanas dienas pasākums  16.03.15.</t>
  </si>
  <si>
    <t>Tulkotājas Astrīdas Stahnkes (ASV) 80 gadu jubilejas un Aspazijas grāmatas (angļu val.) atvēršanas pasākums 20.03.2015.</t>
  </si>
  <si>
    <t>8.1.</t>
  </si>
  <si>
    <t>Starptautiskā muzeju nakts 16.05.2015.</t>
  </si>
  <si>
    <t>9.1.</t>
  </si>
  <si>
    <t>9.2.</t>
  </si>
  <si>
    <t>9.3.</t>
  </si>
  <si>
    <t>Pasākumu cikls "Aspazijas līdzgaitnieki" (H.Kaupiņš, A.Stunda, L.Reinholde, J.Nīmanis) - 29.05., 28.08., 26.11., 16.12. - ekspresizstādes un priekšlasījumi</t>
  </si>
  <si>
    <t>10.1.</t>
  </si>
  <si>
    <t>10.2.</t>
  </si>
  <si>
    <t>11.1.</t>
  </si>
  <si>
    <t>11.2.</t>
  </si>
  <si>
    <t>12.1.</t>
  </si>
  <si>
    <t>13.1.</t>
  </si>
  <si>
    <t>Elzas diena - muzikāli literārs sarīkojums 03.10.</t>
  </si>
  <si>
    <t>14.1.</t>
  </si>
  <si>
    <t>15.1.</t>
  </si>
  <si>
    <t>15.2.</t>
  </si>
  <si>
    <t>16.1.</t>
  </si>
  <si>
    <t>16.2.</t>
  </si>
  <si>
    <t>16.3.</t>
  </si>
  <si>
    <t>Tikšanās ar radošām personībām diskusiju ciklā "Kafija ar ASPAZIJU" - 12 pasākumi (1x mēnesī)</t>
  </si>
  <si>
    <t>17.1.</t>
  </si>
  <si>
    <t>17.2.</t>
  </si>
  <si>
    <t>17.3.</t>
  </si>
  <si>
    <t>Aspazijas mājas reklāmas bukleta sagatavošana un iespiešana</t>
  </si>
  <si>
    <t>18.1.</t>
  </si>
  <si>
    <t>18.2.</t>
  </si>
  <si>
    <t>Starptautiskā muzeju nakts 2015.gada 16. maijā</t>
  </si>
  <si>
    <t xml:space="preserve">10. starptautiskā jūras ainavu izstāde "Marina" </t>
  </si>
  <si>
    <t>Priekšmetu iepirkumi muzeja kolekciju papildināšanai</t>
  </si>
  <si>
    <t>Dzintara/vēstures (2015.g.) izstāde no muzeja krājuma</t>
  </si>
  <si>
    <t>Divas izstādes no mākslas krājuma - "Portrets glezniecībā, grafikā un tēlniecībā" un "Ziema. Svētki."</t>
  </si>
  <si>
    <t>8.2.</t>
  </si>
  <si>
    <t>8.3.</t>
  </si>
  <si>
    <t>Pārējo mākslas izstāžu iekārtošanas, noformēšanas, atklāšanas un reklāmas pasākumi ( 24 izstādes 2015.g.)</t>
  </si>
  <si>
    <t>Muzeja priekšmetu restaurācija</t>
  </si>
  <si>
    <t>Dažādu kopiju izgatavošana izstāžu un muzeja krājuma vajadzībām</t>
  </si>
  <si>
    <t>Materiālu iegāde muzejpedagoģiskām programmām</t>
  </si>
  <si>
    <t>Ceļojoša izstāde "Briti Jūrmalā"</t>
  </si>
  <si>
    <t>Multimediāla ekspozīcija "Rainim 150"</t>
  </si>
  <si>
    <t>Izbraukuma nometne, Lapmežciems, augusts, 10 dienas</t>
  </si>
  <si>
    <t>Dienas nometne, Dubulti, jūlijs, 10 dienas</t>
  </si>
  <si>
    <t>PEAK basketbola divpusējās formas komplekts</t>
  </si>
  <si>
    <t>Dalība LJBL</t>
  </si>
  <si>
    <t>6.6.</t>
  </si>
  <si>
    <t>6.7.</t>
  </si>
  <si>
    <t xml:space="preserve">Telpu noma </t>
  </si>
  <si>
    <t>LJBL</t>
  </si>
  <si>
    <t>Starptautisks turnīrs Kabūrā, Francija 02.-05.04.2015.</t>
  </si>
  <si>
    <t>2 izbraukuma nometnes</t>
  </si>
  <si>
    <t>Dienas nometne Jūrmalā, 14 dienas (U11 komandas gatavošanās Molte un Kārums kausiem</t>
  </si>
  <si>
    <t>EYBL posms Jūrmalā</t>
  </si>
  <si>
    <t>EYBL 3.izbraukuma kārta 2015.g.februārī</t>
  </si>
  <si>
    <t>2 Izbraukuma nometnes</t>
  </si>
  <si>
    <t>Dienas nometne (gatavošanās Molten un Kārums kausiem U10 grupā)</t>
  </si>
  <si>
    <t>6.8.</t>
  </si>
  <si>
    <t>6.9.</t>
  </si>
  <si>
    <t>4 Izbraukuma nometnes</t>
  </si>
  <si>
    <t>Dienas nometne ( gatavošanās Molten un Kārums kausiem U11 grupai</t>
  </si>
  <si>
    <t>Starptautiskais turnīrs Šauļos, Lietuva</t>
  </si>
  <si>
    <t>Starptautiskais turnīrs Pasvālē, Lietuva</t>
  </si>
  <si>
    <t>Dalība Latvijas čempionātā</t>
  </si>
  <si>
    <t>Dalība Lietuvas čempionātā, Nida</t>
  </si>
  <si>
    <t>Eiropas kausa posms Laser klasē, Kauņa, Lietuva</t>
  </si>
  <si>
    <t>Sacensības "Rudens vejas", Kauņa, Lietuva</t>
  </si>
  <si>
    <t>Pasaules čempionāts Laser 4.7 klasē jauniešiem, Nīderlande</t>
  </si>
  <si>
    <t>Inventārs</t>
  </si>
  <si>
    <t>Jūrmalas sporta skolas bilancē esošās motorlaivas izmantošanas izmaksas</t>
  </si>
  <si>
    <t>Dalība sacensībās "Ventspils pērle"</t>
  </si>
  <si>
    <t>Dalība sacensībās "Tartu cup"</t>
  </si>
  <si>
    <t>Vasaras dienas nometne, Volvo halle, Rīga</t>
  </si>
  <si>
    <t>Ledus laukuma noma</t>
  </si>
  <si>
    <t>Dienas nometne, Jūrmala</t>
  </si>
  <si>
    <t>Dalība turnīrā "Saldais džudo", Saldus</t>
  </si>
  <si>
    <t>Dalība turnīrā Tartu, Jelgavā</t>
  </si>
  <si>
    <t>Dienas nometnes, Jūrmala</t>
  </si>
  <si>
    <t>Dalība LBJMH</t>
  </si>
  <si>
    <t>Vasaras nometne, Kandava, jūlijs (U17, U15)</t>
  </si>
  <si>
    <t>Vasaras nometne, Tukums, augusts (U17, U15)</t>
  </si>
  <si>
    <t>Vasaras nometne, Tukums, augusts U13</t>
  </si>
  <si>
    <t>Pirmsezonas turnīrs U17, Bratislava, Slovākija</t>
  </si>
  <si>
    <t>Dalības maksa un licences</t>
  </si>
  <si>
    <t>Telpu noma</t>
  </si>
  <si>
    <t>Mācību treniņu nometne, Valmiera, jūlijs</t>
  </si>
  <si>
    <t>MTN, Albufera, Portugāle</t>
  </si>
  <si>
    <t>Dalība Latvijas čempionātos</t>
  </si>
  <si>
    <t>Dienas nometne, Jūrmala (tr. A. Muša)</t>
  </si>
  <si>
    <t>Dalība Latvijas  Vieglatlētikas savienības kausa izcīņā</t>
  </si>
  <si>
    <t>Dienas nometne Jūrmalā, 10 dienas</t>
  </si>
  <si>
    <t>Izbraukuma nometne, Nereta, 15 dienas</t>
  </si>
  <si>
    <t>Liepājas čempionāts, Liepāja</t>
  </si>
  <si>
    <t>6. Starptautiskais turnīrs "Baltic Flover" Jelgava</t>
  </si>
  <si>
    <t xml:space="preserve"> Starptautiskais turnīrs "Mazās  zvaigznītes", Ķekava</t>
  </si>
  <si>
    <t>MVK "Baltijas puķe", Tukums</t>
  </si>
  <si>
    <t>Starptautiskas sacensības "Dublin cup", Īrija</t>
  </si>
  <si>
    <t>Mīkstais inventārs un mācību līdzekļi</t>
  </si>
  <si>
    <t>Māc.līdzekļi</t>
  </si>
  <si>
    <t>Dalība Latvijas jaunatnes čempionātā</t>
  </si>
  <si>
    <t>īsās sporta formas</t>
  </si>
  <si>
    <t>Pamatbudžets</t>
  </si>
  <si>
    <t>2015.gada budžeta projekts</t>
  </si>
  <si>
    <t>Sabiedriskās vietās mirušo personu transporta izdevumu segšana</t>
  </si>
  <si>
    <t>Sabiedrības integrācijas programmas realizācija</t>
  </si>
  <si>
    <t xml:space="preserve">Pabalsts mājokļa vides pieejamības nodrošināšanai    </t>
  </si>
  <si>
    <t>Ergoterapeita vides novērtējumam, ja prasītājs ir trūcīga persona</t>
  </si>
  <si>
    <t xml:space="preserve">Speciāli pielāgota autotransporta degvielas iegādes apmaksa </t>
  </si>
  <si>
    <t>Dzīves kvalitātes uzlabošana cilvēkiem ar īpašām vajadzībām (pludmales ierīkošanai pamatlīdzekļi)</t>
  </si>
  <si>
    <t>Asistenta pakalpojuma nodrošināšana (Valsts atmaksāts)</t>
  </si>
  <si>
    <t xml:space="preserve">Slokas slimnīcas -sociālās aprūpes nodaļa SAN   </t>
  </si>
  <si>
    <t>SIA''Pansionāts Dzimtene'' līdz 1998.gada 1.janvārim ievietotajiem iemītniekiem paredzētie līdzekļi</t>
  </si>
  <si>
    <t xml:space="preserve">Veselības aprūpes pabalsts </t>
  </si>
  <si>
    <t>Pabalsts audžu  ģimenei</t>
  </si>
  <si>
    <t xml:space="preserve">Pabalsts garentētā minimālā ienākumu GMI līmeņa nodrošināšanai </t>
  </si>
  <si>
    <t xml:space="preserve">Pabalsts jaundzimušā aprūpei </t>
  </si>
  <si>
    <t>Pabalsts izglītības ieguves atbalstam</t>
  </si>
  <si>
    <t>Pabalsts aizbildņiem</t>
  </si>
  <si>
    <t>Pabalsts kultūras pasākumu apmeklēšanai daudzbērnu ģimenēm</t>
  </si>
  <si>
    <t>Ziemassvētku apsveikums aizbildnībā esošiem bērniem un bērniem no sociālā riska ģimenēm</t>
  </si>
  <si>
    <t xml:space="preserve">Dzīvokļa pabalsts </t>
  </si>
  <si>
    <t xml:space="preserve">Slokas slimnīcas -īslaicīga sociālās aprūpes un sociālās rehabilitācijas nodaļa SASRN    </t>
  </si>
  <si>
    <t xml:space="preserve">Slokas slimnīca - Veselības un sociālās aprūpes nodaļa   </t>
  </si>
  <si>
    <t xml:space="preserve">Bezpiederīgo apglabāšana </t>
  </si>
  <si>
    <t>Pabalsts garā slimo rīcības nespējīgo personu aizgādnim</t>
  </si>
  <si>
    <t xml:space="preserve">Pabalsts aprūpes mājās nodrošināšanai </t>
  </si>
  <si>
    <t>Pabalsts sociālās rehabilitācijas mērķu sasniegšanai</t>
  </si>
  <si>
    <t>Apbedīšanas pabalsts</t>
  </si>
  <si>
    <t xml:space="preserve">Vienreizējie pabalsti krīzes situācijās, kā arī stihiskas nelaimes gadījumiem un ugunsgrēka gadījumiem   </t>
  </si>
  <si>
    <t xml:space="preserve">Bērnu namu audzēkņiem un aizbildnībā esošiem bērniem sasniedzot pilngadību </t>
  </si>
  <si>
    <t>Jūrmalas pašvaldības pabalsts politiski represētām personām</t>
  </si>
  <si>
    <t>Pabalsts par nopelniem Jūrmalas popularizēšanā</t>
  </si>
  <si>
    <t>Bērnu ortodontija un sakodiena anomāliju izdevumu segšana</t>
  </si>
  <si>
    <t>Eksperta-ortodonta novērtējuma apmaksa</t>
  </si>
  <si>
    <t>ECAD projektiem</t>
  </si>
  <si>
    <t>Protezēšanas izdevumi</t>
  </si>
  <si>
    <t>Zobu ekstrakcija, plaušu caurskate trūcīgiem un bezpajumtniekiem</t>
  </si>
  <si>
    <t>Starptautiski projekti(dalības maksa)</t>
  </si>
  <si>
    <t>Tuberkulozes slimnieku veselības programmas atbalsts</t>
  </si>
  <si>
    <t>Psihologu/psihoterapeitu pakalpojumi</t>
  </si>
  <si>
    <t>Veselību veicinošo pasākumu kopuma senioriem nodrošināšana</t>
  </si>
  <si>
    <t>Grūtnieču un jauno māmiņu fizisko aktivitāšu uzlabošana (veicināšana)</t>
  </si>
  <si>
    <t>Līdzfinansējums jaunu veselības aprūpes projektu īstenošanai</t>
  </si>
  <si>
    <t>Veselības nedēļa</t>
  </si>
  <si>
    <t>Baltijas Jūras reģiona Starptautiskā veselīgo pilsētu konference</t>
  </si>
  <si>
    <t>Starptautisko Pasaules Veselības organizācijas noteikto ar veselību saistīto dienu iezīmēšana Jūrmalā sadarbībā ar Veselības ministrijas Slimību kontroles un profilakses centru</t>
  </si>
  <si>
    <t>Izglītojošu pasākumu kopums garīgās veselības stiprināšanai Jūrmalā.</t>
  </si>
  <si>
    <t>Izglītojošu pasākumu kopums reproduktīvās veselības jomā Jūrmalā.</t>
  </si>
  <si>
    <t>Izglītojošu pasākumu kopums pret smēķēšanas un alkohola lietošanu dažādās mērķgrupās Jūrmalā.</t>
  </si>
  <si>
    <t>Fotokonkurss skolēniem</t>
  </si>
  <si>
    <t>Starptautiskā dzimtās valodas diena</t>
  </si>
  <si>
    <t>Latviskās identitātes stiprināšanas programma latviešu nacionālo vērtību stiprināšanai</t>
  </si>
  <si>
    <t>Pasaules kultūru daudzveidības diena</t>
  </si>
  <si>
    <t>Starptautiskā veco ļaužu diena</t>
  </si>
  <si>
    <t>Sociālā integrācijas programma ilgstošiem bezdarbniekiem</t>
  </si>
  <si>
    <t>Skolēnu tikšanās ar politiski represētām personām</t>
  </si>
  <si>
    <t>Starppilsētu konference Jūrmalā</t>
  </si>
  <si>
    <t>Izglītojoši semināri NVO pārstāvjiem</t>
  </si>
  <si>
    <t>Pētījumu izstrāde, anketas izstrādāšana un veikšana par sabiedrības integrāciju Jūrmalā</t>
  </si>
  <si>
    <t>Bērnu vasaras nometnes</t>
  </si>
  <si>
    <t>2014. gada precizētais budžets (EUR)</t>
  </si>
  <si>
    <t>2014. gada gaidāma izpilde (EUR)</t>
  </si>
  <si>
    <t>2015. gada budžeta pieprasījums (EUR)</t>
  </si>
  <si>
    <t>Valsts svētki, svinamās un atceres dienas</t>
  </si>
  <si>
    <t xml:space="preserve">1991. gada janvāra barikāžu atceres diena (23.janvāris)  </t>
  </si>
  <si>
    <t>Komunistiskā genocīda upuru piemiņas dienas (25.marts un 14. jūnijs)</t>
  </si>
  <si>
    <t>LR Neatkarības deklarācijas pieņemšanas gadadiena - 4.maijs (KKN)</t>
  </si>
  <si>
    <t>Piemiņas pasākums pie P.Zolta pieminekļa "Augsim Latvijai" (18.maijs)</t>
  </si>
  <si>
    <t>Lāčplēša diena (11.novembris)</t>
  </si>
  <si>
    <t>Gadskārtu svētki</t>
  </si>
  <si>
    <t>Lielā diena Kauguros</t>
  </si>
  <si>
    <t>Vasaras saulgrieži - Jāņu ielīgošana (22.jūnijs)</t>
  </si>
  <si>
    <t>Pilsētas Ziemassvētku noformējuma konkursa noslēguma pasākums (Domē, janvārī)</t>
  </si>
  <si>
    <t>Ziemassvētku sarīkojumi pilsētā</t>
  </si>
  <si>
    <t>Jaunā gada sagaidīšana  Kauguros</t>
  </si>
  <si>
    <t>Lielākie  Jūrmalas pilsētas pasākumi</t>
  </si>
  <si>
    <t>Jūrmalas kūrortsezonas atklāšanas pasākums (16. maijs)</t>
  </si>
  <si>
    <t>Nakts ekspedīcija ģimenei "Nestāsti pasaciņas" - Dzintaru mežaparkā (07.augusts)</t>
  </si>
  <si>
    <t xml:space="preserve">Kūrortsezonas noslēguma pasākums "AVANGARDENS" (28. vai 21.augustā) </t>
  </si>
  <si>
    <t xml:space="preserve">Rudens gadatirgus "Majoru bazārs" (03.oktobris) </t>
  </si>
  <si>
    <t>Dažādi  pasākumi</t>
  </si>
  <si>
    <t>"Jokosim tautiski" - KKN (01.aprīlī)</t>
  </si>
  <si>
    <t>Muzeju nakts MN (maijs)</t>
  </si>
  <si>
    <t>Neformālo pianistu festivāls "Mažors 2014" - KKN (24.maijs)</t>
  </si>
  <si>
    <t>PopFest Jūrmala - KKN (06.jūnijs)</t>
  </si>
  <si>
    <t>Starptautiskais senioru deju festivāls Mellužu estrādē(13.jūnijs)</t>
  </si>
  <si>
    <t>Dzejas dienas (pasākums Horna dārzā)  (11. septembris)</t>
  </si>
  <si>
    <t>Dzejas dienas Kauguros (septembris)</t>
  </si>
  <si>
    <t>Mākslas projekts - konkurss izstāde - JĀ / NEatkarība (oktobris / novembris)</t>
  </si>
  <si>
    <t>Ceļojošais mini festivāls "Pirkstiņi pa taustiņiem" KKN (05.decembris)</t>
  </si>
  <si>
    <t>Mākslas izstādes (Mākslinieku namā, Jūrmalas Kultūras centrā, Kauguru kultūras namā)</t>
  </si>
  <si>
    <t>Kinoseansi JKC</t>
  </si>
  <si>
    <t>Koncerti un izrādes JKC</t>
  </si>
  <si>
    <t>Jauniešu teātra studija ''Eksperiments'' KKN</t>
  </si>
  <si>
    <t>Pilsētas radošo kolektīvu piedalīšanās republikas mēroga pasākumos</t>
  </si>
  <si>
    <t>Pašdarbības kolektīvu un kultūras darbinieku pilsētas mēroga konkursi, skates un izstādes</t>
  </si>
  <si>
    <t>Pašdarbības kolektīvu piedalīšanās ārzemēs rīkotajos koncertos, festivālos, konkursos un izstādēs</t>
  </si>
  <si>
    <t>Jūrmalas Teātra iestudējumi</t>
  </si>
  <si>
    <t>Antons Čehovs "Aiz gara laika"</t>
  </si>
  <si>
    <t>Flenrija O'Konore "Kropļi ieies pirmie"</t>
  </si>
  <si>
    <t>Ziemassvētku izrāde</t>
  </si>
  <si>
    <t>Jūrmala - Raiņa un Aspazijas pilsēta</t>
  </si>
  <si>
    <t>Rainis "Mušu Ķēniņš" - muzikāla pasaka bērniem</t>
  </si>
  <si>
    <t>Aspazijas un Raiņa dzeja leļļu spēlēs "Puķu lodziņš"</t>
  </si>
  <si>
    <t>Aspazija. Sidraba šķidrauts. Iestudējumi. Interpretācijas.</t>
  </si>
  <si>
    <t>Citas kultūras pasākumu izmaksas</t>
  </si>
  <si>
    <t>Tipogrāfijas pakalpojumi (biļetes, afišas un tml.)</t>
  </si>
  <si>
    <t>AKKA/LAA un LaIPA</t>
  </si>
  <si>
    <t>Publisko pasākumu apdrošināšana, apsardze, neatliekamā mediciniskā palīdzība pasākumu laikā</t>
  </si>
  <si>
    <t>Elektroenerģijas apmaksa kultūras pasākumos dabā</t>
  </si>
  <si>
    <t>Reklāmas izdevumi kultūras pasākumiem</t>
  </si>
  <si>
    <t>Rezerves līdzekļi kultūras pasākumiem</t>
  </si>
  <si>
    <t>Jauni, atjaunojami un vienreizēji projekti</t>
  </si>
  <si>
    <t>Ziemassvētku pasākums Mellužu estrādē</t>
  </si>
  <si>
    <t>Vasaras koncerti Horna dārzā</t>
  </si>
  <si>
    <t>Dalības maksa ECAD (Eiropas pilsētu kustība pret narkotikām)</t>
  </si>
  <si>
    <t>2015.gada budžeta atšifrējums pa programmām</t>
  </si>
  <si>
    <t>Reģistrācijas Nr.90000594245</t>
  </si>
  <si>
    <t>Ilgtermiņa projekta uzsākšana, lai pārvarētu dziļas sabiedrības pretrunas jautājumos, kas skar traģiskos vēsturiskos notikumus, kuri risinājās 20. gs. vidū</t>
  </si>
  <si>
    <t>Atzinības izteikšana par paveikto un sasniegto NVO un sociālajā darbā</t>
  </si>
  <si>
    <t>Atbalsts konferencei ''Informācijas sabiedrība cilvēku ar invaliditāti dzīves kvalitātes uzlabošanai</t>
  </si>
  <si>
    <t>Dienas nometne bērniem ar īpašām vajadzībām</t>
  </si>
  <si>
    <t>Invalīdu sporta attīstība</t>
  </si>
  <si>
    <t>Ziemassvētku sveicieni sociāli neaizsargātām iedzīvotāju grupām</t>
  </si>
  <si>
    <t>Koncerts ''Dažādas kultūras unisonā'' ''Līgo''</t>
  </si>
  <si>
    <t>Krievu tradicionālie svētki „Masļeņņica” (Meteņi) – 22.02.2015.</t>
  </si>
  <si>
    <t>Valsts valodas apmācība mazākumtautību pārstāvjiem un nepilsoņiem</t>
  </si>
  <si>
    <t>Sociālie dzīvokļi un mājas</t>
  </si>
  <si>
    <t xml:space="preserve">2015.gada budžeta atšifrējums pa programmām </t>
  </si>
  <si>
    <t xml:space="preserve">Pabalsts personām ar funkcionāliem traucējumiem </t>
  </si>
  <si>
    <t>Pabalsts bāreņiem un bez vecāku gādības palikušiem bērniem pēc ārpusģimenes aprūpes beigšanās (vsk mācību laikā)</t>
  </si>
  <si>
    <t>Īres maksa par īrētiem dzīvokļiem bāreņiem un bez vecāku gādības palikušiem bērniem pēc ārpusģimenes aprūpes beigšanās, līdz pašvaldība nodrošina ar dzīvojamo platību</t>
  </si>
  <si>
    <t xml:space="preserve">Asistenta pakalpojuma nodrošināšana </t>
  </si>
  <si>
    <t>EKK</t>
  </si>
  <si>
    <t>Atkarību profilakses centra darba nodrošinājums, tajā skaitā pa klasifikācijas kodiem:</t>
  </si>
  <si>
    <t>Budžeta finansēta institūcija: Jūrmalas pilsētas dome</t>
  </si>
  <si>
    <t>2015.gada budžeta pieprasījums</t>
  </si>
  <si>
    <t>KOPĀ (EUR):</t>
  </si>
  <si>
    <t>Jūrmalas sadraudzības pilsētu delegāciju, ārvalstu delegāciju un ārvalstu vēstnieku uzņemšana</t>
  </si>
  <si>
    <t>Jūrmalas domes oficiālo delegāciju vizītes uz esošajām un potenciālajām sadraudzības pilsētām, domes vadības oficiālie ārvalstu komandējumi</t>
  </si>
  <si>
    <t>Ārvalstu komandējumu dienas naudas</t>
  </si>
  <si>
    <t xml:space="preserve">Ar ārējiem sakariem un sadraudzības pilsētu aktivitāšu īstenošanu saistīto pasākumu organizēšanas izdevumi (ēdināšana, izmitināšana, u.c. saistītie izdevumi) </t>
  </si>
  <si>
    <t>Oficiālie reprezentācijas materiāli (dāvanas, prezentācijas, bukleti, plakāti, u.c.)</t>
  </si>
  <si>
    <t>Sadraudzības līgumu notariālie tulkojumi, oficiālās sarakstes tulkojumi</t>
  </si>
  <si>
    <t>Dalībmaksa starptautiskajās organizācijās (Mēri par mieru, UBC)</t>
  </si>
  <si>
    <t>Naudas balva nominācijai ''Gada cilvēks''</t>
  </si>
  <si>
    <t>Autotransports, autotransporta noma</t>
  </si>
  <si>
    <t>1</t>
  </si>
  <si>
    <t>Domes administratīvo ēku remonts</t>
  </si>
  <si>
    <t>2</t>
  </si>
  <si>
    <t>Drenāžas izbūve un bolardu nomaiņa Turaidas ielā 1, Jūrmalā</t>
  </si>
  <si>
    <t>3</t>
  </si>
  <si>
    <t>Talsu šosejas posma no Mellužu prospekta līdz Asaru prospektam  asfalta seguma virskārtas renovācijas tehniskā projekta izstrāde</t>
  </si>
  <si>
    <t>4</t>
  </si>
  <si>
    <t>Jauno Slokas kapu izbūve un labiekārtošana</t>
  </si>
  <si>
    <t>Sabiedriskā kompleksa Strēlnieku prospektā 30 būve (Mākslas un Mūzikas skola, Centrālās bibliotēkas ēka, Poruka prospekta izbūve), projektēšana un būvdarbu 1.kārta</t>
  </si>
  <si>
    <t xml:space="preserve"> Dubultu tirgus labiekārtošana</t>
  </si>
  <si>
    <t>Jūrmalas Mākslas nama jaunbūve</t>
  </si>
  <si>
    <t>Aspazijas mājas restaurācija Z.Meierovica prospektā 18/20</t>
  </si>
  <si>
    <t>Mellužu estrādes restaurācija</t>
  </si>
  <si>
    <t xml:space="preserve">Dzintaru koncertzāles Mazās (slēgtās) zāles restaurācija Turaidas ielā 1 </t>
  </si>
  <si>
    <t>Jūrmalas Valsts ģimnāzijas un sākumskolas "Atvase" daudzfunkcionālās sporta halles projektēšana un celtniecība</t>
  </si>
  <si>
    <t>Lielupes vidusskolas rekonstrukcija 2 kārtās (t.sk. sporta zāles būvniecība), (2.kārtas projektēšana, skolas ēkas būvniecība)</t>
  </si>
  <si>
    <t>Mellužu glābšanas stacija</t>
  </si>
  <si>
    <t>Jaunķemeru glābšanas stacija</t>
  </si>
  <si>
    <t>Bulduru glābšanas stacija</t>
  </si>
  <si>
    <t>5</t>
  </si>
  <si>
    <t>Dzintaru glābšanas stacija</t>
  </si>
  <si>
    <t>6</t>
  </si>
  <si>
    <t>Kauguru glābšanas stacija</t>
  </si>
  <si>
    <t>7</t>
  </si>
  <si>
    <t>Kapitālais remonts</t>
  </si>
  <si>
    <t>1.1</t>
  </si>
  <si>
    <t>Grantēto ielu asfaltēšana</t>
  </si>
  <si>
    <t>Kārtējais remonts</t>
  </si>
  <si>
    <t>2.1</t>
  </si>
  <si>
    <t>Grantēto ielu uzturēšana</t>
  </si>
  <si>
    <t>2.3</t>
  </si>
  <si>
    <t>Asfalta seguma remonts iekškvartālos</t>
  </si>
  <si>
    <t>Ceļu infrastruktūra</t>
  </si>
  <si>
    <t>Ceļa horizontālo apzīmējumu uzklāšana</t>
  </si>
  <si>
    <t>Barjeru remonts</t>
  </si>
  <si>
    <t>Jaunu barjeru uzstādīšana</t>
  </si>
  <si>
    <t>Ceļa zīmju nomaiņa</t>
  </si>
  <si>
    <t>Satiksmes drošības uzlabošana Jūrmalas pilsētā</t>
  </si>
  <si>
    <t>Pašvaldības dzīvojamā fonda remonts</t>
  </si>
  <si>
    <t>Ēku nojaukšana</t>
  </si>
  <si>
    <t>8</t>
  </si>
  <si>
    <t>Slokas sporta komplekss</t>
  </si>
  <si>
    <t>Bibliotēku remonts</t>
  </si>
  <si>
    <t>Jūrmalas pilsētas muzejs</t>
  </si>
  <si>
    <t>Pirmsskolas  izglītības iestāžu kapitālie remonti</t>
  </si>
  <si>
    <t xml:space="preserve"> Izglītības iestāžu kapitālie remonti</t>
  </si>
  <si>
    <t>Jūrmalas bērnu un jauniešu interešu centrs</t>
  </si>
  <si>
    <t>Slokas stadions</t>
  </si>
  <si>
    <t>Sporta skola</t>
  </si>
  <si>
    <t>Majoru ledus halle</t>
  </si>
  <si>
    <t>Līdzekļi apsaimniekošanai un komunālo pakalpojumu maksas segšanai neizīrētos pašvaldības dzīvokļos</t>
  </si>
  <si>
    <t>Līdzekļi telpu Raiņa ielā 62, Jūrmalā, kas rezervētas ārkārtas gadījumiem, aprīkojuma iegāde:</t>
  </si>
  <si>
    <t>Maksas pakalpojumi</t>
  </si>
  <si>
    <t>Meliorācijas sistēmu tehniskā apsekošana</t>
  </si>
  <si>
    <t>Ģeodēziskā tīkla pilnveidošana un jaunu punktu izbūve</t>
  </si>
  <si>
    <t>KOPĀ (EUR)</t>
  </si>
  <si>
    <t xml:space="preserve">Pilsoniskās un patriotiskās  audzināšanas pasākumu cikls </t>
  </si>
  <si>
    <t>Kapteiņa  P. Zolta piemiņas pasākums un NBS diena Jūrmalā  „Augsim Latvijai!”</t>
  </si>
  <si>
    <t>Vidusskolēnu militārās spēles</t>
  </si>
  <si>
    <t>Literārās jaunrades konkurss, veltīts Raiņa un Aspazijas gadam</t>
  </si>
  <si>
    <t>Kultūrizglītība</t>
  </si>
  <si>
    <t>Teātra un literāro uzvedumu skate "Labais!"</t>
  </si>
  <si>
    <t xml:space="preserve">Zēnu koru un 1.- 4. klašu koru skate pilsētā </t>
  </si>
  <si>
    <t>Jaukto koru un 5.-9. klašu koru skate</t>
  </si>
  <si>
    <t>2.1.4.</t>
  </si>
  <si>
    <t>Vizuālās un vizuāli plastiskās mākslas konkurss"Rakstu darbi"</t>
  </si>
  <si>
    <t>2.1.5.</t>
  </si>
  <si>
    <t>2.1.6.</t>
  </si>
  <si>
    <t>Skolēnu dziesmu un deju lielkoncerts</t>
  </si>
  <si>
    <t>2.1.7.</t>
  </si>
  <si>
    <t>Svētki pirmsskolas vecuma bērniem</t>
  </si>
  <si>
    <t>2.1.8.</t>
  </si>
  <si>
    <t>Starptautiskā ekoloģiskā tiešsaistes viktorīna "Tīras planētas vārdā"</t>
  </si>
  <si>
    <t>2.1.9.</t>
  </si>
  <si>
    <t>2.1.10.</t>
  </si>
  <si>
    <t>Mazo vokālistu konkurss " Jūrmalas Cālis"</t>
  </si>
  <si>
    <t>2.1.11.</t>
  </si>
  <si>
    <t>2.1.12.</t>
  </si>
  <si>
    <t>Konkurss "Popiela"</t>
  </si>
  <si>
    <t>2.1.13.</t>
  </si>
  <si>
    <t>Vokālās mūzikas konkurss "Balsis"</t>
  </si>
  <si>
    <t>2.1.14.</t>
  </si>
  <si>
    <t xml:space="preserve">Tautisko deju kolektīvu skate pilsētā </t>
  </si>
  <si>
    <t>Skatuves runas konkurss "Jūras malā"</t>
  </si>
  <si>
    <t>Profesora Valtnera konkurss "Pazīsti savu organismu" aprīlis</t>
  </si>
  <si>
    <t>Jūrmalas pilsētas Vizuālās mākslas olimpiāde 5.-12.klasēm</t>
  </si>
  <si>
    <t>Pilsētas mēroga pasākumi</t>
  </si>
  <si>
    <t xml:space="preserve">Starptautiskā skolēnu zinātnisko darbu lasījumu konference "Es dzīvoju pie jūras" </t>
  </si>
  <si>
    <t>2.2.2.</t>
  </si>
  <si>
    <t>2.2.3.</t>
  </si>
  <si>
    <t>Konference "Bērnu  tiesību aizsardzības stāvoklis Jūrmalā 2015./ 2016.mācību gadā</t>
  </si>
  <si>
    <t>2.2.4.</t>
  </si>
  <si>
    <t xml:space="preserve">Pilsētas Skolēnu bērnu tiesību aizsardzības komisijas dalībnieku diskusija ar Jūrmalas pilsētas domes deputātiem un pašvaldības institūciju vadītājiem </t>
  </si>
  <si>
    <t>2.2.5.</t>
  </si>
  <si>
    <t xml:space="preserve">Ekskursija Pilsētas Skolēnu bērnu tiesību aizsardzības komisijas dalībniekiem </t>
  </si>
  <si>
    <t>2.2.6.</t>
  </si>
  <si>
    <t>2.2.7.</t>
  </si>
  <si>
    <t xml:space="preserve">Starptautiskais konkurss "Rēķini galvā" </t>
  </si>
  <si>
    <t>2.2.8.</t>
  </si>
  <si>
    <t>Svešvalodu diena</t>
  </si>
  <si>
    <t>2.2.9.</t>
  </si>
  <si>
    <t>Starptautiskais konkurss "Rēķini galvā" 2015. Fināls Latvijā</t>
  </si>
  <si>
    <t>2.2.10.</t>
  </si>
  <si>
    <t>Talantīgo Jūrmalas skolēnu  nometne - 3 daļas - 30 bērni</t>
  </si>
  <si>
    <t>2.2.11.</t>
  </si>
  <si>
    <t>Ielu vingrošanas nometnes jauniešiem mūžizglītības kontekstā</t>
  </si>
  <si>
    <t>2.2.12.</t>
  </si>
  <si>
    <t xml:space="preserve">Līdzfinansējums projekta Karjeras izglītības programmas un mācību metodisko materiālu izstrādei un izdošanai </t>
  </si>
  <si>
    <t>Bērnu Jauniešu interešu centrs</t>
  </si>
  <si>
    <t>2.2.13.</t>
  </si>
  <si>
    <t>2.2.14.</t>
  </si>
  <si>
    <t>Jauniešu forums Jūrmalā</t>
  </si>
  <si>
    <t>Mākslas skola</t>
  </si>
  <si>
    <t>2.2.15.</t>
  </si>
  <si>
    <t>Mazās Mākslas dienas , sadarbībā ar Jūrmalas mākslinieku namu un Jūrmalas teātri</t>
  </si>
  <si>
    <t>2.2.16.</t>
  </si>
  <si>
    <t>Ziemassvētku mākslas akcija "Bērnu egle Horna dārzā-Eņģeļi pār Latviju"</t>
  </si>
  <si>
    <t>2.2.17.</t>
  </si>
  <si>
    <t>Skolēnu olimpiādes sacensības spēlē "Tautas bumba"</t>
  </si>
  <si>
    <t>2.2.18.</t>
  </si>
  <si>
    <t>Skolēnu olimpiādes sacensības dambretē un šahā</t>
  </si>
  <si>
    <t>2.2.19.</t>
  </si>
  <si>
    <t xml:space="preserve">Skolēnu olimpiādes sacensības florbolā </t>
  </si>
  <si>
    <t>2.2.20.</t>
  </si>
  <si>
    <t>Skolēnu olimpiādes sacensības volejbolā</t>
  </si>
  <si>
    <t>2.2.21.</t>
  </si>
  <si>
    <t>Skolēnu olimpiādes sacensības vieglatlētikā "Jūrmalas pavasaris 2015"</t>
  </si>
  <si>
    <t>2.2.22.</t>
  </si>
  <si>
    <t>Sporta svētki pirmsskolas vecuma bērniem "Jautrie starti 2015"</t>
  </si>
  <si>
    <t>2.2.23.</t>
  </si>
  <si>
    <t>Bērnu sporta svētki  "Pirmais solis 2015"</t>
  </si>
  <si>
    <t>2.2.24.</t>
  </si>
  <si>
    <t>Skolēnu olimpiādes sacensības basketbolā</t>
  </si>
  <si>
    <t>2.2.25.</t>
  </si>
  <si>
    <t>Jūrmalas atklātās sacensības vieglatlētikā</t>
  </si>
  <si>
    <t>Jūrmalas atklātais čempionāts mākslas vingrošanā</t>
  </si>
  <si>
    <t>2.2.26.</t>
  </si>
  <si>
    <t>Jūrmalas atklātais turnīrs basketbolā meitenēm</t>
  </si>
  <si>
    <t>2.2.27.</t>
  </si>
  <si>
    <t>Jūrmalas atklātās meistarsacīkstes mākslas vingrošanā</t>
  </si>
  <si>
    <t>2.2.28.</t>
  </si>
  <si>
    <t>Jūrmalas meistarsacīkstes vieglatlētikas krosā "Jūrmalas rudens 2015"</t>
  </si>
  <si>
    <t>2.2.29.</t>
  </si>
  <si>
    <t>Jūrmalas vieglatlētikas sacensības lekšanas disciplīnās telpās</t>
  </si>
  <si>
    <t>2.2.30.</t>
  </si>
  <si>
    <t xml:space="preserve">Jūrmalas atklātās sacensības mākslas vingrošanā </t>
  </si>
  <si>
    <t>2.2.31.</t>
  </si>
  <si>
    <t>Jūrmalas pilsētas atklātais čempionāts daudzcīņā</t>
  </si>
  <si>
    <t>2.2.32.</t>
  </si>
  <si>
    <t>Jūrmalas atklātais turnīrs hokejā trijās vecuma grupās</t>
  </si>
  <si>
    <t>Skolēnu olimpiādes sacensības stafetēs "Drošie un veiklie"</t>
  </si>
  <si>
    <t>Jūrmalas Sporta skolas Atklātais turnīrs basketbolā "Pirtnieka kauss"</t>
  </si>
  <si>
    <t>Jūrmalas atklātais čempionāts mākslas vingrošanā grupu vingrojumos 4 grupās</t>
  </si>
  <si>
    <t>Jūrmalas Sporta skolas Atklātais turnīrs daiļslidošanā</t>
  </si>
  <si>
    <t>Jūrmalas Sporta skolas Atklātais turnīrs pludmales volejbolā</t>
  </si>
  <si>
    <t>Jūrmalas atklātais turnīrs basketbolā "Armīna Sproģa kauss"</t>
  </si>
  <si>
    <t>2.2.39.</t>
  </si>
  <si>
    <t xml:space="preserve">Jūrmalas Sporta skolas Atklātais turnīrs handbolā </t>
  </si>
  <si>
    <t>Jūrmalas Sporta centrs</t>
  </si>
  <si>
    <t>2.2.40.</t>
  </si>
  <si>
    <t>Jūrmalas skolēnu čempionāts futbolā</t>
  </si>
  <si>
    <t>2.2.41.</t>
  </si>
  <si>
    <t>Futbola sacensības "Lieldienu kauss 2015"</t>
  </si>
  <si>
    <t>2.2.42.</t>
  </si>
  <si>
    <t xml:space="preserve">Regbija sacensības "JSC ziemas kauss" </t>
  </si>
  <si>
    <t>2.2.44.</t>
  </si>
  <si>
    <t>pludmales regbija sacensības "JD kauss"</t>
  </si>
  <si>
    <t>2.2.45.</t>
  </si>
  <si>
    <t xml:space="preserve">Jūrmalas skolēnu peldēšanas čempionāts </t>
  </si>
  <si>
    <t>Skolotāju dienai veltīts pasākums</t>
  </si>
  <si>
    <t>Olimpiāžu uzvarētāju apbalvošana</t>
  </si>
  <si>
    <t>Svētki Mellužu estrādē pirmsskolas vecuma bērniem "Satiksimies zaļā pļavā" -organizē Vaivaru pamatskola</t>
  </si>
  <si>
    <t>Radošā darba izstādes un skates</t>
  </si>
  <si>
    <t>2.3.1.</t>
  </si>
  <si>
    <t>Inovatīvākā skola Jūrmalā (3 nominācijas)</t>
  </si>
  <si>
    <t>2.3.2.</t>
  </si>
  <si>
    <t>Izstāde "Izglītība Jūrmalā" (t.sk. bukletu izdošana)</t>
  </si>
  <si>
    <t>Vides un veselības izglītība</t>
  </si>
  <si>
    <t>Vides izziņas spēļu konkurss, pilsētas kārta, 1.-12.klasēm</t>
  </si>
  <si>
    <t xml:space="preserve">Vides pētniecisko darbu konkurss "Skolēni eksperimentē!" 1.-12.kl., </t>
  </si>
  <si>
    <t xml:space="preserve">Konkurss "Vides erudīts" 5.-6.kl., </t>
  </si>
  <si>
    <t xml:space="preserve">Vides pētnieku konkursss 8.klasēm, </t>
  </si>
  <si>
    <t>Tehniskās jaunrades un sporta pasākumi</t>
  </si>
  <si>
    <t>Jūrmalas balva skeitbordā 1.etaps, 2.etaps, 3.etaps</t>
  </si>
  <si>
    <t>Jūrmalas Bērnu un Jauniešu interešu centra balva skeitbordā un skrituļošanā</t>
  </si>
  <si>
    <t>Konkurss veselības izglītībā</t>
  </si>
  <si>
    <t>Jūrmalas fingerborda sacensības</t>
  </si>
  <si>
    <t>Novada un valsts mēroga skates, konkursi, sacensības</t>
  </si>
  <si>
    <t xml:space="preserve">Vokālās mūzikas novada konkurss "Balsis" </t>
  </si>
  <si>
    <t>5.5.</t>
  </si>
  <si>
    <t>5.-9.klašu koru novada skate Jelgavā</t>
  </si>
  <si>
    <t>5.6.</t>
  </si>
  <si>
    <t>10.-12.klašu koru novada skate Jelgavā</t>
  </si>
  <si>
    <t>5.7.</t>
  </si>
  <si>
    <t>5.8.</t>
  </si>
  <si>
    <t>Literāro uzvedumu un skatuves runas novada skate</t>
  </si>
  <si>
    <t>5.9.</t>
  </si>
  <si>
    <t>5.10.</t>
  </si>
  <si>
    <t>Reģionālais zinātniski pētniecisko darbu konkurss</t>
  </si>
  <si>
    <t>5.11.</t>
  </si>
  <si>
    <t>Latvijas izglītības iestāžu profesionālās ievirzes izglītības mākslas un dizaina jomas programmu audzēkņu Valsts konkurss "Kustības attēlojums zīmējumā"; 1.diena - Rīga, 2.diena - Sigulda</t>
  </si>
  <si>
    <t>5.12.</t>
  </si>
  <si>
    <t>XI Latvijas skolu jaunatnes dziesmu un deju svētki</t>
  </si>
  <si>
    <t>5.13.</t>
  </si>
  <si>
    <t>Tautas tērpu iegāde izglītības iestāžu deju kolektīviem un koriem dalībai XI Latvijas skolu jaunatnes dziesmu un deju svētkiem</t>
  </si>
  <si>
    <t>5.14.</t>
  </si>
  <si>
    <t>Autodaudzcīņa ar kartingiem Jūrmalā</t>
  </si>
  <si>
    <t>5.15.</t>
  </si>
  <si>
    <t>5.16.</t>
  </si>
  <si>
    <t>XIV Starpatautiskās vizuāli plastiskās mākslas konkurss " Es dzīvoju pie jūras"</t>
  </si>
  <si>
    <t>Mūzikas vsk.</t>
  </si>
  <si>
    <t>5.17.</t>
  </si>
  <si>
    <t>15.starptautiskais kameransambļu konkurss "JŪRMALA 2014"</t>
  </si>
  <si>
    <t>5.18.</t>
  </si>
  <si>
    <t>Mūzikas skolu kora nodaļu audzēkņu konkurss solo dziedāšanā "Jūrmalas balsis 2015"</t>
  </si>
  <si>
    <t>Metodiskās reģiona pasākumi (JMVS ir zonas skolu centrs). Stīgu, pūšamintrumentu, taustiņinstrumentu, koru metodiskās apvienības pasākumi</t>
  </si>
  <si>
    <t>Starptautiskās peldēšanas sacensības "Medūzas kauss"</t>
  </si>
  <si>
    <t>Peldēšanas sacensības "Jūrmalas domes kauss"</t>
  </si>
  <si>
    <t>Peldēšanas  sacensības "JSC kauss"</t>
  </si>
  <si>
    <t>Peldēšanas sacensības "Ziemassvētku čempionāts"</t>
  </si>
  <si>
    <t>Futbola sacensības  "Zelta rudens"</t>
  </si>
  <si>
    <t>Konferences, semināri</t>
  </si>
  <si>
    <t>Izglītības darbinieku augusta konference, ietverot izbraukuma semināru izglītības iestāžu vadītājiem, viņu vietniekiem un metodisko apvienību vadītājiem</t>
  </si>
  <si>
    <t>Semināri, konferences un kursi metodiskajām apvienībām, pedagogiem</t>
  </si>
  <si>
    <t xml:space="preserve">Kursi un praktiskās apmācības mūžizglītības kontekstā </t>
  </si>
  <si>
    <t>E-apmācības sistēma e-apmācības sistēma efektivitātes, kvalitātes un kontroles uzlabošanai</t>
  </si>
  <si>
    <t>Koncerts pirmajā adventē</t>
  </si>
  <si>
    <t>Izglītības iestāžu vadītāju praktiskās darbības semināri</t>
  </si>
  <si>
    <t>Ziemassvētku pasākums pedagogiem</t>
  </si>
  <si>
    <t>6.10.</t>
  </si>
  <si>
    <t>Vecāku konference</t>
  </si>
  <si>
    <t>6.11.</t>
  </si>
  <si>
    <t>Atvērto durvju dienu pasākums profesionālās un profesionālās ievirzes skolām</t>
  </si>
  <si>
    <t>6.12.</t>
  </si>
  <si>
    <t>6.13.</t>
  </si>
  <si>
    <t>Kulturoloģijas konkurss „Jūrmalas kultūras kanons”.</t>
  </si>
  <si>
    <t>Starptautiskais pedagoģijas meistarības konkurss "Jūrmalas rudens - 2015", līdzfinansējums</t>
  </si>
  <si>
    <t>Pedagoģiski medicīniskās komisijas dalībnieku darba apmaksai</t>
  </si>
  <si>
    <t>Atestāti un apliecības</t>
  </si>
  <si>
    <t>Pirmsskolas izglītības pakalpojuma nodrošināšana bērnam privātajā izglītības iestādē</t>
  </si>
  <si>
    <t>Juridiskā pārstāvniecība</t>
  </si>
  <si>
    <t>Jūrmala Raiņa un Aspazijas pilsēta</t>
  </si>
  <si>
    <t>Kultūras projektu konkurss - Profesionālās mākslas pieejamība Jūrmalā</t>
  </si>
  <si>
    <t>Jūrmalas pilsētas domes līdzfinansēto iedzīvotāju iniciatīvas projektu īstenošana kultūras un mākslas attīstības veicināšanas jomā</t>
  </si>
  <si>
    <t>Koru koncerti VIII Ziemeļu un Baltijas valstu Dziesmu svētku novadu dienā Jūrmalā 27.jūnijā</t>
  </si>
  <si>
    <t>Starptautiskā folkloras festivāla Baltica 2015 Novadu diena Jūrmalā 16.jūlijā</t>
  </si>
  <si>
    <t xml:space="preserve">Izglītības semināri nozares darbiniekiem </t>
  </si>
  <si>
    <t>Avārijas, nokaltušo un ainaviski mazvērtīgo koku nociršana ielu nodalījuma joslās, pašvaldības īpašumos un parkos un skvēros</t>
  </si>
  <si>
    <t>Atvasāju nopļaušana mežos un parkos</t>
  </si>
  <si>
    <t>Celmu izfrēzēšana uz gājēju ietvēm, parkos, skvēros  un apstādījumos</t>
  </si>
  <si>
    <t>Koku vainagu kopšana un veidošana pilsētas apstādījumos</t>
  </si>
  <si>
    <t>Zaru nozāģēšana kokiem pie apgaismes stabiem pilsētas maģistrālajās ielās</t>
  </si>
  <si>
    <t>Mežu stādījumu iegāde</t>
  </si>
  <si>
    <t>Pašvaldību mežu inventarizācija un mežaudžu novērtēšana</t>
  </si>
  <si>
    <t>Parku, skvēru, atpūtas vietu un apstādījumu kopšana</t>
  </si>
  <si>
    <t>Jaunu puķu trauku iegāde un apsaimniekošana</t>
  </si>
  <si>
    <t>Puķu siena</t>
  </si>
  <si>
    <t>Dzintaru mežaparka apsaimniekošana</t>
  </si>
  <si>
    <t>Sadzīves atkritumu konteineru izvietošana pludmalē un izejās uz jūru un atkritumu izvešana</t>
  </si>
  <si>
    <t>Sabiedrisko tualešu apsaimniekošana</t>
  </si>
  <si>
    <t>Sadzīves atkritumu savākšana un aizvešana</t>
  </si>
  <si>
    <t>Dzīvnieku uzturēšanas izmaksas patversmē</t>
  </si>
  <si>
    <t>Klejojošu dzīvnieku izķeršana, dzīvnieku līķu apglabāšana</t>
  </si>
  <si>
    <t>Bezsaimnieku dzīvnieku (kaķu) sterilizācija</t>
  </si>
  <si>
    <t>Ielu nosaukumu plāksnīšu un to stiprinājuma stabiņu  komplektu apsaimniekošana</t>
  </si>
  <si>
    <t xml:space="preserve">Autobusu pieturu remonts </t>
  </si>
  <si>
    <t xml:space="preserve">Autobusu pieturu izgatavošana un uzstādīšana </t>
  </si>
  <si>
    <t xml:space="preserve">Bērnu rotaļu laukumu un sporta laukumu izveide un remonts iekšpagalmos </t>
  </si>
  <si>
    <t xml:space="preserve">Jaunu solu un atkritumu urnu  izvietošana parkos un uz ielām </t>
  </si>
  <si>
    <t>Balvu iegāde konkursa "Jūrmalas sakoptākais īpašums" laureātiem</t>
  </si>
  <si>
    <t>Pārējie izdevumi pilsētas apsaimniekošanā</t>
  </si>
  <si>
    <t>Pilsētas Ziemassvētku dekoratīvā svētku apgaismojuma uzturēšana un atjaunošana</t>
  </si>
  <si>
    <t>Ziemassvētku egles (iegāde, uzstādīšana, demontāža)</t>
  </si>
  <si>
    <t>Strūklaku uzturēšana</t>
  </si>
  <si>
    <t>Pilsētas dīķu tīrīšanai</t>
  </si>
  <si>
    <t>Pludmales ģērbtuvju uzglabāšana ziemas sezonā</t>
  </si>
  <si>
    <t>Dušu, kāju mazgājamo krānu un sabiedrisko tualešu konteineru un ūdens sūkņu apkopei un remontam</t>
  </si>
  <si>
    <t>Jūrmalas glābšanas dienesta vajadzībām dubultā konteiniera izvietošanai un nomai Kļavu ielas 1 pludmalē</t>
  </si>
  <si>
    <t>Pilsētas robežzīmes izgatavošanas un izvietošanas labiekārtojuma projekta izstrāde</t>
  </si>
  <si>
    <t>Bērnu rotaļu laukumu izveide pirmsskolas izglītības iestādēs</t>
  </si>
  <si>
    <t xml:space="preserve">Pilsētas zīmola kampaņu un pasākumu informatīvo un reklāmas materiālu izvietošana medijos, drukātajos materiālos un interneta portālos, u.c digitālie  risinājumi </t>
  </si>
  <si>
    <t>Maketēšanas un tipogrāfijas pakalpojumi</t>
  </si>
  <si>
    <t>Pilsētas zīmola tēla videoklipa izstrāde un ražošana</t>
  </si>
  <si>
    <t>Pilsētas zīmola digitālās platformas - visitjurmala.com izstrāde</t>
  </si>
  <si>
    <t>Pasākumu, kampaņu informatīvo, mārketinga un reklāmas materiālu izstrāde un izgatavošana, kā materiālu izvietošana pilsētas vidē uz stendiem. Suvenīru un prezentmateriālu iegāde</t>
  </si>
  <si>
    <t>Organizatoriskie izdevumi</t>
  </si>
  <si>
    <t>Pasākumu, kampaņu-  radošo ideju izstrāde, sagatavošana un īstenošana. Radošo, komunikāciju un pasākumu organizēšanas aģentūru pakalpojumi. Pilsētvides objektu, u.c objektu radošās idejas, dizaina izstrāde, ražošana un uzstādīšana</t>
  </si>
  <si>
    <t>Tulkošanas pakalpojumi</t>
  </si>
  <si>
    <t>Pētījumi</t>
  </si>
  <si>
    <t>Līgumi ar fiziskām personām (autoratlīdzības)</t>
  </si>
  <si>
    <t>Biedru nauda European Cities Marketing</t>
  </si>
  <si>
    <t>Pilsētas mārketinga ilgtermiņa stratēģijas izstrāde</t>
  </si>
  <si>
    <t>Sporta vēstures grāmata par mākslas vingrošanu</t>
  </si>
  <si>
    <t xml:space="preserve">Teritorijas plānojums un apbūves noteikumi </t>
  </si>
  <si>
    <t>Jauns detālplānojums/lokālplānojums un/vai izpētes darbi saskaņā ar jauno TP</t>
  </si>
  <si>
    <t>Bioloģiskās daudzveidības izpēte detālplānojumu izstrādes nodrošināšanai</t>
  </si>
  <si>
    <t>Tematiskais plānojums - Jūrmalas pilsētas ainavu aizsardzības un plānošanas koncepcija</t>
  </si>
  <si>
    <t>Ziemassvētku, Lieldienu un Līgo svētku noformējuma izveide, montāža, demontāža</t>
  </si>
  <si>
    <t>Jauna Valsts svētku noformējuma projekts, izveide, montāža un demontāža</t>
  </si>
  <si>
    <t>Ziemassvētku noformējuma konkurss (atzinības raksti, apbalvojumi)</t>
  </si>
  <si>
    <t>Līdzfinansējuma nodrošināšana sabiedriski pieejamu kultūrvēsturiskā mantojuma saglabāšanai objektos, kuros notiek pilsētas nozīmes pasākumi</t>
  </si>
  <si>
    <t>Pieminekļa Ķemeru kūrorta dibinātājiem un direktoriem (ārstu koka) remonts - restaurācija</t>
  </si>
  <si>
    <t>Grāmatas par Jūrmalas kultūrvēsturi -  koka arhitektūru sagatavošana, maketēšana, tulkošana (latviešu, krievu, angļu valodās), iespiešana</t>
  </si>
  <si>
    <t>Majoru muižas kompleksa Konkordijas ielā 66 izmantošanas ideju konkursa organizēšana, ēku projektēšana, remonts-restaurācija</t>
  </si>
  <si>
    <t>Projektu pieteikumu sagatavošanas un projektu ieviešanas izmaksas</t>
  </si>
  <si>
    <t>Iedzīvotāju projektu konkurss pašvaldības administratīvajā teritorijā esošas atpūtas infrastruktūras attīstībai</t>
  </si>
  <si>
    <t>Tipogrāfijas un maketēšanas pakalpojumi pašvaldības informatīvā biļetena izdošanai</t>
  </si>
  <si>
    <t>Pašvaldības informatīvā biļetena dizaina koncepcijas maiņa un pilnveidošana, atbilstoši pilsētas zīmola stratēģijai</t>
  </si>
  <si>
    <t>Pašvaldības informatīvā biļetena piegāde (pasta pakalpojumi)</t>
  </si>
  <si>
    <t>Online ziņu abonements (ziņu aģentūra LETA)</t>
  </si>
  <si>
    <t>Foto pakalpojumi (ziņu aģentūra LETA)</t>
  </si>
  <si>
    <t>Periodikas pasūtīšana 2015.gadam (laikrakstu, žurnālu, rokasgrāmatu abonoments)</t>
  </si>
  <si>
    <t>Jaunas Jūrmalas pilsētas tīmekļa vietnes izstrāde</t>
  </si>
  <si>
    <t>Profesionālas fotosesijas - pašvaldības runaspersonu portreti publicitātes vajadzībām.</t>
  </si>
  <si>
    <t>Sabiedrisko attiecību kampaņu, mediju pasākumu, konferenču, semināru, gadadienu u.c. pasākumu organizēšanas izdevumi (publisko attiecību kampaņas)</t>
  </si>
  <si>
    <t xml:space="preserve">Sabiedrisko attiecību, radošo vai pasākumu organizēšanas aģentūru pakalpojumi </t>
  </si>
  <si>
    <r>
      <t>Līgumi ar fiziskām personām</t>
    </r>
    <r>
      <rPr>
        <i/>
        <sz val="9"/>
        <rFont val="Times New Roman"/>
        <family val="1"/>
        <charset val="186"/>
      </rPr>
      <t xml:space="preserve"> (autoratlīdzības, uzņēmuma līgumi)</t>
    </r>
  </si>
  <si>
    <t>Sabiedriskās domas pētījumi par iedzīvotāju attieksmi par Jūrmalas pilsētas domes darbu un aktuālajiem jautājumiem</t>
  </si>
  <si>
    <t>Sadarbība ar plašsaziņas līdzekļiem (TV, prese, radio, internets)</t>
  </si>
  <si>
    <t>Jūrmalas pilsētas sociālo kontu uzturēšana un pašreklāma (Facebook, Twitter, Instagram)</t>
  </si>
  <si>
    <t>Sporta nodaļa</t>
  </si>
  <si>
    <t>I Jūrmalas pilsētas sporta pasākumi</t>
  </si>
  <si>
    <t>Gada balva sportā 2015</t>
  </si>
  <si>
    <t>Olimpiskā diena 2015</t>
  </si>
  <si>
    <t>FUTBOLS</t>
  </si>
  <si>
    <t>Atklātās sacensības "Jūrmalas domes kauss" 5.posmos  pludmales futbolā</t>
  </si>
  <si>
    <t>Jūrmalas pilsētas atklātais čempionāts pieaugušiem</t>
  </si>
  <si>
    <t xml:space="preserve">SKEITBORDS </t>
  </si>
  <si>
    <t xml:space="preserve">Jūrmalas pilsētas domes kauss skeitbordā </t>
  </si>
  <si>
    <t>ŪDENSMOTOSPORTS</t>
  </si>
  <si>
    <t xml:space="preserve">"Jurmala cup" sacensības ūdens motosportā </t>
  </si>
  <si>
    <t>Latvijas čempionāts ūdensmotosportā</t>
  </si>
  <si>
    <t>AUSTRUMCĪŅAS</t>
  </si>
  <si>
    <t>INVALĪDU SPORTS</t>
  </si>
  <si>
    <t>Sporta svētki "Pepija tūrisma takās " bērniem invalīdiem</t>
  </si>
  <si>
    <t>Sporta svētki "Pepija Ziemassvētkos " bērniem invalīdiem</t>
  </si>
  <si>
    <t>Invalīdu sporta spēles</t>
  </si>
  <si>
    <t>Orientēšanās invalīdiem "Tu vari!"</t>
  </si>
  <si>
    <t>Baltā spieķa diena</t>
  </si>
  <si>
    <t>Jūrmalas veselības nedēļa</t>
  </si>
  <si>
    <t>Atklātais Ziemeļu-Baltijas valstu nedzirdīgo čempionāts smilšu volejbolā</t>
  </si>
  <si>
    <t>GALDA TENISS</t>
  </si>
  <si>
    <t>Jūrmalas atklātais čempionāts galda tenisā(2 dienas)</t>
  </si>
  <si>
    <t>Draudzības kausa izcīņas Jūrmalas posms</t>
  </si>
  <si>
    <t>Jūrmalas domes  balvu izcīņa galda tenisā senioriem (2 dienas)</t>
  </si>
  <si>
    <t>Ziemassvētku sacensības galda tenisā</t>
  </si>
  <si>
    <t>AIRĒŠANA</t>
  </si>
  <si>
    <t>LR Ziemas čempionāts</t>
  </si>
  <si>
    <t>Sezonas atklāšanas sacensības</t>
  </si>
  <si>
    <t>LR čempionāts garajās distancēs</t>
  </si>
  <si>
    <t>8.4.</t>
  </si>
  <si>
    <t>LAF balvu izcīņa</t>
  </si>
  <si>
    <t>8.5.</t>
  </si>
  <si>
    <t>LR čempionāts junioriem "A"</t>
  </si>
  <si>
    <t>8.6.</t>
  </si>
  <si>
    <t>LR čempionāts junioriem "B"</t>
  </si>
  <si>
    <t>8.7.</t>
  </si>
  <si>
    <t>LR čempionāts</t>
  </si>
  <si>
    <t>8.8.</t>
  </si>
  <si>
    <t>Sezonas noslēguma sacensības</t>
  </si>
  <si>
    <t>8.9.</t>
  </si>
  <si>
    <t>LR rudens kauss</t>
  </si>
  <si>
    <t>8.10.</t>
  </si>
  <si>
    <t>LR MIX (2x, 4-)</t>
  </si>
  <si>
    <t>8.11.</t>
  </si>
  <si>
    <t>LR kausa izcīņa</t>
  </si>
  <si>
    <t>8.12.</t>
  </si>
  <si>
    <t xml:space="preserve">LR Ziemas kauss </t>
  </si>
  <si>
    <t>8.13.</t>
  </si>
  <si>
    <t>LR pavasara kauss</t>
  </si>
  <si>
    <t>8.14.</t>
  </si>
  <si>
    <t>Baltijas Valstu atklātais čempionāts</t>
  </si>
  <si>
    <t>8.15.</t>
  </si>
  <si>
    <t>Jūrmalas pilsētas atklātais čempionāts smaiļošanā</t>
  </si>
  <si>
    <t>8.16.</t>
  </si>
  <si>
    <t>Jūrmalas pilsētas čempionāts akadēmiskā airēšanā</t>
  </si>
  <si>
    <t>8.17.</t>
  </si>
  <si>
    <t>Jūrmalas airēšanas maratons</t>
  </si>
  <si>
    <t>BURĀŠANA</t>
  </si>
  <si>
    <t>2 stundu regates sezonas sacensību seriāls</t>
  </si>
  <si>
    <t>Jūrmalas pilsētas burāšanas sezonas atklāšanas regate</t>
  </si>
  <si>
    <t>Maija regate</t>
  </si>
  <si>
    <t>9.4.</t>
  </si>
  <si>
    <t>Optimist asociācijas kauss. Baltic Optimist Cup posms</t>
  </si>
  <si>
    <t>9.5.</t>
  </si>
  <si>
    <t>Jūrmalas kausa regate</t>
  </si>
  <si>
    <t>9.6.</t>
  </si>
  <si>
    <t>Beach Regatta</t>
  </si>
  <si>
    <t>9.7.</t>
  </si>
  <si>
    <t>9.8.</t>
  </si>
  <si>
    <t>Priedaines Jahtkluba sezonas slēgšanas regate</t>
  </si>
  <si>
    <t>9.9.</t>
  </si>
  <si>
    <t>Baltic Sea Cup</t>
  </si>
  <si>
    <t>9.10.</t>
  </si>
  <si>
    <t>Olimpisko laivu klases "470" kausa izcīņa</t>
  </si>
  <si>
    <t>Jūrmalas kausa izcīņa ledus burāšanā</t>
  </si>
  <si>
    <t>BASKETBOLS</t>
  </si>
  <si>
    <t>Jūrmalas basketbola čempionāts 14/15</t>
  </si>
  <si>
    <t>Jūrmalas čempionāts basketbolā vīriešiem 15/16</t>
  </si>
  <si>
    <t>PLUDMALES VOLEJBOLS</t>
  </si>
  <si>
    <t>Latvijas čempionāts pludmales volejbolā</t>
  </si>
  <si>
    <t>Pludmales volejbola sacensības "King or the beach", "Queen of the beach"</t>
  </si>
  <si>
    <t>11.3.</t>
  </si>
  <si>
    <t>Jūrmalas atklātais pludmales volejbola čempionātu un turnīru seriāls</t>
  </si>
  <si>
    <t>11.4.</t>
  </si>
  <si>
    <t>11.5.</t>
  </si>
  <si>
    <t>2015 CEV Beach Volleyball Championship Jurmala Masters</t>
  </si>
  <si>
    <t>11.6.</t>
  </si>
  <si>
    <t>LSVS 52. sporta spēļu senioru finālsacensības pludmales volejbolā</t>
  </si>
  <si>
    <t>Jūrmalas pilsētas sniega-smilšu atklātais volejbola čempionāts 2015.</t>
  </si>
  <si>
    <t>HANDBOLS</t>
  </si>
  <si>
    <t>Starptautiskais turnīrs Pludmales handbolā</t>
  </si>
  <si>
    <t>ŠAHS</t>
  </si>
  <si>
    <t>Jūrmalas šaha turnīrs 2015</t>
  </si>
  <si>
    <t>ORIENTĒŠANĀS</t>
  </si>
  <si>
    <t>Tautas orientēšanās sacensības"Ķemermiestiņa mazās Anniņas lielā balva"</t>
  </si>
  <si>
    <t>ŪDENSSLĒPOŠANA</t>
  </si>
  <si>
    <t xml:space="preserve">Jūrmalas pilsētas atklātais čempionāts "Jūrmalas Domes kauss " </t>
  </si>
  <si>
    <t>Jūrmalas ūdensslēpošanas svētki</t>
  </si>
  <si>
    <t>BOKSS/KIKBOKS</t>
  </si>
  <si>
    <t xml:space="preserve"> Jāņa Roviča starptautiskais piemiņas turnīrs</t>
  </si>
  <si>
    <t xml:space="preserve"> Starptautiskais boksa turnīrs</t>
  </si>
  <si>
    <t>Boksa sacensības "Atklātais rings Jūrmala 2015"</t>
  </si>
  <si>
    <t>VIEGLATLĒTIKA</t>
  </si>
  <si>
    <t xml:space="preserve">Skrējiens "Dzintaru apļi" 7 kārtās </t>
  </si>
  <si>
    <t xml:space="preserve">Pludmales skrējiens "Bruņurupucis" </t>
  </si>
  <si>
    <t>Jūrmalas Skriešanas svētki</t>
  </si>
  <si>
    <t>TENISS</t>
  </si>
  <si>
    <t>LR ziemas tenisa čempionāts pieaugušiem, jauniešiem, senioriem</t>
  </si>
  <si>
    <t>18.3.</t>
  </si>
  <si>
    <t>LR vasaras čempionāti pieaugušiem, jauniešiem, senioriem</t>
  </si>
  <si>
    <t>LR čempionāts pludmales tenisā</t>
  </si>
  <si>
    <t>CITI</t>
  </si>
  <si>
    <t>19.1.</t>
  </si>
  <si>
    <t>Jūrmalas atklātas sacensības loka šaušanā</t>
  </si>
  <si>
    <t>19.2.</t>
  </si>
  <si>
    <t>Jūrmalas pilsētas atklātais aerobikas festivāls</t>
  </si>
  <si>
    <t>19.3.</t>
  </si>
  <si>
    <t>Ielu basketbola turnīrs "Ghetto basket" 3 posmos</t>
  </si>
  <si>
    <t>19.4.</t>
  </si>
  <si>
    <t>Ielu basketbola turnīrs "Ghetto florbol" 3 posmos</t>
  </si>
  <si>
    <t>19.5.</t>
  </si>
  <si>
    <t>19.6.</t>
  </si>
  <si>
    <t>Latvijas Senioru atklātais čempionāts tenisā "Jūrmalas kauss"</t>
  </si>
  <si>
    <t>19.7.</t>
  </si>
  <si>
    <t>Autorallijs "Latvija 2015"</t>
  </si>
  <si>
    <t>19.8.</t>
  </si>
  <si>
    <t>19.9.</t>
  </si>
  <si>
    <t>Starptautiskais bridža turnīrs</t>
  </si>
  <si>
    <t>19.10.</t>
  </si>
  <si>
    <t>19.11.</t>
  </si>
  <si>
    <t>Jūrmalas atklātais bērnu čempionāts daiļslidošanā 2015</t>
  </si>
  <si>
    <t>19.12.</t>
  </si>
  <si>
    <t>19.13.</t>
  </si>
  <si>
    <t>Jūrmalas ECO TRAIL skriešanas pasākums</t>
  </si>
  <si>
    <t>19.14.</t>
  </si>
  <si>
    <t>Skrituļošanas maratons</t>
  </si>
  <si>
    <t>19.15.</t>
  </si>
  <si>
    <t>"Jūrmalas kauss" džudo</t>
  </si>
  <si>
    <t>19.16.</t>
  </si>
  <si>
    <t>Pludmales cīņa</t>
  </si>
  <si>
    <t>19.17.</t>
  </si>
  <si>
    <t>Sporta pasākums "Jūras skrējiens"</t>
  </si>
  <si>
    <t>19.18.</t>
  </si>
  <si>
    <t>Atklāto ūdenstilpņu peldēšanas sacensības</t>
  </si>
  <si>
    <t>19.19.</t>
  </si>
  <si>
    <t>Starptautiskās sporta spēles (Policijas asociācija)</t>
  </si>
  <si>
    <t>Vislatvijas skolēnu sporta un prāta finālspēles "ZZ čempionāts-rādi klasi"</t>
  </si>
  <si>
    <t>Mazā stiprinieka piedzīvojumi""</t>
  </si>
  <si>
    <t>Prāta spēles</t>
  </si>
  <si>
    <t>FLORBOLS</t>
  </si>
  <si>
    <t>20.1.</t>
  </si>
  <si>
    <t>Jūrmalas atklātais vasaras kauss florbolā jauniešiem</t>
  </si>
  <si>
    <t>20.2.</t>
  </si>
  <si>
    <t>"Jūrmalas nakts turnīrs 2015" florbolā</t>
  </si>
  <si>
    <t>20.3.</t>
  </si>
  <si>
    <t>"Jurmala CUP 2015" starptautiskais florbola turnīrs</t>
  </si>
  <si>
    <t>HOKEJS</t>
  </si>
  <si>
    <t>21.1.</t>
  </si>
  <si>
    <t>Jūrmalas čempionāts hokejā</t>
  </si>
  <si>
    <t>21.2.</t>
  </si>
  <si>
    <t>21.3.</t>
  </si>
  <si>
    <t>"Winter clasik" bērnu starptautiskais turnīrs hokejā U16 vecuma grupā</t>
  </si>
  <si>
    <t>"Winter clasik" bērnu starptautiskais turnīrs hokejā U14 vecuma grupā</t>
  </si>
  <si>
    <t>MĀKSLAS VINGROŠANA</t>
  </si>
  <si>
    <t>22.1.</t>
  </si>
  <si>
    <t>Starptautiskais festivāls"Mazā-lielā grācija"</t>
  </si>
  <si>
    <t>22.2.</t>
  </si>
  <si>
    <t>Ziemassvētku turnīrs</t>
  </si>
  <si>
    <t>22.3.</t>
  </si>
  <si>
    <t>Jūrmalas atklātās jaunatnes meistarsacīkstes individuālajā programmā</t>
  </si>
  <si>
    <t>22.4.</t>
  </si>
  <si>
    <t>Jūrmalas pilsētas atklātais čempionāts</t>
  </si>
  <si>
    <t>22.5.</t>
  </si>
  <si>
    <t>Jūrmalas pilsētas atklātās jaunatnes meistarsacīkstes grupu vingrojumos</t>
  </si>
  <si>
    <t>REGBIJS</t>
  </si>
  <si>
    <t>23.1.</t>
  </si>
  <si>
    <t>Jūrmalas kauss regbijā 2015</t>
  </si>
  <si>
    <t>23.2.</t>
  </si>
  <si>
    <t>10 Pludmales regbija sacensības (9 vecuma posmos)</t>
  </si>
  <si>
    <t>RITEŅBRAUKŠANA</t>
  </si>
  <si>
    <t>24.1.</t>
  </si>
  <si>
    <t>"Filter velokauss 2015"</t>
  </si>
  <si>
    <t>24.2.</t>
  </si>
  <si>
    <t>Riteņbraukšanas maratons</t>
  </si>
  <si>
    <t>24.3.</t>
  </si>
  <si>
    <t xml:space="preserve">MTB maratons </t>
  </si>
  <si>
    <t>ZIEMAS SPORTA PASĀKUMI</t>
  </si>
  <si>
    <t>25.1.</t>
  </si>
  <si>
    <t>Ziemas sporta svētki</t>
  </si>
  <si>
    <t xml:space="preserve">II  Jūrmalas pilsētas finansētie sporta klubu komandu piedalīšanās izdevumi starptautiskās sacensībās un Latvijas čempionātu sacensībās 2015.g. </t>
  </si>
  <si>
    <t>Biedrība "Basketbola klubs Jūrmala"</t>
  </si>
  <si>
    <t>Sporta klubs "Jūrmalas sports"</t>
  </si>
  <si>
    <t>Futbola virslīgas komandas ''Spartaks" atbalstam</t>
  </si>
  <si>
    <t>Futbola virslīgas komandas ''FC Jūrmala" atbalstam</t>
  </si>
  <si>
    <t>Dalība LSVS 52. sporta spēlēs</t>
  </si>
  <si>
    <t>Dalība Latvijas ziemas olimpiādē Siguldā 2015</t>
  </si>
  <si>
    <t>Dalība Latvijas Jaunatnes vasaras olimpiādē Cēsīs un Valmierā, Jūrmalā 2015</t>
  </si>
  <si>
    <t>Jurmala Racing Team</t>
  </si>
  <si>
    <t>Jūrmalas sporta veterānu atbalstam. SSB Jūrmala</t>
  </si>
  <si>
    <t>Florbola klubs "Jūrmala"</t>
  </si>
  <si>
    <t>G. Valnera dalībai sacensībās</t>
  </si>
  <si>
    <t>Biedrība Airēšanas federācija, Jūrmalas airētāju atbalstam</t>
  </si>
  <si>
    <t>Jūrmalas smaiļotāju un kanoistu atbalstam</t>
  </si>
  <si>
    <t>Hokeja klubs "Kauguri"</t>
  </si>
  <si>
    <t>Hokeja klubs "Jūrmala"</t>
  </si>
  <si>
    <t>Sporta klubs "Neguss"</t>
  </si>
  <si>
    <t>Jūrmalas Karsējmeiteņu komandai</t>
  </si>
  <si>
    <t>Senioru SK "DEVRO -Jūrmala"</t>
  </si>
  <si>
    <t>Maratonistes J. Prokopčukas dalība sacensībās</t>
  </si>
  <si>
    <t>Biedrība  Sporta klubs "MSL"</t>
  </si>
  <si>
    <t>Jūrmalas kartingista dalība sacensībās (A. Zviedris)</t>
  </si>
  <si>
    <t>Burāšanas sporta vienības fonda "Collatis viribus" atbalstam</t>
  </si>
  <si>
    <t>Boksa kluba "Jūrmala" dalība sacensībās</t>
  </si>
  <si>
    <t>Dalība Pasaules kausa sacensībās pludmales volejbolā (A. Samoilovs)</t>
  </si>
  <si>
    <t>Jāņa Roviča boksa klubs</t>
  </si>
  <si>
    <t>Kartingista  Šubecka dalība sacensībās</t>
  </si>
  <si>
    <t>Līdzfinansējums T.L. Graudiņai</t>
  </si>
  <si>
    <t>Dalība sacensībās džudo klubam Lido</t>
  </si>
  <si>
    <t>Dalība FIMBA Pasaules senioru basketbola čempionātā</t>
  </si>
  <si>
    <t>Jūrmalas ātrslidošanas klubs</t>
  </si>
  <si>
    <t>Pludmales futbola komandai "VBFK"</t>
  </si>
  <si>
    <t>Biedrība "Sporta klubs RECTOR"</t>
  </si>
  <si>
    <t>Jūrmalas bērnu ūdensslēpotāju atbalstam</t>
  </si>
  <si>
    <t>T. Dreimaņa dalībai sacensībās</t>
  </si>
  <si>
    <t>Atbalsts moto sportistam Dz. Baltam</t>
  </si>
  <si>
    <t>Atbalsts supermoto sportistam L. Liepiņam</t>
  </si>
  <si>
    <t>Peldētāja E. Pones atbalstam</t>
  </si>
  <si>
    <t>Sporta klubs "Amazones"</t>
  </si>
  <si>
    <t>Biedrība "Vsevoloda Zeļonija sporta skola"</t>
  </si>
  <si>
    <t>Airēšanas klubs "Majori"</t>
  </si>
  <si>
    <t>Motosporta komandas "Jūrmalas delveri"</t>
  </si>
  <si>
    <t>Senioru sporta spēles</t>
  </si>
  <si>
    <t>Kartingista  E. Veismaņa dalība sacensībās</t>
  </si>
  <si>
    <t>Regbija klubs "Jūrmala" (virslīgas komanda)</t>
  </si>
  <si>
    <t>Volejbola komanda "Tornado"</t>
  </si>
  <si>
    <t>Karatistes M. L. Muižnieces atbalstam</t>
  </si>
  <si>
    <t>Biedrība "Volejbola komanda Rietumjūrmala"</t>
  </si>
  <si>
    <t>Ūdensmotosportista D. Šillera atbalstam</t>
  </si>
  <si>
    <t>Cīņas klubs "MMA Jūrmala"</t>
  </si>
  <si>
    <t>Skeitbordista M. Liepiņa atbalstam</t>
  </si>
  <si>
    <t>Biedrības "Hokeja akadēmijas sporta centrs" hokeja virslīgas komandas atbalstam</t>
  </si>
  <si>
    <t>Autosportista J. Dreimaņa atbalstam</t>
  </si>
  <si>
    <t>"Kauguru sporta klubs" šahs</t>
  </si>
  <si>
    <t>Dalība pašvaldību sporta spēlēs</t>
  </si>
  <si>
    <t>Dalība  Rīgas skriešanas maratonā 2015</t>
  </si>
  <si>
    <t>Latvijas frisbija izlases dalībnieces jūrmalnieces K. Mierkalnes atbalstam</t>
  </si>
  <si>
    <t>Svarcēlāja R. Žerdiņa atbalstam</t>
  </si>
  <si>
    <t>Dalība 4.maija Stipro skrējienā</t>
  </si>
  <si>
    <t>Dalība starptautiskajās pludmales regbija sacensībās</t>
  </si>
  <si>
    <t>Pašvaldības atzinības izteikšana par īpašiem sasniegumiem un rezultātiem</t>
  </si>
  <si>
    <t>III</t>
  </si>
  <si>
    <t>Rezerve sportam 4%</t>
  </si>
  <si>
    <t>rezerve sportam</t>
  </si>
  <si>
    <t>KOPĀ (EUR) :</t>
  </si>
  <si>
    <t>Jūrmalas attīstības plānošanas darbi</t>
  </si>
  <si>
    <t xml:space="preserve">Uzņēmējdarbības attīstības veicināšana </t>
  </si>
  <si>
    <t>Statistikas iepirkšana</t>
  </si>
  <si>
    <t>KPFI īstenotā projekta ēku monitorēšana     (8 izglītības iestāžu ēkas)</t>
  </si>
  <si>
    <t>Karjeras attīstības pasākumi</t>
  </si>
  <si>
    <t>Enerģētikas rīcības plāna ieviešana</t>
  </si>
  <si>
    <t>Konferenču un pašvaldības uzņemšanas pasākumu organizēšana</t>
  </si>
  <si>
    <t>Braukšanas maksas atlaides un zaudējumu kompensēšana Jūrmalas pilsētas maršrutu tīkla pilsētas nozīmes maršrutos</t>
  </si>
  <si>
    <t>Produktu subsīdijas komersantiem sabiedriskā transporta pakalpojumu nodrošināšanai (par pasažieru regulārajiem pārvadājumiem)</t>
  </si>
  <si>
    <t>Audits (SIA "Autotransporta firma Jūrmala SV")</t>
  </si>
  <si>
    <t>Licenču kartīšu pasūtīšana</t>
  </si>
  <si>
    <t>Sabiedriskā transporta sarakstu aplikācijas  izstrāde lietošanai mobilajos tālruņos</t>
  </si>
  <si>
    <t>Karšu shēmas un kustību sarakstu izstrāde</t>
  </si>
  <si>
    <t>Tiesas spriedumu izpilde</t>
  </si>
  <si>
    <t>Tiesāšanās izdevumi</t>
  </si>
  <si>
    <t>30%  Zivju fondam/ iekasētā summa no zvejas rīku limitu sadalījuma/</t>
  </si>
  <si>
    <t>Zivju resursu papildināšana Jūrmalas ūdenstilpēs</t>
  </si>
  <si>
    <t>Priedaines rekultivētā atkritumu izgāztuve/ krūmu un koku atvašu ciršana/ apsaimniekošana (informatīvo zīmju uzstādīšana-ceļa norobežojošās barjeras uzturēšana (iespējams remonts pēc bojājjumiem)).</t>
  </si>
  <si>
    <t xml:space="preserve">Vides stāvokļa monitoringa veikšanai / slēgtajā-rekultivētajā izgāztuvē ''Priedaine''/ </t>
  </si>
  <si>
    <t>Ornitoloģiskā izpēte / vārnu populācijas izpēte, vai tā neietekmē pilsētā esošo citu putnu (mazo) samazinājumu</t>
  </si>
  <si>
    <t>RJL, Lielupes, Slokas karjera, noteku uz jūru ūdens kvalitātes mikrobioloģiskās un fizikāli ķīmiskās analīzes</t>
  </si>
  <si>
    <t>Pludmales erozijas seku likvidēšanas pasākumi / pilot projekti / atzinumi-rekomendācijas par erozijas seku likvidēšanu/ krasta kāpu atjaunošanas darbi (smilšu piebēršana, koka pinumu veidošana, kārklu stādījumi, kāpu augu stādījumi u.c.)</t>
  </si>
  <si>
    <t>Pilsētas aizsargājamo koku apsekošana/ informatīvo zīmju izvietošana / digitālas aizsargājamo koku kartes izstrāde</t>
  </si>
  <si>
    <t>Jūrmalas pašvaldības un Dabas aizsardzības pārvaldes un Ķemeru nacionālā parka fonda sadarbības līguma ietvaros / dūņu resursu izpētes ĶNP / Vecslocenes un Vēršupītes gultnes tīrīšana dabas teritorijās / citi sadarbības līgumā atbalstītie pasākumi</t>
  </si>
  <si>
    <t>Zilā Karoga programmas realizēšana</t>
  </si>
  <si>
    <t>Pludmales peldūdens analīžu monitorings/ izvietošana / pludmales uzraudzība sezonas laikā.</t>
  </si>
  <si>
    <t>Jūrmalas pilsētas Vides programmas izstrāde / izstrādes uzsākšana</t>
  </si>
  <si>
    <t>Dalība tūrisma izstādēs un gadatirgos</t>
  </si>
  <si>
    <t>Dalība tūrisma izstādē Rīgā, Latvijā, Baltour, lielveikalos</t>
  </si>
  <si>
    <t>Jūrmalas dienas ārvalstīs</t>
  </si>
  <si>
    <t>Vizītes</t>
  </si>
  <si>
    <t>Dalība tūrisma darba semināros, dienās, prezentācijās un to rīkošana (Norvēģija, Somija, polija, Zviedrija, Krievija, Ukraina, Baltkrievija, Izraēla u.c.)</t>
  </si>
  <si>
    <t>Vizītes uz esošām un potenciālajām sadraudzības pilsētām tūrisma un kūrortjautājumos</t>
  </si>
  <si>
    <t>Informatīvie materiāli par Jūrmalu</t>
  </si>
  <si>
    <t>Tūrisma brošūra Jūrmala (lv, ru, eng, de, nor, fin, swe, de, lt, ee, it, fr)</t>
  </si>
  <si>
    <t>Info pasākumu bukleti</t>
  </si>
  <si>
    <t>Jūrmalas buklets(plēšamā un lokāmā karte)</t>
  </si>
  <si>
    <t>3.5.</t>
  </si>
  <si>
    <t>Veselības tūrisma brošūra (LV, RU, ENG)</t>
  </si>
  <si>
    <t>3.6.</t>
  </si>
  <si>
    <t>Tūrisma avīze (lt, ee, pavasaris, rudens)</t>
  </si>
  <si>
    <t>3.7.</t>
  </si>
  <si>
    <t>Bērnu brošūra (LV, RU)</t>
  </si>
  <si>
    <t>3.8.</t>
  </si>
  <si>
    <t>Velo brošūra (LV, RU, ENG)</t>
  </si>
  <si>
    <t>3.9.</t>
  </si>
  <si>
    <t>Jūrmalas buklets Tallink prāmjiem</t>
  </si>
  <si>
    <t>Kultūras tūrisma maršruta karte ''Rainis&amp;Aspazija'' (RU, ENG)</t>
  </si>
  <si>
    <t>Dalības maksa ESPA(Eiropas kūrortu asociācija)</t>
  </si>
  <si>
    <t>Dalība Latvijas kūrortpilsētu asociācijā</t>
  </si>
  <si>
    <t>Dalība EDEN asociācijā</t>
  </si>
  <si>
    <t>Pārējie pakalpojumi</t>
  </si>
  <si>
    <t>www.jurmala.lv tūrisma reklāmas banera izgatavošano, tūrisma reklāmu izvietošana Latvijas ārvalstu ziņu portālos, radio., vilcienos, lidostās, žurnālos, TV</t>
  </si>
  <si>
    <t>Sadraudzības līgumu notariālie turlkojumi, tulkojumi</t>
  </si>
  <si>
    <t>Starptautiskas Latvijas kūrortu konferences rīkošana, Ārvalstu tūrisma aģentu un žurnālistu, citu delegāciju uzņemšana Jūrmalā</t>
  </si>
  <si>
    <t>Tūrisma informatīvo ceļa zīmju kājāmgājējiem un autotransportam finansējums</t>
  </si>
  <si>
    <t>Pasākumu organizēšanas izdevumu apmaksa pilsētas pasākumu programmas ietvaros, veselības dienas, tūrisma uzņēmēju gadatirgus</t>
  </si>
  <si>
    <t>Lielformāta karšu izgatavošana, piegāde un uzstādīšana</t>
  </si>
  <si>
    <t>Tūrisma informācijas uzglabāšanas USB kartes (500 gb.)</t>
  </si>
  <si>
    <t>Realizācijas līgumi</t>
  </si>
  <si>
    <t>PVN</t>
  </si>
  <si>
    <t>Ārvalstu tūrisma aģentu un žurnālistu, citu delegāciju uzņemšana Jūrmalā</t>
  </si>
  <si>
    <t>Live Riga</t>
  </si>
  <si>
    <t>Dalība ar reklāmu par Jūrmalu - tūrisma karte "Enjoy Map Riga/Jurmala"</t>
  </si>
  <si>
    <t>www.jurmala.lv reklāmas banera ievietošana Latvijas ārvalstu tūrisma ziņu portālos, reklāma Live Riga portālā</t>
  </si>
  <si>
    <t>Dalība tūrisma darbsemināros Live Riga</t>
  </si>
  <si>
    <t>Jūrmalas reklāma MEET Riga izdevumā</t>
  </si>
  <si>
    <t>Īpašumu iegāde</t>
  </si>
  <si>
    <t>Valsts nodeva īpašumu pirkšanai</t>
  </si>
  <si>
    <t>Vērtēšana (tirgus vērtību noteikšana un aktualizācija; kapitālsabiedrību pamatkapitālā iekļaujamo nekustamo īpašumu vērtēšana; kaptālsabiedrību vērtēšana)</t>
  </si>
  <si>
    <t>Sludinājumi</t>
  </si>
  <si>
    <t xml:space="preserve">Informatīvie stendi  (izgatavošana, uzstādīša un demontāža) </t>
  </si>
  <si>
    <t xml:space="preserve">Zemes  noma </t>
  </si>
  <si>
    <t>Nekustamā īpašuma nodokļa kompensācija</t>
  </si>
  <si>
    <t>Pašvaldības īpašumā esošo nekustamo īpašumu pārvaldīšana un komunālie pakalpojumi</t>
  </si>
  <si>
    <t>Īpašumu apdrošināšana</t>
  </si>
  <si>
    <t>Ēku tehniskā stāvokļa novērtēšana</t>
  </si>
  <si>
    <t>Projekts - apliecinājuma karte</t>
  </si>
  <si>
    <t>Pašvaldībai piederošu publisko ēku energosertifikācija (energoaudits)</t>
  </si>
  <si>
    <t>Kadastrālā uzmērīšana zemesgabaliem, kas ierakstāmi zemesgrāmatā uz Jūrmalas pilsētas pašvaldības vārda, zemes ierīcības projekti</t>
  </si>
  <si>
    <t>Inventarizācijas lietu pasūtīšana Valsts zemes dienestam, dzīvokļu tehniskās pases objektiem, zemesgarāmatā uz Jūrmalas pilsētas pašvaldības vārda</t>
  </si>
  <si>
    <t>Kancelejas nodevas, valsts nodevas (kadastra izziņas)</t>
  </si>
  <si>
    <t>Izdevumi juridiskās palīdzības sniedzējiem - notāra pakalpojumi, juridiskie slēdzieni zemes īpašuma lietās</t>
  </si>
  <si>
    <t>Pludmales sakopšana</t>
  </si>
  <si>
    <t>Teritorijas labiekārtojuma skices izstrādāšanai un akmens pārvietošanai</t>
  </si>
  <si>
    <t xml:space="preserve">Pludmales labiekārtošana, tai skaitā informatīvo norāžu un pārģērbšanās kabīņu remonts, izvietošana, demontāža, atjaunošana </t>
  </si>
  <si>
    <t>Izeju uz jūru labiekārtošana pludmalēs (laipas, kāpnes, betona plāksnes)</t>
  </si>
  <si>
    <t xml:space="preserve">Līdzfinansējums </t>
  </si>
  <si>
    <t xml:space="preserve">Līdzfinansējums sportistei A.Baikovai (arī viņas trennerei) sagatavošanās trenniņiem dalībai Eiropas spēlēs </t>
  </si>
  <si>
    <t>Objekta nosaukums</t>
  </si>
  <si>
    <t>Mērķdotācija pašvaldību autoceļiem (ielām)</t>
  </si>
  <si>
    <t xml:space="preserve">Pašvaldības pamatbudžeta asignējumi </t>
  </si>
  <si>
    <t xml:space="preserve">2016.gadā </t>
  </si>
  <si>
    <t>Kapitālā celtniecība un rekonstrukcija</t>
  </si>
  <si>
    <t>04.510.5250</t>
  </si>
  <si>
    <t>04.510.5240</t>
  </si>
  <si>
    <t>04.510.2246</t>
  </si>
  <si>
    <t>Ceļa seguma remonts (t.sk.bedrīšu remonts)</t>
  </si>
  <si>
    <t>Ceļa zīmju ekspluatācija</t>
  </si>
  <si>
    <t>04.510.5239</t>
  </si>
  <si>
    <t>04.510.2312</t>
  </si>
  <si>
    <t>Citi</t>
  </si>
  <si>
    <t>2.obj.</t>
  </si>
  <si>
    <t>Labiekārtošanas pasākumi</t>
  </si>
  <si>
    <t xml:space="preserve">Ielu ietvju un zaļo zonu mehanizētā un nemehanizētā tīrīšana (tai skaitā arī BC kategorijas ielas) </t>
  </si>
  <si>
    <t>05.100.2244</t>
  </si>
  <si>
    <t>"Jūrmalas kauss 2015" Starptautiskais karatē čempionāts</t>
  </si>
  <si>
    <t>Kultūras centra remonts</t>
  </si>
  <si>
    <t>Jūrmalas pilsētas pašvaldības 2015.-2017.gada Ceļu fonda izlietojuma programma</t>
  </si>
  <si>
    <t xml:space="preserve">2017.gadā </t>
  </si>
  <si>
    <t>Mērķa ziedojumi</t>
  </si>
  <si>
    <t>Junu ielu izbūve</t>
  </si>
  <si>
    <t>Pilsētas mēroga konkursi un skates</t>
  </si>
  <si>
    <t>euro</t>
  </si>
  <si>
    <t>Kopā, Ceļu fonds</t>
  </si>
  <si>
    <t>Juridiskā palīdzība</t>
  </si>
  <si>
    <t>Semināri un kursipašvaldības iestāžu, t.sk. izglītības iestāžu tehniskajam personālam</t>
  </si>
  <si>
    <r>
      <t xml:space="preserve">Funkcionālās klasifikācijas kods:     </t>
    </r>
    <r>
      <rPr>
        <b/>
        <sz val="9"/>
        <rFont val="Times New Roman"/>
        <family val="1"/>
        <charset val="186"/>
      </rPr>
      <t xml:space="preserve"> 08.620</t>
    </r>
  </si>
  <si>
    <r>
      <t xml:space="preserve">Funkcionālās klasifikācijas kods:      </t>
    </r>
    <r>
      <rPr>
        <b/>
        <sz val="9"/>
        <rFont val="Times New Roman"/>
        <family val="1"/>
        <charset val="186"/>
      </rPr>
      <t>08.620</t>
    </r>
  </si>
  <si>
    <t xml:space="preserve">2015.gada projekta "Kompleksi risinājumi siltumnīcefekta gāzu emisiju samazināšanai Jūrmalas pilsētas Mežmalas vidusskolā" budžeta atšifrējums pa aktivitātēm </t>
  </si>
  <si>
    <t>Projekta īstenotājs: Jūrmalas pilsētas domes Attīstības pārvaldes Projektu ieviešanas nodaļa</t>
  </si>
  <si>
    <t>Reģistrācijas numurs: 90000056357</t>
  </si>
  <si>
    <t>Projekta nosaukums: "Kompleksi risinājumi siltumnīcefekta gāzu emisiju samazināšanai Jūrmalas pilsētas Mežmalas vidusskolā"</t>
  </si>
  <si>
    <t>Pasākums/ aktivitāte*</t>
  </si>
  <si>
    <t>ATTIECINĀMĀS IZMAKSAS</t>
  </si>
  <si>
    <t>Būvdarbi</t>
  </si>
  <si>
    <t>Būvuzraudzība</t>
  </si>
  <si>
    <t>Autoruzraudzība</t>
  </si>
  <si>
    <t>NEATTIECINĀMĀS IZMAKSAS</t>
  </si>
  <si>
    <t>Publicitāte - plāksnīte pie durvīv, iekļauta būvdarbu līgumā</t>
  </si>
  <si>
    <t xml:space="preserve">2015.gada projekta "Jūrmalas pilsētas tranzītielas P128 (Talsu šoseja/Kolkas iela) izbūve" budžeta atšifrējums pa aktivitātēm </t>
  </si>
  <si>
    <t>Projekta nosaukums: "Jūrmalas pilsētas tranzītielas P128 (Talsu šoseja/Kolkas iela) izbūve"</t>
  </si>
  <si>
    <t>Publicitāte</t>
  </si>
  <si>
    <t>Degviela</t>
  </si>
  <si>
    <t>PL un inventārs</t>
  </si>
  <si>
    <t xml:space="preserve">Ledus laukuma īre </t>
  </si>
  <si>
    <t xml:space="preserve">Mācību līdzekļi </t>
  </si>
  <si>
    <t>2015.gads budžeta pieprasījums</t>
  </si>
  <si>
    <t>Kosultācijas dažādu pilsētas teritoriju vides sakārtošanas un piesārņojuma likvidēšanas jautājumos</t>
  </si>
  <si>
    <t>Pasākumu cikla organizēšana saistībā ar II Pasaules kara laikā radušos vēsturisko problēmjautājumu izvērtēšanu</t>
  </si>
  <si>
    <t>Būvdarbi -papildus darbi</t>
  </si>
  <si>
    <t>Energoefektivitātes pagaidu sertifikāts</t>
  </si>
  <si>
    <t>Neparedzētie izdevumi (5%)</t>
  </si>
  <si>
    <t>Parādu segšana par pašvaldības neizīrēto dzīvokļu apsaimniekošanu un apkuri</t>
  </si>
  <si>
    <t>PSIA ''Jūrmalas namsaimnieks'' dzīvojamo telpu apsaimniekošanas maksas parāds</t>
  </si>
  <si>
    <t>Pārējie ar objekta nodošanu ekspluatācijā saistītie izdevumi</t>
  </si>
  <si>
    <t>Jaundrades parks Kauguros, tehniskā projekta izstrāde</t>
  </si>
  <si>
    <t>Higiēnas un sociālo iemaņu apgšanas pakalpojumu nodrošinājums sociāli mazaizsargātiem pašvaldības iedzīvotājiem</t>
  </si>
  <si>
    <t>Zvaigznes dienas pasākums</t>
  </si>
  <si>
    <t>2.2.43.</t>
  </si>
  <si>
    <t>2.2.38.</t>
  </si>
  <si>
    <t>2.2.37.</t>
  </si>
  <si>
    <t>2.2.36.</t>
  </si>
  <si>
    <t>2.2.35.</t>
  </si>
  <si>
    <t>2.2.34.</t>
  </si>
  <si>
    <t>2.2.33.</t>
  </si>
  <si>
    <t>2.2.1.</t>
  </si>
  <si>
    <t>2.1.3.</t>
  </si>
  <si>
    <t>2.1.2.</t>
  </si>
  <si>
    <t>2.1.1.</t>
  </si>
  <si>
    <t>LR proklamēšanas diena (18. novembris)</t>
  </si>
  <si>
    <t>Jomas ielas svētki (11. - 12. jūlijs)</t>
  </si>
  <si>
    <t>Pilsētas Ziemassvētku egles atklāšana (Gaismas svētki) (05.decembris)</t>
  </si>
  <si>
    <t>Gada cilvēks kultūrā (janvāris vai februāris)</t>
  </si>
  <si>
    <t>Mākslas dienas - MN                                                  (aprīlis)</t>
  </si>
  <si>
    <t>Gada noslēguma pasākums ''Gada cilvēks''                            (27.decembris)</t>
  </si>
  <si>
    <t>Atklāšanas un tematiskie pasākumi (4 domes pasākumi)</t>
  </si>
  <si>
    <t>Pasākumi Mellužu estrādē ''Bērnu vasara Mellužu estrādē''</t>
  </si>
  <si>
    <r>
      <t xml:space="preserve">Kultūras projekts </t>
    </r>
    <r>
      <rPr>
        <i/>
        <sz val="9"/>
        <rFont val="Times New Roman"/>
        <family val="1"/>
        <charset val="186"/>
      </rPr>
      <t>"Bērnu gada balva mākslā "Lielā zemene 2015""</t>
    </r>
  </si>
  <si>
    <t>Programma:        Pilsētas kultūras un atpūtas pasākumi</t>
  </si>
  <si>
    <t>Programma:       Pilsētas kultūras un atpūtas pasākumi</t>
  </si>
  <si>
    <t>Basketbols : Andris Steļmahs, 2 profesionālās ievirzes grupas 23 audzēkņi</t>
  </si>
  <si>
    <t>EYBL U16 meitenes, treneris Andris Steļmahs</t>
  </si>
  <si>
    <t>Basketbols : Ieva Tāre, 3 profesionālās ievirzes grupas, 37 audzēkņi</t>
  </si>
  <si>
    <t>Basketbols : Broņislavs Butāns, Ludmila Butāne, 4 profesionālās ievirzes grupas, 57 audēkņi</t>
  </si>
  <si>
    <t>EYBL U16 zēni, treneris Broņislavs Butāns</t>
  </si>
  <si>
    <t>Burāšana: Juris Ailis, Ināra Aile, 4 prof. Ievirzes grupas, 31 audzēknis</t>
  </si>
  <si>
    <t>Daiļslidošana: Gaļina Jefremenko, 3 prof. Ievirzes grupas, 36 audzēkņi</t>
  </si>
  <si>
    <t>Džudo: V. Minginovičs, 2 prof ievirzes grupas, 20 audzēkņi</t>
  </si>
  <si>
    <t>Handbols: Māris Meiers, Juris Moisejevs, 4 prof ievirzes grupas 47 audzēkņi</t>
  </si>
  <si>
    <t>Vieglatlētika: Andis Austrups,Nataļja Čakova, Adrija Muša, Jeļena Titova, 8 profesionālās ievirzes grupas, 69 audzēkņi</t>
  </si>
  <si>
    <t>Mākslas vingrošana, treneri Natālija Maculēviča, Ilvija Japuņa, Zoja Stepanova, Tatjana Petrova, Olga Timofejeva,  11 profesionālās ievirzes grupas, 87 audzēkņi</t>
  </si>
  <si>
    <t>Teniss: Zaiga  Ivanova, Nils Ivanovs, 2 profesionālās ievirzes grupas, 11</t>
  </si>
  <si>
    <t>Volejbols: A. Tihovska: 2 profesonālās grupas, 27 audzēkņi</t>
  </si>
  <si>
    <t>Hokejs: E. Ivanovs; E.Lipsbergs: E. Vasiļjevs, 4 profesionālās ievirzes grupas, 51 audzēknis</t>
  </si>
  <si>
    <t>Basketbols : Mārtiņš Liepa, 
2 profesionālās ievirzes grupas, 20 audzēkņi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</si>
  <si>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09.210.</t>
    </r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</si>
  <si>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04.510.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</si>
  <si>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</si>
  <si>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EKK kods</t>
  </si>
  <si>
    <t>Rādītāju nosaukumi</t>
  </si>
  <si>
    <t>Sociālās aprūpes nodaļa</t>
  </si>
  <si>
    <t>Sociālās aprūpes un sociālās rehabilitācijas nodaļa</t>
  </si>
  <si>
    <t>Nodaļas gultasdienu skaits gadā (gultas/dienas)</t>
  </si>
  <si>
    <t>IZDEVUMI, t.sk.:</t>
  </si>
  <si>
    <t>Atlīdzība</t>
  </si>
  <si>
    <t>Darba samaksa</t>
  </si>
  <si>
    <t>Pārējo darbinieku darba mēnešalga (darba alga)</t>
  </si>
  <si>
    <t xml:space="preserve">Piemaksas </t>
  </si>
  <si>
    <t>Piemaksa par nakts darbu</t>
  </si>
  <si>
    <t>Samaksa par virsstundu darbu un darbu svētku dienās</t>
  </si>
  <si>
    <t xml:space="preserve">Piemaksa par darbu paaugstinātas  intensitātes apstākļos </t>
  </si>
  <si>
    <t>Darba devēja valsts sociālās apdrošināšanas obligātās iemaksas</t>
  </si>
  <si>
    <t>Preces un pakalpojumi</t>
  </si>
  <si>
    <t>Pakalpojumi</t>
  </si>
  <si>
    <t>Telefona abonēšanas maksa, vietējo un tālsarunu apmaksa, interneta pakalpojumu sniedzēju apmaksa</t>
  </si>
  <si>
    <t>Mobilā telefona abonēšanas maksas un sarunu apmaksa</t>
  </si>
  <si>
    <t>Izdevumi par ūdeni un kanalizāciju</t>
  </si>
  <si>
    <t>Maksa par elektroenerģiju</t>
  </si>
  <si>
    <t>Izdevumi par atkritumu izvešanu</t>
  </si>
  <si>
    <t>Uz līguma pamata pieaicināto ekspertu izdevumi</t>
  </si>
  <si>
    <t>Semināru, kursu un konferenču apmaksa</t>
  </si>
  <si>
    <t>Pārējie iestādes administratīvie izdevumi</t>
  </si>
  <si>
    <t>Transportlīdzekļu uzturēšana un remonts</t>
  </si>
  <si>
    <t>Iekārtas, inventāra un aparatūras remonts, tehniskā apkalpošana</t>
  </si>
  <si>
    <t>Ēku, būvju un telpu uzturēšana</t>
  </si>
  <si>
    <t>Pārējie remontdarbu un iestāžu uzturēšanas pakalpojumi</t>
  </si>
  <si>
    <t>Informācijas sistēmas uzturēšana</t>
  </si>
  <si>
    <t>Krājumi, materiāli, energoresursi, preces, biroja preces un inventārs</t>
  </si>
  <si>
    <t>Kurināmais</t>
  </si>
  <si>
    <t>Zāles, ķimikālijas, laboratorijas preces</t>
  </si>
  <si>
    <t>Remontmateriāli</t>
  </si>
  <si>
    <t>Saimniecības materiāli</t>
  </si>
  <si>
    <t xml:space="preserve">Datortehnikas remonts un uzturēšana </t>
  </si>
  <si>
    <t>Mīkstais inventārs</t>
  </si>
  <si>
    <t>Virtuves inventārs, trauki un galda piederumi</t>
  </si>
  <si>
    <t>Ēdināšanas izdevumi</t>
  </si>
  <si>
    <t>Pārējie valsts un pašvaldību aprūpē un apgādē esošo personu uzturēšanas izdevumi, kuri nav minēti citos koda 2360 apakškodos</t>
  </si>
  <si>
    <t>Budžeta iestāžu nodokļu maksājumi</t>
  </si>
  <si>
    <t>Budžeta iestāžu dabas resursu nodoklis</t>
  </si>
  <si>
    <t>Konteinertipa glābšanas staciju projekta izstrāde</t>
  </si>
  <si>
    <t>Detāl/lokālplānojumi izstrādes stadijā ar noslēgtiem līgumiem</t>
  </si>
  <si>
    <t>Pilsētas svētku noformējuma koncepcija</t>
  </si>
  <si>
    <t>Jūrmalas Valsts ģimnāzijas rekonstrukcija</t>
  </si>
  <si>
    <t xml:space="preserve">Jūrmalas sporta centrs - energoefektivitātes paaugstināšana un rekonstrukcija Rūpniecības ielā 13, Jūrmalā tehniskā projekta izstrāde </t>
  </si>
  <si>
    <t>Majoru muižas kompleksa attīstība - radošais centrs bērniem un jauniešiem</t>
  </si>
  <si>
    <t>Sabiedriskā centra Valtera prospektā 54 attīstība</t>
  </si>
  <si>
    <t>Asfalta seguma remonts, atjaunošana publiskās vietās un pašvaldības teritorijās</t>
  </si>
  <si>
    <t>Dzintaru koncertzāles biroja ēkas būvniecība</t>
  </si>
  <si>
    <t>Ķemeru parka atjaunošana</t>
  </si>
  <si>
    <t>Orientē-jošais apjoms</t>
  </si>
  <si>
    <t>Finansē-juma apjoms</t>
  </si>
  <si>
    <t xml:space="preserve">Finansē-juma apjoms </t>
  </si>
  <si>
    <t>Atklātās Dzintaru koncertzāles rekonstrukcija</t>
  </si>
  <si>
    <t>Majoru kulturas nama piebūves izveide</t>
  </si>
  <si>
    <t>Jaunu autostāvvietu izbūve</t>
  </si>
  <si>
    <t>Trotuāru izbūve un esošo trotuāru atjaunošana</t>
  </si>
  <si>
    <t>Pasta ēkas (Tukuma ielā 30) rekonstrukcija</t>
  </si>
  <si>
    <t>Jūrmalas pilsētas internātpamatskolas rekonstrukcija</t>
  </si>
  <si>
    <t>Jūrmalas pildētas pašvaldības pirmsskolas izglītības iestāžu infrastruktūras attīstība</t>
  </si>
  <si>
    <t>Kolkas ielas izbūve (projektā neiekļautais ceļa posms)</t>
  </si>
  <si>
    <t>Pasākumu cikls "Portreti"</t>
  </si>
  <si>
    <r>
      <t>45000 m</t>
    </r>
    <r>
      <rPr>
        <sz val="9"/>
        <rFont val="Calibri"/>
        <family val="2"/>
        <charset val="186"/>
      </rPr>
      <t>²</t>
    </r>
  </si>
  <si>
    <r>
      <t>46000 m</t>
    </r>
    <r>
      <rPr>
        <sz val="9"/>
        <rFont val="Calibri"/>
        <family val="2"/>
        <charset val="186"/>
      </rPr>
      <t>²</t>
    </r>
  </si>
  <si>
    <r>
      <t>22000 m</t>
    </r>
    <r>
      <rPr>
        <sz val="9"/>
        <rFont val="Calibri"/>
        <family val="2"/>
        <charset val="186"/>
      </rPr>
      <t>²</t>
    </r>
  </si>
  <si>
    <r>
      <t>2000 m</t>
    </r>
    <r>
      <rPr>
        <sz val="9"/>
        <rFont val="Calibri"/>
        <family val="2"/>
        <charset val="186"/>
      </rPr>
      <t>²</t>
    </r>
  </si>
  <si>
    <r>
      <t>385000 m</t>
    </r>
    <r>
      <rPr>
        <sz val="9"/>
        <rFont val="Calibri"/>
        <family val="2"/>
        <charset val="186"/>
      </rPr>
      <t>²</t>
    </r>
  </si>
  <si>
    <r>
      <t>1500 m</t>
    </r>
    <r>
      <rPr>
        <sz val="9"/>
        <rFont val="Calibri"/>
        <family val="2"/>
        <charset val="186"/>
      </rPr>
      <t>²</t>
    </r>
  </si>
  <si>
    <t>6500 gb.</t>
  </si>
  <si>
    <r>
      <t>8965 m</t>
    </r>
    <r>
      <rPr>
        <sz val="9"/>
        <rFont val="Calibri"/>
        <family val="2"/>
        <charset val="186"/>
      </rPr>
      <t>²</t>
    </r>
  </si>
  <si>
    <t>80 m</t>
  </si>
  <si>
    <t>175 m</t>
  </si>
  <si>
    <t>300 gb.</t>
  </si>
  <si>
    <r>
      <t>3631 m</t>
    </r>
    <r>
      <rPr>
        <sz val="9"/>
        <rFont val="Calibri"/>
        <family val="2"/>
        <charset val="186"/>
      </rPr>
      <t>²</t>
    </r>
  </si>
  <si>
    <r>
      <t>4000 m</t>
    </r>
    <r>
      <rPr>
        <sz val="9"/>
        <rFont val="Calibri"/>
        <family val="2"/>
        <charset val="186"/>
      </rPr>
      <t>²</t>
    </r>
  </si>
  <si>
    <r>
      <t>8100 m</t>
    </r>
    <r>
      <rPr>
        <sz val="9"/>
        <rFont val="Calibri"/>
        <family val="2"/>
        <charset val="186"/>
      </rPr>
      <t>²</t>
    </r>
  </si>
  <si>
    <r>
      <t>1000 m</t>
    </r>
    <r>
      <rPr>
        <sz val="9"/>
        <rFont val="Calibri"/>
        <family val="2"/>
        <charset val="186"/>
      </rPr>
      <t>²</t>
    </r>
  </si>
  <si>
    <r>
      <t>650 m</t>
    </r>
    <r>
      <rPr>
        <sz val="9"/>
        <rFont val="Calibri"/>
        <family val="2"/>
        <charset val="186"/>
      </rPr>
      <t>²</t>
    </r>
  </si>
  <si>
    <r>
      <t>4500 m</t>
    </r>
    <r>
      <rPr>
        <sz val="9"/>
        <rFont val="Calibri"/>
        <family val="2"/>
        <charset val="186"/>
      </rPr>
      <t>²</t>
    </r>
  </si>
  <si>
    <t>2260 m</t>
  </si>
  <si>
    <t>3000 m</t>
  </si>
  <si>
    <r>
      <t>31500 m</t>
    </r>
    <r>
      <rPr>
        <sz val="9"/>
        <rFont val="Calibri"/>
        <family val="2"/>
        <charset val="186"/>
      </rPr>
      <t>²</t>
    </r>
  </si>
  <si>
    <r>
      <t>9000 m</t>
    </r>
    <r>
      <rPr>
        <sz val="9"/>
        <rFont val="Calibri"/>
        <family val="2"/>
        <charset val="186"/>
      </rPr>
      <t>²</t>
    </r>
  </si>
  <si>
    <t>365 km</t>
  </si>
  <si>
    <r>
      <t>6000 m</t>
    </r>
    <r>
      <rPr>
        <sz val="9"/>
        <rFont val="Calibri"/>
        <family val="2"/>
        <charset val="186"/>
      </rPr>
      <t>²</t>
    </r>
  </si>
  <si>
    <r>
      <t>5500 m</t>
    </r>
    <r>
      <rPr>
        <sz val="9"/>
        <rFont val="Calibri"/>
        <family val="2"/>
        <charset val="186"/>
      </rPr>
      <t>²</t>
    </r>
  </si>
  <si>
    <t>1.obj.</t>
  </si>
  <si>
    <r>
      <t>32500 m</t>
    </r>
    <r>
      <rPr>
        <sz val="9"/>
        <rFont val="Calibri"/>
        <family val="2"/>
        <charset val="186"/>
      </rPr>
      <t>²</t>
    </r>
  </si>
  <si>
    <r>
      <t>13000 m</t>
    </r>
    <r>
      <rPr>
        <sz val="9"/>
        <rFont val="Calibri"/>
        <family val="2"/>
        <charset val="186"/>
      </rPr>
      <t>²</t>
    </r>
  </si>
  <si>
    <t>Šaha turnīra atbalstam</t>
  </si>
  <si>
    <r>
      <t xml:space="preserve">Struktūrvienība: </t>
    </r>
    <r>
      <rPr>
        <b/>
        <sz val="9"/>
        <rFont val="Times New Roman"/>
        <family val="1"/>
        <charset val="186"/>
      </rPr>
      <t>Attīstības pārvaldes Būvniecības projektu vadības nodaļa</t>
    </r>
  </si>
  <si>
    <r>
      <t xml:space="preserve">Struktūrvienība: </t>
    </r>
    <r>
      <rPr>
        <b/>
        <sz val="9"/>
        <rFont val="Times New Roman"/>
        <family val="1"/>
        <charset val="186"/>
      </rPr>
      <t>Pilsētsaimniecības pārvaldes Labiekārtošanas nodaļa</t>
    </r>
  </si>
  <si>
    <t>Aprēķinātās aprūpējamā vienas dienas uzturēšanās izmaksas (t.sk. no pašvaldības budžeta) 2015.gadā</t>
  </si>
  <si>
    <t>Plānotais pašvaldības budžeta finansējums</t>
  </si>
  <si>
    <t>Kopējās pakalpojumu izmaksas</t>
  </si>
  <si>
    <t>Sociālās un veselības aprūpes nodaļa</t>
  </si>
  <si>
    <t>Pašvaldības budžeta finansējums</t>
  </si>
  <si>
    <t>Kopējās pakalpojuma izmaksas</t>
  </si>
  <si>
    <t>Piemaksas pārējās</t>
  </si>
  <si>
    <t>Darba devēja izdevumi veselības, dzīvības un nelaimes gadījumu apdrpšināšanai</t>
  </si>
  <si>
    <t>Biroja preces</t>
  </si>
  <si>
    <t>Sociālie pabalsti</t>
  </si>
  <si>
    <t>Pensijas un sociālie pabalsti naudā</t>
  </si>
  <si>
    <t>Valsts sociālās apdrošināšanas pabalsti naudā</t>
  </si>
  <si>
    <t>Aprēķinātās vienas dienas uzturēšanās izmaksas 2015.g., t.sk. klientu līdzmaksājumi</t>
  </si>
  <si>
    <t>Piemineklis 1.Pasaules karā kritušajiem karavīriem Asaru brāļu kapos</t>
  </si>
  <si>
    <t>Dzintaru pārvada rekonstrukcija (t.sk.tehniskā projekta izstrāde)</t>
  </si>
  <si>
    <t>Ielu  seguma kapitālais un kārtējais remonts</t>
  </si>
  <si>
    <t>3.pielikums Jūrmalas pilsētas domes</t>
  </si>
  <si>
    <t>2014.gada 18.decembra saistošajiem noteikumiem Nr.37</t>
  </si>
  <si>
    <t>(Protokols Nr.18, 15.punkts)</t>
  </si>
  <si>
    <t>4.pielikums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</si>
  <si>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Mārketinga un ārējo sakaru pārvaldes Ārējo sakaru un protokola nodaļa</t>
    </r>
  </si>
  <si>
    <t>Programma: Ar ārējo sakaru attīstību saistītās starptautiskās un institucionālās sadarbības aktivitātes</t>
  </si>
  <si>
    <r>
      <t xml:space="preserve">Funkcionālās klasifikācijas kods:  </t>
    </r>
    <r>
      <rPr>
        <b/>
        <sz val="9"/>
        <rFont val="Times New Roman"/>
        <family val="1"/>
        <charset val="186"/>
      </rPr>
      <t>04.900</t>
    </r>
  </si>
  <si>
    <t>2015.gada budžets</t>
  </si>
  <si>
    <t>2015.gads budžets</t>
  </si>
  <si>
    <t xml:space="preserve">2015.gads budžets </t>
  </si>
  <si>
    <t>PAVISAM KOPĀ (EUR):</t>
  </si>
  <si>
    <t xml:space="preserve">KOPĀ: </t>
  </si>
  <si>
    <r>
      <t xml:space="preserve">Struktūrvienība: </t>
    </r>
    <r>
      <rPr>
        <b/>
        <i/>
        <sz val="12"/>
        <rFont val="Times New Roman"/>
        <family val="1"/>
        <charset val="186"/>
      </rPr>
      <t>Mārketinga un ārējo sakaru pārvaldes Mārketinga nodaļa</t>
    </r>
  </si>
  <si>
    <t>Programma: Pilsētas ekonomiskās attīstības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</si>
  <si>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04.900</t>
    </r>
  </si>
  <si>
    <t>5.pielikums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</si>
  <si>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 xml:space="preserve">Mārketinga un ārējo sakaru pārvaldes Sabiedrisko attiecību nodaļa </t>
    </r>
  </si>
  <si>
    <t>Programma: Sabiedrisko attiecību veidošanas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</si>
  <si>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08.300</t>
    </r>
  </si>
  <si>
    <t>6.pielikums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</si>
  <si>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Attīstības pārvaldes Projektu ieviešanas nodaļa</t>
    </r>
  </si>
  <si>
    <r>
      <t>Funkcionālās klasifikācijas kods:</t>
    </r>
    <r>
      <rPr>
        <b/>
        <sz val="9"/>
        <rFont val="Times New Roman"/>
        <family val="1"/>
        <charset val="186"/>
      </rPr>
      <t xml:space="preserve"> 04.900</t>
    </r>
  </si>
  <si>
    <t>7.pielikums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</si>
  <si>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Attīstības pārvaldes Stratēģiskās un biznesa plānošanas nodaļa</t>
    </r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</si>
  <si>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04.900.</t>
    </r>
  </si>
  <si>
    <t>Programma: Sabiedriskā transporta organizēšanas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</si>
  <si>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04.510</t>
    </r>
  </si>
  <si>
    <t>8.pielikums Jūrmalas pilsētas domes</t>
  </si>
  <si>
    <r>
      <t>Struktūrvienība:</t>
    </r>
    <r>
      <rPr>
        <b/>
        <i/>
        <sz val="12"/>
        <rFont val="Times New Roman"/>
        <family val="1"/>
        <charset val="186"/>
      </rPr>
      <t xml:space="preserve"> Attīstības pārvaldes Vides nodaļa</t>
    </r>
  </si>
  <si>
    <t>Programma: Zivju resursu atjaunošana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</si>
  <si>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04.220</t>
    </r>
  </si>
  <si>
    <t>Programma: Vides piesārņojuma novēršana un samazināšana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</si>
  <si>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05.300</t>
    </r>
  </si>
  <si>
    <t>Programma: Vides aizsardzības pasākumi bioloģiskās daudzveidības un ainavas aizsardzības jomā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</si>
  <si>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05.400</t>
    </r>
  </si>
  <si>
    <t>Programma: Vides aizsardzības veicināšanas pasākumu vadība, regulēšana, uzraudzība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</si>
  <si>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05.600</t>
    </r>
  </si>
  <si>
    <t>Dabas lieguma ''Lielupes grīvas pļavas'' apsaimniekošana</t>
  </si>
  <si>
    <t>9.pielikums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</si>
  <si>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Attīstības pārvaldes Būvniecības projektu vadības nodaļa</t>
    </r>
  </si>
  <si>
    <t>Programma: Administratīvo ēku būvniecība, atjaunošana un uzlabošana</t>
  </si>
  <si>
    <t>Programma: Glābšanas staciju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</si>
  <si>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03.600.</t>
    </r>
  </si>
  <si>
    <t>Programma: Publisko teritoriju, ēku un mājokļu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</si>
  <si>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06.600.</t>
    </r>
  </si>
  <si>
    <t>Funkcionālās klasifikācijas kods: 01.110.</t>
  </si>
  <si>
    <t>Programma: Atpūtu un sportu veicinoši labiekārtošanas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</si>
  <si>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08.100.</t>
    </r>
  </si>
  <si>
    <t>Programma: Bibliotēku ēku būvniecība, atjaunošana un uzlabošana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</si>
  <si>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08.210.</t>
    </r>
  </si>
  <si>
    <t>Programma: Muzeja ēku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</si>
  <si>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08.220.</t>
    </r>
  </si>
  <si>
    <t>Programma: Kultūras centru un namu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</si>
  <si>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08.230.</t>
    </r>
  </si>
  <si>
    <t>Programma: Teātra, koncertzāles un estrāžu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</si>
  <si>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08.240.</t>
    </r>
  </si>
  <si>
    <t>Programma: Pilsētas kultūrvēsturiskā mantojuma saglabāšana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</si>
  <si>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08.290.</t>
    </r>
  </si>
  <si>
    <t>Programma: Pirmsskolas  izglītības iestāžu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</si>
  <si>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09.100</t>
    </r>
  </si>
  <si>
    <t>Programma: Sākumskolu, pamatskolu, vidusskolu būvniecība, atjaunošana un uzlabošana</t>
  </si>
  <si>
    <t>Programma: Interešu profesionālās ievirzes izglītības iestāžu būvniecība, atjaunošana un uzlabošana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</si>
  <si>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09.510.</t>
    </r>
  </si>
  <si>
    <t xml:space="preserve">2015.gada budžets </t>
  </si>
  <si>
    <t>10.pielikums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</si>
  <si>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Īpašumu pārvaldes Dzīvokļu nodaļa</t>
    </r>
  </si>
  <si>
    <t>Programma: Pašvaldības īpašumu pārvaldīšana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</si>
  <si>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06.600</t>
    </r>
  </si>
  <si>
    <t>11.pielikums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</si>
  <si>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Īpašumu pārvaldes Pašvaldības īpašumu pārvaldīšanas nodaļa</t>
    </r>
  </si>
  <si>
    <t>Programma: Nekustamā īpašuma iegāde</t>
  </si>
  <si>
    <t>12.pielikums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</si>
  <si>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Pilsētsaimniecības pārvaldes Pilsētsaimniecības un Labiekārtošanas nodaļa</t>
    </r>
  </si>
  <si>
    <t>Programma: Pilsētas mežu un publiskās teritorijās esošo koku kopšanas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</si>
  <si>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04.220.</t>
    </r>
  </si>
  <si>
    <t>Programma: Pašvaldības pārziņā esošo teritoriju apsaimniekošana (kopšana un tīrīšana)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</si>
  <si>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05.100.</t>
    </r>
  </si>
  <si>
    <t>Programma: Pilsētas teritoriju labiekārtošanas pasākumi</t>
  </si>
  <si>
    <t>Programma: Pilsētas svētku noformējums</t>
  </si>
  <si>
    <t>Programma: Pirmskolas izglītības iestāžu labiekārtošanas pasākumi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</si>
  <si>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09.100.</t>
    </r>
  </si>
  <si>
    <t>13.pielikums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</si>
  <si>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Administratīvi juridiskās pārvaldes Tiesvedības nodaļa</t>
    </r>
  </si>
  <si>
    <t>Programma: Ar tiesvedības procesiem saistīti izdevumi</t>
  </si>
  <si>
    <t>Funkcionālās klasifikācijas kods: 01.330</t>
  </si>
  <si>
    <r>
      <t xml:space="preserve">Struktūrvienība: </t>
    </r>
    <r>
      <rPr>
        <b/>
        <i/>
        <sz val="12"/>
        <rFont val="Times New Roman"/>
        <family val="1"/>
        <charset val="186"/>
      </rPr>
      <t>Administratīvi juridiskās pārvaldes Juridiskā nodrošinājuma nodaļa</t>
    </r>
  </si>
  <si>
    <t>Programma: Juridiskie pakalpojumi ar pašvaldības darbu saistītos jautājumos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</si>
  <si>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01.330</t>
    </r>
  </si>
  <si>
    <t>14.pielikums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</si>
  <si>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Mārketinga un ārējo sakaru pārvaldes Tūrisma nodaļa</t>
    </r>
  </si>
  <si>
    <t>Programma: Tūrisma attīstības nodrošināšanas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</si>
  <si>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04.730</t>
    </r>
  </si>
  <si>
    <t>15.pielikums Jūrmalas pilsētas domes</t>
  </si>
  <si>
    <t>Programma: Sporta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</si>
  <si>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08.100</t>
    </r>
  </si>
  <si>
    <t>16.pielikums Jūrmalas pilsētas domes</t>
  </si>
  <si>
    <t>Programma: Kultūras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</si>
  <si>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08.620</t>
    </r>
  </si>
  <si>
    <r>
      <t xml:space="preserve">Struktūrvienība: </t>
    </r>
    <r>
      <rPr>
        <b/>
        <i/>
        <sz val="12"/>
        <rFont val="Times New Roman"/>
        <family val="1"/>
        <charset val="186"/>
      </rPr>
      <t>Kultūras nodaļa</t>
    </r>
  </si>
  <si>
    <t>17.pielikums Jūrmalas pilsētas domes</t>
  </si>
  <si>
    <r>
      <t>Struktūrvienība:</t>
    </r>
    <r>
      <rPr>
        <b/>
        <i/>
        <sz val="12"/>
        <rFont val="Times New Roman"/>
        <family val="1"/>
        <charset val="186"/>
      </rPr>
      <t xml:space="preserve"> Izglītības nodaļa</t>
    </r>
  </si>
  <si>
    <t>Programma: Starpskolu pasākumi, konkursi, sacensības interešu un profesionālās ievirzes izglītības jomā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</si>
  <si>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09.510</t>
    </r>
  </si>
  <si>
    <t>Programma: Centralizētie pasākumi vispārējās izglītības jomā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</si>
  <si>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09.210</t>
    </r>
  </si>
  <si>
    <t>Programma: Pirmsskolas izglītības nodrošināšana</t>
  </si>
  <si>
    <t>18.pielikums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</si>
  <si>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Inženierbūvju un ģeodēzijas nodaļa</t>
    </r>
  </si>
  <si>
    <r>
      <t xml:space="preserve">Funkcionālās klasifikācijas kods: </t>
    </r>
    <r>
      <rPr>
        <b/>
        <sz val="9"/>
        <rFont val="Times New Roman"/>
        <family val="1"/>
        <charset val="186"/>
      </rPr>
      <t>06.200</t>
    </r>
  </si>
  <si>
    <t>19.pielikums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</si>
  <si>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Pilsētplānošanas nodaļa</t>
    </r>
  </si>
  <si>
    <r>
      <t xml:space="preserve">Funkcionālās klasifikācijas kods: </t>
    </r>
    <r>
      <rPr>
        <b/>
        <sz val="9"/>
        <rFont val="Times New Roman"/>
        <family val="1"/>
        <charset val="186"/>
      </rPr>
      <t>06.200.</t>
    </r>
  </si>
  <si>
    <t>Programma: Kulturvēsturiskā mantojuma saglabāšana</t>
  </si>
  <si>
    <t>20.pielikums Jūrmalas pilsētas domes</t>
  </si>
  <si>
    <r>
      <t xml:space="preserve">Budžeta finansēta institūcija: </t>
    </r>
    <r>
      <rPr>
        <b/>
        <sz val="9"/>
        <rFont val="Times New Roman"/>
        <family val="1"/>
        <charset val="186"/>
      </rPr>
      <t>Jūrmalas pilsētas Labklājības pārvalde</t>
    </r>
  </si>
  <si>
    <t>Programma: Sociālā palīdzība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</si>
  <si>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03.110.</t>
    </r>
  </si>
  <si>
    <r>
      <t>Struktūrvienība:</t>
    </r>
    <r>
      <rPr>
        <sz val="12"/>
        <rFont val="Times New Roman"/>
        <family val="1"/>
        <charset val="186"/>
      </rPr>
      <t xml:space="preserve"> </t>
    </r>
    <r>
      <rPr>
        <b/>
        <i/>
        <sz val="12"/>
        <rFont val="Times New Roman"/>
        <family val="1"/>
        <charset val="186"/>
      </rPr>
      <t>Sociālo pakalpojumu daļa</t>
    </r>
  </si>
  <si>
    <t>Programma: Sociālā aizsardzība invaliditātes gadījumā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</si>
  <si>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10.120.</t>
    </r>
  </si>
  <si>
    <t>Programma: Atbalsts gados veciem cilvēkiem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</si>
  <si>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10.200.</t>
    </r>
  </si>
  <si>
    <t>Programma: Mājokļa atbalsts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</si>
  <si>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10.600.</t>
    </r>
  </si>
  <si>
    <t xml:space="preserve">Programma: Pārējais citur neklasificēts atbalsts sociāli atstumtām personām 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</si>
  <si>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10.700.</t>
    </r>
  </si>
  <si>
    <t>21.pielikums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</si>
  <si>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Veselības aprūpes nodaļa</t>
    </r>
  </si>
  <si>
    <t>Programma: Specializēto medicīnisko pakalpjumu līdzfinansējums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</si>
  <si>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07.220.</t>
    </r>
  </si>
  <si>
    <t>Programma: Atkarību profilakses programmu finansējums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</si>
  <si>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07.410.</t>
    </r>
  </si>
  <si>
    <t>Programma: Pārējo veselības aprūpes pakalpojumu līdzfinansējums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</si>
  <si>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07.620.</t>
    </r>
  </si>
  <si>
    <t>22.pielikums Jūrmalas pilsētas domes</t>
  </si>
  <si>
    <r>
      <t xml:space="preserve">Struktūrvienība:  </t>
    </r>
    <r>
      <rPr>
        <b/>
        <i/>
        <sz val="12"/>
        <rFont val="Times New Roman"/>
        <family val="1"/>
        <charset val="186"/>
      </rPr>
      <t>Sabiedrības integrācijas nodaļa</t>
    </r>
  </si>
  <si>
    <t>Programma: Integrācijas projektu īstenošana</t>
  </si>
  <si>
    <r>
      <t xml:space="preserve">Funkcionālās klasifikācijas kods: </t>
    </r>
    <r>
      <rPr>
        <b/>
        <sz val="10"/>
        <rFont val="Times New Roman"/>
        <family val="1"/>
        <charset val="186"/>
      </rPr>
      <t>08.300.</t>
    </r>
  </si>
  <si>
    <t>Programma: Nacionālo vērtību stiprināšana</t>
  </si>
  <si>
    <t>Programma: Etniskā integrācija</t>
  </si>
  <si>
    <t>Programma: Integrācija kultūras aspektā</t>
  </si>
  <si>
    <t>Programma: Sociālā integrācija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</si>
  <si>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08.300</t>
    </r>
  </si>
  <si>
    <t>Programma: Integrācijas rīcības virzieni izglītības jomā</t>
  </si>
  <si>
    <t>Programma: Pilsoniskās sabiedrības stiprināšana</t>
  </si>
  <si>
    <t>23.pielikums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</si>
  <si>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Sociālās palīdzības daļa</t>
    </r>
  </si>
  <si>
    <r>
      <t xml:space="preserve">Funkcionālās klasifikācijas kods: </t>
    </r>
    <r>
      <rPr>
        <b/>
        <sz val="10"/>
        <rFont val="Times New Roman"/>
        <family val="1"/>
        <charset val="186"/>
      </rPr>
      <t>10.120.</t>
    </r>
  </si>
  <si>
    <t>Programma: Atbalsts ģimenēm ar bērniem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</si>
  <si>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10.400.</t>
    </r>
  </si>
  <si>
    <t>Programma: Pārējie citur neklasificētie sociālās aizsardzības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</si>
  <si>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10.920.</t>
    </r>
  </si>
  <si>
    <t>24.pielikums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</si>
  <si>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Sociālā darba daļa</t>
    </r>
  </si>
  <si>
    <r>
      <t xml:space="preserve">Funkcionālās klasifikācijas kods: </t>
    </r>
    <r>
      <rPr>
        <b/>
        <sz val="10"/>
        <rFont val="Times New Roman"/>
        <family val="1"/>
        <charset val="186"/>
      </rPr>
      <t>10.400.</t>
    </r>
  </si>
  <si>
    <t>25.pielikums Jūrmalas pilsētas domes</t>
  </si>
  <si>
    <r>
      <t xml:space="preserve">Budžeta finansēta institūcija: </t>
    </r>
    <r>
      <rPr>
        <b/>
        <sz val="9"/>
        <rFont val="Times New Roman"/>
        <family val="1"/>
        <charset val="186"/>
      </rPr>
      <t>Jūrmalas Kulturas centrs</t>
    </r>
  </si>
  <si>
    <t>Reģistrāciajs Nr.: 90009229680</t>
  </si>
  <si>
    <t xml:space="preserve">2015.gada budžeta atšifrējums pa budžeta veidiem                                      </t>
  </si>
  <si>
    <r>
      <t xml:space="preserve">Struktūrvienība: </t>
    </r>
    <r>
      <rPr>
        <b/>
        <i/>
        <sz val="12"/>
        <rFont val="Times New Roman"/>
        <family val="1"/>
        <charset val="186"/>
      </rPr>
      <t>Jūrmalas Kulturas centrs</t>
    </r>
  </si>
  <si>
    <t>Programma: Pilsētas kultūras un atpūtas pasākumi</t>
  </si>
  <si>
    <t>2015. gada budžets</t>
  </si>
  <si>
    <t>26.pielikums Jūrmalas pilsētas domes</t>
  </si>
  <si>
    <r>
      <t>Budžeta finansēta institūcija:</t>
    </r>
    <r>
      <rPr>
        <b/>
        <sz val="9"/>
        <rFont val="Times New Roman"/>
        <family val="1"/>
        <charset val="186"/>
      </rPr>
      <t xml:space="preserve"> Jūrmalas pilsētas muzejs, Tirgoņu iela 29</t>
    </r>
  </si>
  <si>
    <r>
      <t xml:space="preserve">Struktūrvienība: </t>
    </r>
    <r>
      <rPr>
        <b/>
        <i/>
        <sz val="12"/>
        <rFont val="Times New Roman"/>
        <family val="1"/>
        <charset val="186"/>
      </rPr>
      <t>Jūrmalas brīvdabas muzejs</t>
    </r>
  </si>
  <si>
    <r>
      <t>Struktūrvienība:</t>
    </r>
    <r>
      <rPr>
        <b/>
        <i/>
        <sz val="12"/>
        <rFont val="Times New Roman"/>
        <family val="1"/>
        <charset val="186"/>
      </rPr>
      <t xml:space="preserve"> Aspazijas māja</t>
    </r>
  </si>
  <si>
    <r>
      <t xml:space="preserve">Struktūrvienība: </t>
    </r>
    <r>
      <rPr>
        <b/>
        <i/>
        <sz val="12"/>
        <rFont val="Times New Roman"/>
        <family val="1"/>
        <charset val="186"/>
      </rPr>
      <t>Jūrmalas pilsētas muzejs</t>
    </r>
  </si>
  <si>
    <t>27.pielikums Jūrmalas pilsētas domes</t>
  </si>
  <si>
    <t>28.pielikums Jūrmalas pilsētas domes</t>
  </si>
  <si>
    <t>29.pielikums Jūrmalas pilsētas domes</t>
  </si>
  <si>
    <r>
      <t xml:space="preserve">Budžeta finansēta institūcija: </t>
    </r>
    <r>
      <rPr>
        <b/>
        <sz val="9"/>
        <rFont val="Times New Roman"/>
        <family val="1"/>
        <charset val="186"/>
      </rPr>
      <t>Jūrmalas sporta centrs</t>
    </r>
  </si>
  <si>
    <t>Reģistrācijas Nr.: 90001067517</t>
  </si>
  <si>
    <r>
      <t>Struktūrvienība:</t>
    </r>
    <r>
      <rPr>
        <b/>
        <i/>
        <sz val="12"/>
        <rFont val="Times New Roman"/>
        <family val="1"/>
        <charset val="186"/>
      </rPr>
      <t xml:space="preserve"> Jūrmalas sporta centrs</t>
    </r>
  </si>
  <si>
    <t xml:space="preserve">Programma: Sporta pasākumi, sacensības </t>
  </si>
  <si>
    <r>
      <t>Funkcionālās klasifikācijas kods:</t>
    </r>
    <r>
      <rPr>
        <b/>
        <sz val="9"/>
        <rFont val="Times New Roman"/>
        <family val="1"/>
        <charset val="186"/>
      </rPr>
      <t xml:space="preserve"> 09.510</t>
    </r>
  </si>
  <si>
    <t>30.pielikums Jūrmalas pilsētas domes</t>
  </si>
  <si>
    <r>
      <t xml:space="preserve">Budžeta finansēta institūcija: </t>
    </r>
    <r>
      <rPr>
        <b/>
        <sz val="9"/>
        <rFont val="Times New Roman"/>
        <family val="1"/>
        <charset val="186"/>
      </rPr>
      <t>Jūrmalas Sporta skola</t>
    </r>
  </si>
  <si>
    <t>Reģistrācijas Nr.: 90009249367</t>
  </si>
  <si>
    <t xml:space="preserve">Programma: Sporta skolas pasākumi </t>
  </si>
  <si>
    <t>31.pielikums Jūrmalas pilsētas domes</t>
  </si>
  <si>
    <t xml:space="preserve">  Jūrmalas pilsētas pašvaldības SIA "Veselības un sociālās aprūpes centrs - Sloka" </t>
  </si>
  <si>
    <t>Pārējie nodokļi un nodevas - UDRVN</t>
  </si>
  <si>
    <t>32.pielikums Jūrmalas pilsētas domes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</si>
</sst>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[Red]\-#,##0.00\ "/>
    <numFmt numFmtId="167" formatCode="#,##0_ ;[Red]\-#,##0\ "/>
    <numFmt numFmtId="168" formatCode="#,##0.0_ ;[Red]\-#,##0.0\ "/>
    <numFmt numFmtId="169" formatCode="#,##0.0"/>
    <numFmt numFmtId="170" formatCode="#,##0.000"/>
    <numFmt numFmtId="171" formatCode="0.000"/>
    <numFmt numFmtId="172" formatCode="0.0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"/>
      <name val="Times New Roman"/>
      <family val="1"/>
      <charset val="186"/>
    </font>
    <font>
      <sz val="6"/>
      <name val="Times New Roman"/>
      <family val="1"/>
      <charset val="186"/>
    </font>
    <font>
      <sz val="9"/>
      <name val="Calibri"/>
      <family val="2"/>
      <charset val="186"/>
    </font>
    <font>
      <sz val="6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</font>
    <font>
      <sz val="13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0">
    <xf numFmtId="0" fontId="0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8" fillId="0" borderId="0"/>
    <xf numFmtId="0" fontId="7" fillId="0" borderId="0"/>
    <xf numFmtId="0" fontId="27" fillId="0" borderId="0"/>
    <xf numFmtId="0" fontId="1" fillId="0" borderId="0"/>
    <xf numFmtId="0" fontId="2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6" fillId="0" borderId="0"/>
    <xf numFmtId="0" fontId="2" fillId="0" borderId="0"/>
    <xf numFmtId="0" fontId="1" fillId="0" borderId="0"/>
  </cellStyleXfs>
  <cellXfs count="1340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0" xfId="1" applyFont="1" applyBorder="1"/>
    <xf numFmtId="0" fontId="3" fillId="0" borderId="0" xfId="2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wrapText="1"/>
      <protection locked="0"/>
    </xf>
    <xf numFmtId="3" fontId="3" fillId="0" borderId="0" xfId="1" applyNumberFormat="1" applyFont="1" applyBorder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3" fillId="0" borderId="0" xfId="2" applyFont="1"/>
    <xf numFmtId="0" fontId="3" fillId="0" borderId="0" xfId="2" applyFont="1" applyAlignment="1"/>
    <xf numFmtId="0" fontId="3" fillId="0" borderId="1" xfId="2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 applyProtection="1">
      <alignment wrapText="1"/>
      <protection locked="0"/>
    </xf>
    <xf numFmtId="3" fontId="3" fillId="0" borderId="1" xfId="2" applyNumberFormat="1" applyFont="1" applyBorder="1" applyAlignment="1" applyProtection="1">
      <alignment horizontal="right"/>
      <protection locked="0"/>
    </xf>
    <xf numFmtId="3" fontId="6" fillId="0" borderId="1" xfId="2" applyNumberFormat="1" applyFont="1" applyBorder="1" applyAlignment="1" applyProtection="1">
      <alignment horizontal="right" vertical="center" wrapText="1"/>
      <protection locked="0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wrapText="1"/>
    </xf>
    <xf numFmtId="3" fontId="3" fillId="0" borderId="1" xfId="2" applyNumberFormat="1" applyFont="1" applyBorder="1" applyAlignment="1" applyProtection="1">
      <alignment horizontal="right" wrapText="1"/>
      <protection locked="0"/>
    </xf>
    <xf numFmtId="3" fontId="6" fillId="0" borderId="1" xfId="2" applyNumberFormat="1" applyFont="1" applyBorder="1" applyAlignment="1" applyProtection="1">
      <alignment horizontal="right" wrapText="1"/>
      <protection locked="0"/>
    </xf>
    <xf numFmtId="3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 applyProtection="1">
      <alignment vertical="center" wrapText="1"/>
      <protection locked="0"/>
    </xf>
    <xf numFmtId="3" fontId="6" fillId="0" borderId="1" xfId="2" applyNumberFormat="1" applyFont="1" applyBorder="1" applyAlignment="1" applyProtection="1">
      <alignment vertical="center" wrapText="1"/>
      <protection locked="0"/>
    </xf>
    <xf numFmtId="3" fontId="6" fillId="0" borderId="1" xfId="2" applyNumberFormat="1" applyFont="1" applyBorder="1" applyAlignment="1" applyProtection="1">
      <alignment wrapText="1"/>
      <protection locked="0"/>
    </xf>
    <xf numFmtId="3" fontId="3" fillId="0" borderId="1" xfId="2" applyNumberFormat="1" applyFont="1" applyFill="1" applyBorder="1" applyAlignment="1" applyProtection="1">
      <alignment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Fill="1" applyBorder="1" applyAlignment="1">
      <alignment wrapText="1"/>
    </xf>
    <xf numFmtId="3" fontId="3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Fill="1"/>
    <xf numFmtId="0" fontId="3" fillId="0" borderId="0" xfId="1" applyFont="1" applyFill="1"/>
    <xf numFmtId="0" fontId="3" fillId="0" borderId="1" xfId="1" applyFont="1" applyFill="1" applyBorder="1" applyAlignment="1" applyProtection="1">
      <alignment wrapText="1"/>
      <protection locked="0"/>
    </xf>
    <xf numFmtId="3" fontId="3" fillId="0" borderId="0" xfId="1" applyNumberFormat="1" applyFont="1"/>
    <xf numFmtId="0" fontId="3" fillId="0" borderId="0" xfId="4" applyFont="1"/>
    <xf numFmtId="0" fontId="3" fillId="0" borderId="0" xfId="4" applyFont="1" applyAlignment="1"/>
    <xf numFmtId="0" fontId="7" fillId="0" borderId="0" xfId="4"/>
    <xf numFmtId="0" fontId="3" fillId="0" borderId="0" xfId="4" applyFont="1" applyFill="1" applyAlignment="1">
      <alignment horizontal="left"/>
    </xf>
    <xf numFmtId="0" fontId="5" fillId="0" borderId="0" xfId="5" applyFont="1"/>
    <xf numFmtId="0" fontId="5" fillId="0" borderId="0" xfId="5" applyFont="1" applyBorder="1" applyAlignment="1"/>
    <xf numFmtId="0" fontId="5" fillId="0" borderId="0" xfId="5" applyFont="1" applyFill="1" applyBorder="1" applyAlignment="1"/>
    <xf numFmtId="3" fontId="14" fillId="0" borderId="1" xfId="5" applyNumberFormat="1" applyFont="1" applyFill="1" applyBorder="1" applyAlignment="1">
      <alignment wrapText="1"/>
    </xf>
    <xf numFmtId="0" fontId="7" fillId="0" borderId="0" xfId="4" applyAlignment="1">
      <alignment horizontal="left" vertical="center"/>
    </xf>
    <xf numFmtId="0" fontId="5" fillId="0" borderId="0" xfId="5" applyFont="1" applyFill="1" applyBorder="1" applyAlignment="1">
      <alignment vertical="center" wrapText="1"/>
    </xf>
    <xf numFmtId="3" fontId="7" fillId="0" borderId="0" xfId="4" applyNumberFormat="1"/>
    <xf numFmtId="0" fontId="7" fillId="0" borderId="0" xfId="4" applyFill="1"/>
    <xf numFmtId="0" fontId="3" fillId="0" borderId="0" xfId="5" applyFont="1"/>
    <xf numFmtId="0" fontId="3" fillId="0" borderId="0" xfId="5" applyFont="1" applyBorder="1" applyAlignment="1"/>
    <xf numFmtId="3" fontId="6" fillId="0" borderId="2" xfId="5" applyNumberFormat="1" applyFont="1" applyFill="1" applyBorder="1" applyAlignment="1">
      <alignment wrapText="1"/>
    </xf>
    <xf numFmtId="0" fontId="3" fillId="0" borderId="5" xfId="5" applyFont="1" applyBorder="1" applyAlignment="1">
      <alignment horizontal="center"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1" xfId="5" applyFont="1" applyBorder="1" applyAlignment="1">
      <alignment horizontal="center" wrapText="1"/>
    </xf>
    <xf numFmtId="0" fontId="3" fillId="0" borderId="7" xfId="5" applyFont="1" applyBorder="1" applyAlignment="1">
      <alignment wrapText="1"/>
    </xf>
    <xf numFmtId="0" fontId="5" fillId="0" borderId="0" xfId="6" applyFont="1"/>
    <xf numFmtId="3" fontId="6" fillId="0" borderId="2" xfId="5" applyNumberFormat="1" applyFont="1" applyBorder="1" applyAlignment="1">
      <alignment wrapText="1"/>
    </xf>
    <xf numFmtId="0" fontId="3" fillId="0" borderId="1" xfId="6" applyFont="1" applyBorder="1" applyAlignment="1">
      <alignment vertical="center" wrapText="1"/>
    </xf>
    <xf numFmtId="0" fontId="3" fillId="0" borderId="1" xfId="6" applyFont="1" applyBorder="1" applyAlignment="1">
      <alignment horizontal="right" vertical="center" wrapText="1"/>
    </xf>
    <xf numFmtId="0" fontId="3" fillId="0" borderId="1" xfId="6" applyFont="1" applyFill="1" applyBorder="1" applyAlignment="1">
      <alignment horizontal="righ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5" xfId="5" applyFont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left" vertical="center" wrapText="1"/>
    </xf>
    <xf numFmtId="0" fontId="3" fillId="0" borderId="15" xfId="6" applyFont="1" applyBorder="1" applyAlignment="1">
      <alignment horizontal="right" wrapText="1"/>
    </xf>
    <xf numFmtId="0" fontId="3" fillId="0" borderId="2" xfId="6" applyFont="1" applyBorder="1" applyAlignment="1">
      <alignment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Border="1" applyAlignment="1"/>
    <xf numFmtId="0" fontId="3" fillId="0" borderId="0" xfId="2" applyFont="1" applyBorder="1" applyAlignment="1">
      <alignment horizontal="left"/>
    </xf>
    <xf numFmtId="0" fontId="3" fillId="3" borderId="0" xfId="2" applyFont="1" applyFill="1" applyBorder="1"/>
    <xf numFmtId="0" fontId="3" fillId="3" borderId="0" xfId="2" applyFont="1" applyFill="1"/>
    <xf numFmtId="2" fontId="3" fillId="0" borderId="0" xfId="2" applyNumberFormat="1" applyFont="1"/>
    <xf numFmtId="1" fontId="3" fillId="3" borderId="0" xfId="2" applyNumberFormat="1" applyFont="1" applyFill="1" applyAlignment="1"/>
    <xf numFmtId="0" fontId="3" fillId="0" borderId="16" xfId="2" applyFont="1" applyBorder="1"/>
    <xf numFmtId="0" fontId="3" fillId="3" borderId="16" xfId="2" applyFont="1" applyFill="1" applyBorder="1"/>
    <xf numFmtId="2" fontId="3" fillId="0" borderId="16" xfId="2" applyNumberFormat="1" applyFont="1" applyFill="1" applyBorder="1"/>
    <xf numFmtId="0" fontId="3" fillId="0" borderId="16" xfId="2" applyFont="1" applyFill="1" applyBorder="1"/>
    <xf numFmtId="2" fontId="6" fillId="0" borderId="16" xfId="2" applyNumberFormat="1" applyFont="1" applyFill="1" applyBorder="1"/>
    <xf numFmtId="2" fontId="3" fillId="0" borderId="16" xfId="2" applyNumberFormat="1" applyFont="1" applyBorder="1"/>
    <xf numFmtId="0" fontId="6" fillId="0" borderId="16" xfId="2" applyFont="1" applyFill="1" applyBorder="1"/>
    <xf numFmtId="0" fontId="5" fillId="0" borderId="0" xfId="5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3" fillId="0" borderId="0" xfId="5" applyFont="1" applyAlignment="1">
      <alignment horizontal="left"/>
    </xf>
    <xf numFmtId="0" fontId="3" fillId="0" borderId="2" xfId="5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horizontal="right" vertical="center" wrapText="1"/>
    </xf>
    <xf numFmtId="3" fontId="3" fillId="0" borderId="6" xfId="6" applyNumberFormat="1" applyFont="1" applyBorder="1" applyAlignment="1">
      <alignment horizontal="right" vertical="center" wrapText="1"/>
    </xf>
    <xf numFmtId="3" fontId="3" fillId="0" borderId="2" xfId="6" applyNumberFormat="1" applyFont="1" applyBorder="1" applyAlignment="1">
      <alignment horizontal="right" vertical="center" wrapText="1"/>
    </xf>
    <xf numFmtId="3" fontId="3" fillId="0" borderId="1" xfId="6" applyNumberFormat="1" applyFont="1" applyFill="1" applyBorder="1" applyAlignment="1">
      <alignment horizontal="right" vertical="center" wrapText="1"/>
    </xf>
    <xf numFmtId="3" fontId="3" fillId="0" borderId="1" xfId="6" applyNumberFormat="1" applyFont="1" applyFill="1" applyBorder="1" applyAlignment="1">
      <alignment vertical="center" wrapText="1"/>
    </xf>
    <xf numFmtId="3" fontId="3" fillId="0" borderId="2" xfId="6" applyNumberFormat="1" applyFont="1" applyFill="1" applyBorder="1" applyAlignment="1">
      <alignment vertical="center" wrapText="1"/>
    </xf>
    <xf numFmtId="0" fontId="3" fillId="0" borderId="2" xfId="6" applyFont="1" applyFill="1" applyBorder="1" applyAlignment="1">
      <alignment horizontal="left" vertical="center" wrapText="1"/>
    </xf>
    <xf numFmtId="3" fontId="3" fillId="0" borderId="1" xfId="6" applyNumberFormat="1" applyFont="1" applyBorder="1" applyAlignment="1">
      <alignment vertical="center" wrapText="1"/>
    </xf>
    <xf numFmtId="3" fontId="3" fillId="0" borderId="7" xfId="5" applyNumberFormat="1" applyFont="1" applyBorder="1" applyAlignment="1">
      <alignment horizontal="right" wrapText="1"/>
    </xf>
    <xf numFmtId="3" fontId="3" fillId="0" borderId="7" xfId="5" applyNumberFormat="1" applyFont="1" applyBorder="1" applyAlignment="1">
      <alignment wrapText="1"/>
    </xf>
    <xf numFmtId="0" fontId="3" fillId="0" borderId="0" xfId="6" applyFont="1"/>
    <xf numFmtId="0" fontId="25" fillId="0" borderId="0" xfId="5" applyFont="1"/>
    <xf numFmtId="0" fontId="3" fillId="0" borderId="0" xfId="6" applyFont="1" applyProtection="1">
      <protection locked="0"/>
    </xf>
    <xf numFmtId="3" fontId="3" fillId="0" borderId="0" xfId="6" applyNumberFormat="1" applyFont="1"/>
    <xf numFmtId="3" fontId="3" fillId="0" borderId="0" xfId="6" applyNumberFormat="1" applyFont="1" applyBorder="1" applyAlignment="1" applyProtection="1">
      <alignment horizontal="right" vertical="center" wrapText="1"/>
      <protection locked="0"/>
    </xf>
    <xf numFmtId="0" fontId="3" fillId="0" borderId="0" xfId="6" applyFont="1" applyBorder="1" applyAlignment="1" applyProtection="1">
      <alignment horizontal="right" vertical="center" wrapText="1"/>
      <protection locked="0"/>
    </xf>
    <xf numFmtId="0" fontId="5" fillId="0" borderId="0" xfId="6" applyFont="1" applyBorder="1" applyAlignment="1" applyProtection="1">
      <alignment horizontal="left" vertical="center" wrapText="1"/>
      <protection locked="0"/>
    </xf>
    <xf numFmtId="0" fontId="3" fillId="0" borderId="0" xfId="6" applyFont="1" applyBorder="1" applyAlignment="1" applyProtection="1">
      <alignment horizontal="center" vertical="center" wrapText="1"/>
      <protection locked="0"/>
    </xf>
    <xf numFmtId="3" fontId="5" fillId="0" borderId="1" xfId="5" applyNumberFormat="1" applyFont="1" applyFill="1" applyBorder="1" applyAlignment="1">
      <alignment horizontal="right" vertical="center" wrapText="1"/>
    </xf>
    <xf numFmtId="3" fontId="5" fillId="0" borderId="1" xfId="6" applyNumberFormat="1" applyFont="1" applyFill="1" applyBorder="1" applyAlignment="1">
      <alignment vertical="center"/>
    </xf>
    <xf numFmtId="3" fontId="5" fillId="0" borderId="1" xfId="6" applyNumberFormat="1" applyFont="1" applyFill="1" applyBorder="1" applyAlignment="1">
      <alignment horizontal="right" vertical="center"/>
    </xf>
    <xf numFmtId="0" fontId="9" fillId="0" borderId="10" xfId="6" applyFont="1" applyBorder="1" applyAlignment="1"/>
    <xf numFmtId="0" fontId="3" fillId="0" borderId="1" xfId="6" applyFont="1" applyBorder="1" applyAlignment="1" applyProtection="1">
      <alignment vertical="top" wrapText="1"/>
      <protection locked="0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6" applyNumberFormat="1" applyFont="1" applyBorder="1" applyAlignment="1" applyProtection="1">
      <alignment horizontal="center" vertical="center" wrapText="1"/>
      <protection locked="0"/>
    </xf>
    <xf numFmtId="0" fontId="3" fillId="0" borderId="1" xfId="6" applyFont="1" applyBorder="1" applyAlignment="1" applyProtection="1">
      <alignment horizontal="right" vertical="center" wrapText="1"/>
      <protection locked="0"/>
    </xf>
    <xf numFmtId="0" fontId="3" fillId="0" borderId="1" xfId="6" applyFont="1" applyBorder="1" applyAlignment="1" applyProtection="1">
      <alignment horizontal="center" vertical="center" wrapText="1"/>
      <protection locked="0"/>
    </xf>
    <xf numFmtId="0" fontId="3" fillId="0" borderId="1" xfId="6" applyFont="1" applyBorder="1" applyAlignment="1" applyProtection="1">
      <alignment wrapText="1"/>
      <protection locked="0"/>
    </xf>
    <xf numFmtId="3" fontId="6" fillId="0" borderId="1" xfId="6" applyNumberFormat="1" applyFont="1" applyBorder="1" applyAlignment="1">
      <alignment wrapText="1"/>
    </xf>
    <xf numFmtId="49" fontId="3" fillId="0" borderId="0" xfId="6" applyNumberFormat="1" applyFont="1" applyBorder="1" applyAlignment="1" applyProtection="1">
      <alignment horizontal="center"/>
      <protection locked="0"/>
    </xf>
    <xf numFmtId="0" fontId="3" fillId="0" borderId="0" xfId="6" applyFont="1" applyBorder="1" applyAlignment="1" applyProtection="1">
      <protection locked="0"/>
    </xf>
    <xf numFmtId="0" fontId="3" fillId="0" borderId="0" xfId="6" applyFont="1" applyBorder="1" applyAlignment="1" applyProtection="1">
      <alignment wrapText="1"/>
      <protection locked="0"/>
    </xf>
    <xf numFmtId="3" fontId="3" fillId="0" borderId="0" xfId="6" applyNumberFormat="1" applyFont="1" applyBorder="1" applyAlignment="1" applyProtection="1">
      <alignment wrapText="1"/>
      <protection locked="0"/>
    </xf>
    <xf numFmtId="49" fontId="3" fillId="0" borderId="0" xfId="6" applyNumberFormat="1" applyFont="1" applyBorder="1" applyAlignment="1" applyProtection="1">
      <protection locked="0"/>
    </xf>
    <xf numFmtId="3" fontId="3" fillId="0" borderId="5" xfId="6" applyNumberFormat="1" applyFont="1" applyBorder="1" applyAlignment="1" applyProtection="1">
      <alignment horizontal="right" vertical="center" wrapText="1"/>
      <protection locked="0"/>
    </xf>
    <xf numFmtId="0" fontId="3" fillId="0" borderId="1" xfId="6" applyFont="1" applyBorder="1" applyAlignment="1" applyProtection="1">
      <alignment vertical="center" wrapText="1"/>
      <protection locked="0"/>
    </xf>
    <xf numFmtId="0" fontId="3" fillId="0" borderId="1" xfId="6" applyFont="1" applyBorder="1" applyAlignment="1" applyProtection="1">
      <alignment horizontal="right" vertical="top" wrapText="1"/>
      <protection locked="0"/>
    </xf>
    <xf numFmtId="0" fontId="3" fillId="0" borderId="1" xfId="6" quotePrefix="1" applyFont="1" applyBorder="1" applyAlignment="1" applyProtection="1">
      <alignment horizontal="right" vertical="top" wrapText="1"/>
      <protection locked="0"/>
    </xf>
    <xf numFmtId="0" fontId="3" fillId="0" borderId="0" xfId="6" applyFont="1" applyBorder="1" applyAlignment="1">
      <alignment wrapText="1"/>
    </xf>
    <xf numFmtId="3" fontId="3" fillId="0" borderId="0" xfId="6" applyNumberFormat="1" applyFont="1" applyBorder="1" applyAlignment="1">
      <alignment wrapText="1"/>
    </xf>
    <xf numFmtId="3" fontId="3" fillId="0" borderId="1" xfId="6" applyNumberFormat="1" applyFont="1" applyBorder="1" applyAlignment="1" applyProtection="1">
      <alignment vertical="center" wrapText="1"/>
      <protection locked="0"/>
    </xf>
    <xf numFmtId="0" fontId="3" fillId="0" borderId="1" xfId="6" applyFont="1" applyBorder="1" applyAlignment="1" applyProtection="1">
      <alignment horizontal="left" vertical="center" wrapText="1"/>
      <protection locked="0"/>
    </xf>
    <xf numFmtId="0" fontId="23" fillId="0" borderId="0" xfId="6" applyFont="1" applyAlignment="1" applyProtection="1">
      <protection locked="0"/>
    </xf>
    <xf numFmtId="0" fontId="3" fillId="0" borderId="0" xfId="6" applyFont="1" applyAlignment="1"/>
    <xf numFmtId="0" fontId="5" fillId="0" borderId="0" xfId="4" applyFont="1"/>
    <xf numFmtId="0" fontId="5" fillId="0" borderId="0" xfId="4" applyFont="1" applyFill="1"/>
    <xf numFmtId="0" fontId="3" fillId="0" borderId="0" xfId="4" applyFont="1" applyFill="1" applyBorder="1" applyAlignment="1"/>
    <xf numFmtId="0" fontId="23" fillId="0" borderId="0" xfId="4" applyFont="1"/>
    <xf numFmtId="0" fontId="5" fillId="0" borderId="0" xfId="6" applyFont="1" applyBorder="1" applyAlignment="1">
      <alignment horizontal="left" vertical="center" wrapText="1"/>
    </xf>
    <xf numFmtId="0" fontId="5" fillId="0" borderId="0" xfId="5" applyFont="1" applyBorder="1" applyAlignment="1">
      <alignment vertical="center"/>
    </xf>
    <xf numFmtId="0" fontId="3" fillId="0" borderId="0" xfId="4" applyFont="1" applyFill="1" applyAlignment="1"/>
    <xf numFmtId="0" fontId="3" fillId="0" borderId="0" xfId="5" applyFont="1" applyFill="1" applyAlignment="1">
      <alignment horizontal="left"/>
    </xf>
    <xf numFmtId="0" fontId="3" fillId="0" borderId="0" xfId="5" applyFont="1" applyFill="1" applyBorder="1" applyAlignment="1"/>
    <xf numFmtId="0" fontId="5" fillId="0" borderId="0" xfId="6" applyFont="1" applyFill="1"/>
    <xf numFmtId="0" fontId="3" fillId="0" borderId="15" xfId="6" applyFont="1" applyFill="1" applyBorder="1" applyAlignment="1">
      <alignment horizontal="right" wrapText="1"/>
    </xf>
    <xf numFmtId="0" fontId="7" fillId="0" borderId="0" xfId="4" applyFill="1" applyAlignment="1">
      <alignment horizontal="left" vertical="center"/>
    </xf>
    <xf numFmtId="3" fontId="3" fillId="0" borderId="0" xfId="6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6" fillId="0" borderId="0" xfId="1" applyFont="1" applyAlignment="1"/>
    <xf numFmtId="0" fontId="3" fillId="0" borderId="0" xfId="1" applyFont="1" applyAlignment="1">
      <alignment wrapText="1"/>
    </xf>
    <xf numFmtId="0" fontId="3" fillId="0" borderId="0" xfId="1" applyFont="1" applyBorder="1" applyAlignment="1"/>
    <xf numFmtId="0" fontId="6" fillId="0" borderId="0" xfId="1" applyFont="1" applyBorder="1" applyAlignment="1"/>
    <xf numFmtId="3" fontId="6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8" fillId="0" borderId="1" xfId="8" applyNumberFormat="1" applyFont="1" applyFill="1" applyBorder="1" applyAlignment="1">
      <alignment horizontal="right" vertical="center"/>
    </xf>
    <xf numFmtId="3" fontId="8" fillId="0" borderId="1" xfId="8" applyNumberFormat="1" applyFont="1" applyFill="1" applyBorder="1" applyAlignment="1">
      <alignment horizontal="right" vertical="center" wrapText="1"/>
    </xf>
    <xf numFmtId="3" fontId="3" fillId="0" borderId="1" xfId="7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Border="1" applyAlignment="1">
      <alignment wrapText="1"/>
    </xf>
    <xf numFmtId="0" fontId="3" fillId="0" borderId="10" xfId="1" applyFont="1" applyBorder="1"/>
    <xf numFmtId="3" fontId="6" fillId="0" borderId="1" xfId="1" applyNumberFormat="1" applyFont="1" applyBorder="1" applyAlignment="1">
      <alignment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28" fillId="0" borderId="0" xfId="1" applyFont="1"/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2" fillId="0" borderId="0" xfId="1" applyFill="1" applyAlignment="1"/>
    <xf numFmtId="0" fontId="28" fillId="0" borderId="0" xfId="1" applyFont="1" applyFill="1" applyAlignment="1"/>
    <xf numFmtId="41" fontId="3" fillId="0" borderId="1" xfId="1" applyNumberFormat="1" applyFont="1" applyFill="1" applyBorder="1" applyAlignment="1">
      <alignment horizontal="right" vertical="center" wrapText="1"/>
    </xf>
    <xf numFmtId="41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ill="1"/>
    <xf numFmtId="0" fontId="28" fillId="0" borderId="0" xfId="1" applyFont="1" applyFill="1"/>
    <xf numFmtId="0" fontId="29" fillId="0" borderId="0" xfId="1" applyFont="1" applyFill="1"/>
    <xf numFmtId="3" fontId="3" fillId="0" borderId="0" xfId="1" applyNumberFormat="1" applyFont="1" applyFill="1" applyBorder="1" applyAlignment="1">
      <alignment horizontal="right" wrapText="1"/>
    </xf>
    <xf numFmtId="49" fontId="3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Alignment="1"/>
    <xf numFmtId="0" fontId="21" fillId="0" borderId="0" xfId="1" applyFont="1"/>
    <xf numFmtId="3" fontId="8" fillId="0" borderId="1" xfId="1" applyNumberFormat="1" applyFont="1" applyFill="1" applyBorder="1" applyAlignment="1">
      <alignment horizontal="right" vertical="center" wrapText="1"/>
    </xf>
    <xf numFmtId="3" fontId="22" fillId="0" borderId="1" xfId="1" applyNumberFormat="1" applyFont="1" applyFill="1" applyBorder="1" applyAlignment="1">
      <alignment horizontal="right" vertical="center" wrapText="1"/>
    </xf>
    <xf numFmtId="0" fontId="19" fillId="0" borderId="0" xfId="1" applyFont="1" applyFill="1" applyAlignment="1">
      <alignment horizontal="right"/>
    </xf>
    <xf numFmtId="0" fontId="21" fillId="0" borderId="0" xfId="1" applyFont="1" applyFill="1" applyAlignment="1">
      <alignment horizontal="right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4" fontId="8" fillId="0" borderId="1" xfId="1" applyNumberFormat="1" applyFont="1" applyFill="1" applyBorder="1" applyAlignment="1">
      <alignment horizontal="right" vertical="center" wrapText="1"/>
    </xf>
    <xf numFmtId="0" fontId="19" fillId="0" borderId="0" xfId="1" applyFont="1" applyFill="1" applyAlignment="1"/>
    <xf numFmtId="0" fontId="21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wrapText="1"/>
    </xf>
    <xf numFmtId="3" fontId="3" fillId="0" borderId="1" xfId="1" applyNumberFormat="1" applyFont="1" applyBorder="1" applyAlignment="1">
      <alignment vertical="center" wrapText="1"/>
    </xf>
    <xf numFmtId="0" fontId="26" fillId="0" borderId="0" xfId="1" applyFont="1" applyAlignment="1">
      <alignment horizontal="left"/>
    </xf>
    <xf numFmtId="0" fontId="3" fillId="0" borderId="1" xfId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0" xfId="6" applyFont="1" applyBorder="1" applyAlignment="1"/>
    <xf numFmtId="0" fontId="3" fillId="0" borderId="0" xfId="1" applyFont="1" applyFill="1" applyAlignment="1">
      <alignment vertical="center"/>
    </xf>
    <xf numFmtId="0" fontId="26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" fontId="3" fillId="0" borderId="1" xfId="12" applyNumberFormat="1" applyFont="1" applyFill="1" applyBorder="1" applyAlignment="1">
      <alignment horizontal="right" vertical="center" wrapText="1"/>
    </xf>
    <xf numFmtId="165" fontId="3" fillId="0" borderId="1" xfId="12" applyNumberFormat="1" applyFont="1" applyFill="1" applyBorder="1" applyAlignment="1">
      <alignment horizontal="right" vertical="center" wrapText="1"/>
    </xf>
    <xf numFmtId="165" fontId="6" fillId="0" borderId="1" xfId="12" applyNumberFormat="1" applyFont="1" applyFill="1" applyBorder="1" applyAlignment="1">
      <alignment horizontal="right" vertical="center" wrapText="1"/>
    </xf>
    <xf numFmtId="3" fontId="3" fillId="0" borderId="1" xfId="10" applyNumberFormat="1" applyFont="1" applyFill="1" applyBorder="1" applyAlignment="1">
      <alignment horizontal="right" vertical="center" wrapText="1"/>
    </xf>
    <xf numFmtId="3" fontId="6" fillId="0" borderId="1" xfId="10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left" vertical="center" wrapText="1"/>
    </xf>
    <xf numFmtId="1" fontId="5" fillId="0" borderId="1" xfId="11" applyNumberFormat="1" applyFont="1" applyFill="1" applyBorder="1" applyAlignment="1">
      <alignment horizontal="right" vertical="center"/>
    </xf>
    <xf numFmtId="3" fontId="5" fillId="0" borderId="1" xfId="7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167" fontId="6" fillId="0" borderId="1" xfId="7" applyNumberFormat="1" applyFont="1" applyFill="1" applyBorder="1" applyAlignment="1">
      <alignment vertical="center" wrapText="1"/>
    </xf>
    <xf numFmtId="1" fontId="6" fillId="0" borderId="1" xfId="9" applyNumberFormat="1" applyFont="1" applyFill="1" applyBorder="1" applyAlignment="1">
      <alignment horizontal="right" vertical="center"/>
    </xf>
    <xf numFmtId="167" fontId="3" fillId="0" borderId="1" xfId="7" applyNumberFormat="1" applyFont="1" applyFill="1" applyBorder="1" applyAlignment="1">
      <alignment vertical="center" wrapText="1"/>
    </xf>
    <xf numFmtId="0" fontId="6" fillId="0" borderId="1" xfId="10" applyFont="1" applyFill="1" applyBorder="1" applyAlignment="1">
      <alignment vertical="center" wrapText="1"/>
    </xf>
    <xf numFmtId="1" fontId="6" fillId="0" borderId="1" xfId="11" applyNumberFormat="1" applyFont="1" applyFill="1" applyBorder="1" applyAlignment="1">
      <alignment horizontal="right" vertical="center"/>
    </xf>
    <xf numFmtId="0" fontId="8" fillId="0" borderId="1" xfId="11" applyFont="1" applyFill="1" applyBorder="1" applyAlignment="1">
      <alignment vertical="center"/>
    </xf>
    <xf numFmtId="3" fontId="6" fillId="0" borderId="1" xfId="9" applyNumberFormat="1" applyFont="1" applyFill="1" applyBorder="1" applyAlignment="1">
      <alignment horizontal="right" vertical="center"/>
    </xf>
    <xf numFmtId="0" fontId="6" fillId="0" borderId="1" xfId="7" applyFont="1" applyFill="1" applyBorder="1" applyAlignment="1">
      <alignment vertical="center" wrapText="1"/>
    </xf>
    <xf numFmtId="1" fontId="3" fillId="0" borderId="1" xfId="9" applyNumberFormat="1" applyFont="1" applyFill="1" applyBorder="1" applyAlignment="1">
      <alignment horizontal="right" vertical="center"/>
    </xf>
    <xf numFmtId="3" fontId="3" fillId="0" borderId="1" xfId="9" applyNumberFormat="1" applyFont="1" applyFill="1" applyBorder="1" applyAlignment="1">
      <alignment horizontal="right" vertical="center"/>
    </xf>
    <xf numFmtId="1" fontId="16" fillId="0" borderId="1" xfId="11" applyNumberFormat="1" applyFont="1" applyFill="1" applyBorder="1" applyAlignment="1">
      <alignment horizontal="right" vertical="center"/>
    </xf>
    <xf numFmtId="0" fontId="33" fillId="0" borderId="0" xfId="1" applyFont="1" applyAlignment="1"/>
    <xf numFmtId="0" fontId="6" fillId="0" borderId="0" xfId="1" applyFont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6" applyFont="1" applyFill="1" applyAlignment="1">
      <alignment horizontal="left" vertical="center"/>
    </xf>
    <xf numFmtId="3" fontId="6" fillId="0" borderId="1" xfId="6" applyNumberFormat="1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3" fontId="3" fillId="0" borderId="1" xfId="6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7" xfId="6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/>
    </xf>
    <xf numFmtId="3" fontId="6" fillId="0" borderId="1" xfId="6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3" fontId="3" fillId="0" borderId="6" xfId="1" applyNumberFormat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5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3" fontId="3" fillId="0" borderId="15" xfId="1" applyNumberFormat="1" applyFont="1" applyBorder="1" applyAlignment="1">
      <alignment vertical="center" wrapText="1"/>
    </xf>
    <xf numFmtId="0" fontId="3" fillId="0" borderId="9" xfId="1" applyFont="1" applyFill="1" applyBorder="1" applyAlignment="1">
      <alignment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9" applyFont="1"/>
    <xf numFmtId="0" fontId="3" fillId="0" borderId="0" xfId="9" applyFont="1" applyAlignment="1"/>
    <xf numFmtId="0" fontId="34" fillId="0" borderId="0" xfId="9" applyFont="1"/>
    <xf numFmtId="0" fontId="3" fillId="0" borderId="0" xfId="9" applyFont="1" applyAlignment="1">
      <alignment horizontal="left"/>
    </xf>
    <xf numFmtId="0" fontId="4" fillId="0" borderId="0" xfId="9" applyFont="1" applyAlignment="1">
      <alignment horizontal="center"/>
    </xf>
    <xf numFmtId="0" fontId="26" fillId="0" borderId="0" xfId="9" applyFont="1" applyAlignment="1"/>
    <xf numFmtId="0" fontId="3" fillId="0" borderId="0" xfId="9" applyFont="1" applyAlignment="1">
      <alignment wrapText="1"/>
    </xf>
    <xf numFmtId="0" fontId="3" fillId="0" borderId="0" xfId="9" applyFont="1" applyBorder="1" applyAlignment="1"/>
    <xf numFmtId="0" fontId="6" fillId="0" borderId="0" xfId="9" applyFont="1" applyBorder="1" applyAlignment="1"/>
    <xf numFmtId="0" fontId="3" fillId="0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left" vertical="center" wrapText="1"/>
    </xf>
    <xf numFmtId="3" fontId="6" fillId="0" borderId="1" xfId="9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right" vertical="center" wrapText="1"/>
    </xf>
    <xf numFmtId="0" fontId="34" fillId="0" borderId="0" xfId="9" applyFont="1" applyFill="1"/>
    <xf numFmtId="0" fontId="34" fillId="0" borderId="0" xfId="9" applyFont="1" applyAlignment="1">
      <alignment horizontal="center" vertical="center" wrapText="1"/>
    </xf>
    <xf numFmtId="0" fontId="34" fillId="0" borderId="0" xfId="9" applyFont="1" applyAlignment="1">
      <alignment horizontal="left" vertical="top" wrapText="1"/>
    </xf>
    <xf numFmtId="0" fontId="3" fillId="0" borderId="1" xfId="9" applyFont="1" applyBorder="1" applyAlignment="1">
      <alignment horizontal="center"/>
    </xf>
    <xf numFmtId="0" fontId="3" fillId="0" borderId="1" xfId="9" applyFont="1" applyFill="1" applyBorder="1" applyAlignment="1">
      <alignment wrapText="1"/>
    </xf>
    <xf numFmtId="167" fontId="3" fillId="0" borderId="1" xfId="9" applyNumberFormat="1" applyFont="1" applyFill="1" applyBorder="1" applyAlignment="1">
      <alignment horizontal="right" vertical="center"/>
    </xf>
    <xf numFmtId="0" fontId="1" fillId="0" borderId="0" xfId="8"/>
    <xf numFmtId="0" fontId="3" fillId="0" borderId="1" xfId="1" applyFont="1" applyBorder="1" applyAlignment="1">
      <alignment horizontal="left" wrapText="1"/>
    </xf>
    <xf numFmtId="0" fontId="3" fillId="0" borderId="1" xfId="9" applyFont="1" applyBorder="1" applyAlignment="1">
      <alignment horizontal="center" vertical="center" wrapText="1"/>
    </xf>
    <xf numFmtId="0" fontId="16" fillId="0" borderId="0" xfId="8" applyFont="1" applyBorder="1" applyAlignment="1">
      <alignment vertical="center"/>
    </xf>
    <xf numFmtId="0" fontId="16" fillId="0" borderId="0" xfId="8" applyFont="1" applyBorder="1" applyAlignment="1">
      <alignment vertical="center" wrapText="1"/>
    </xf>
    <xf numFmtId="3" fontId="6" fillId="0" borderId="1" xfId="9" applyNumberFormat="1" applyFont="1" applyFill="1" applyBorder="1" applyAlignment="1">
      <alignment vertical="center" wrapText="1"/>
    </xf>
    <xf numFmtId="0" fontId="3" fillId="0" borderId="1" xfId="9" applyFont="1" applyFill="1" applyBorder="1" applyAlignment="1" applyProtection="1">
      <alignment vertical="center" wrapText="1"/>
      <protection locked="0"/>
    </xf>
    <xf numFmtId="0" fontId="3" fillId="0" borderId="1" xfId="9" applyFont="1" applyBorder="1" applyAlignment="1">
      <alignment horizontal="center" vertical="center"/>
    </xf>
    <xf numFmtId="0" fontId="27" fillId="0" borderId="0" xfId="9"/>
    <xf numFmtId="0" fontId="4" fillId="0" borderId="0" xfId="6" applyFont="1" applyAlignment="1">
      <alignment horizontal="center"/>
    </xf>
    <xf numFmtId="0" fontId="26" fillId="0" borderId="0" xfId="6" applyFont="1" applyAlignment="1"/>
    <xf numFmtId="0" fontId="6" fillId="0" borderId="0" xfId="6" applyFont="1" applyBorder="1" applyAlignment="1"/>
    <xf numFmtId="3" fontId="6" fillId="0" borderId="1" xfId="6" applyNumberFormat="1" applyFont="1" applyBorder="1" applyAlignment="1">
      <alignment vertical="center" wrapText="1"/>
    </xf>
    <xf numFmtId="3" fontId="6" fillId="0" borderId="0" xfId="6" applyNumberFormat="1" applyFont="1"/>
    <xf numFmtId="0" fontId="21" fillId="0" borderId="0" xfId="6" applyFont="1" applyAlignment="1">
      <alignment vertical="center" wrapText="1"/>
    </xf>
    <xf numFmtId="0" fontId="21" fillId="0" borderId="0" xfId="6" applyFont="1" applyAlignment="1">
      <alignment wrapText="1"/>
    </xf>
    <xf numFmtId="0" fontId="3" fillId="0" borderId="10" xfId="6" applyFont="1" applyBorder="1"/>
    <xf numFmtId="0" fontId="3" fillId="0" borderId="0" xfId="6" applyFont="1" applyAlignment="1">
      <alignment horizontal="left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center" wrapText="1"/>
    </xf>
    <xf numFmtId="3" fontId="3" fillId="2" borderId="1" xfId="6" applyNumberFormat="1" applyFont="1" applyFill="1" applyBorder="1" applyAlignment="1">
      <alignment horizontal="right" vertical="center" wrapText="1"/>
    </xf>
    <xf numFmtId="0" fontId="3" fillId="0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3" fillId="2" borderId="0" xfId="6" applyFont="1" applyFill="1" applyAlignment="1">
      <alignment wrapText="1"/>
    </xf>
    <xf numFmtId="0" fontId="3" fillId="0" borderId="0" xfId="6" applyFont="1" applyFill="1"/>
    <xf numFmtId="0" fontId="3" fillId="0" borderId="0" xfId="6" applyFont="1" applyFill="1" applyAlignment="1"/>
    <xf numFmtId="0" fontId="6" fillId="0" borderId="0" xfId="6" applyFont="1" applyFill="1" applyAlignment="1"/>
    <xf numFmtId="0" fontId="26" fillId="0" borderId="0" xfId="6" applyFont="1" applyFill="1" applyAlignment="1"/>
    <xf numFmtId="0" fontId="33" fillId="0" borderId="0" xfId="6" applyFont="1" applyFill="1" applyAlignment="1"/>
    <xf numFmtId="0" fontId="3" fillId="0" borderId="0" xfId="6" applyFont="1" applyFill="1" applyBorder="1" applyAlignment="1"/>
    <xf numFmtId="0" fontId="6" fillId="0" borderId="0" xfId="6" applyFont="1" applyFill="1" applyBorder="1" applyAlignment="1"/>
    <xf numFmtId="0" fontId="7" fillId="0" borderId="0" xfId="6"/>
    <xf numFmtId="0" fontId="7" fillId="0" borderId="0" xfId="6" applyAlignment="1">
      <alignment horizontal="center"/>
    </xf>
    <xf numFmtId="0" fontId="7" fillId="0" borderId="0" xfId="6" applyFill="1"/>
    <xf numFmtId="0" fontId="13" fillId="0" borderId="1" xfId="6" applyFont="1" applyFill="1" applyBorder="1" applyAlignment="1">
      <alignment vertical="center" wrapText="1"/>
    </xf>
    <xf numFmtId="0" fontId="15" fillId="0" borderId="1" xfId="6" applyFont="1" applyFill="1" applyBorder="1" applyAlignment="1">
      <alignment vertical="center"/>
    </xf>
    <xf numFmtId="0" fontId="13" fillId="0" borderId="1" xfId="6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right" vertical="center" wrapText="1"/>
    </xf>
    <xf numFmtId="44" fontId="13" fillId="0" borderId="1" xfId="15" applyFont="1" applyFill="1" applyBorder="1" applyAlignment="1">
      <alignment horizontal="left" vertical="center" wrapText="1"/>
    </xf>
    <xf numFmtId="3" fontId="13" fillId="0" borderId="1" xfId="6" applyNumberFormat="1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wrapText="1"/>
    </xf>
    <xf numFmtId="0" fontId="3" fillId="0" borderId="0" xfId="6" applyFont="1" applyBorder="1"/>
    <xf numFmtId="0" fontId="3" fillId="0" borderId="1" xfId="6" applyFont="1" applyBorder="1" applyAlignment="1">
      <alignment horizontal="center" wrapText="1"/>
    </xf>
    <xf numFmtId="0" fontId="3" fillId="0" borderId="15" xfId="6" applyFont="1" applyBorder="1"/>
    <xf numFmtId="0" fontId="3" fillId="0" borderId="15" xfId="6" applyFont="1" applyFill="1" applyBorder="1" applyAlignment="1"/>
    <xf numFmtId="0" fontId="3" fillId="0" borderId="0" xfId="6" applyFont="1" applyFill="1" applyAlignment="1">
      <alignment vertical="center"/>
    </xf>
    <xf numFmtId="0" fontId="3" fillId="0" borderId="1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 wrapText="1"/>
    </xf>
    <xf numFmtId="3" fontId="3" fillId="0" borderId="0" xfId="6" applyNumberFormat="1" applyFont="1" applyFill="1" applyBorder="1" applyAlignment="1">
      <alignment vertical="center" wrapText="1"/>
    </xf>
    <xf numFmtId="0" fontId="6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3" fontId="37" fillId="0" borderId="1" xfId="6" applyNumberFormat="1" applyFont="1" applyFill="1" applyBorder="1" applyAlignment="1">
      <alignment horizontal="right" vertical="center" wrapText="1"/>
    </xf>
    <xf numFmtId="3" fontId="3" fillId="0" borderId="7" xfId="6" applyNumberFormat="1" applyFont="1" applyFill="1" applyBorder="1" applyAlignment="1">
      <alignment vertical="center" wrapText="1"/>
    </xf>
    <xf numFmtId="3" fontId="37" fillId="0" borderId="9" xfId="6" applyNumberFormat="1" applyFont="1" applyFill="1" applyBorder="1" applyAlignment="1">
      <alignment horizontal="right" vertical="center" wrapText="1"/>
    </xf>
    <xf numFmtId="3" fontId="6" fillId="0" borderId="7" xfId="6" applyNumberFormat="1" applyFont="1" applyFill="1" applyBorder="1" applyAlignment="1">
      <alignment vertical="center" wrapText="1"/>
    </xf>
    <xf numFmtId="49" fontId="6" fillId="0" borderId="0" xfId="1" applyNumberFormat="1" applyFont="1" applyBorder="1" applyAlignment="1"/>
    <xf numFmtId="0" fontId="14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16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/>
    </xf>
    <xf numFmtId="0" fontId="3" fillId="0" borderId="0" xfId="6" applyFont="1" applyAlignment="1">
      <alignment vertical="center"/>
    </xf>
    <xf numFmtId="0" fontId="3" fillId="0" borderId="0" xfId="6" applyFont="1" applyAlignment="1">
      <alignment horizontal="left"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3" fillId="0" borderId="0" xfId="6" applyFont="1" applyBorder="1" applyAlignment="1">
      <alignment vertical="center"/>
    </xf>
    <xf numFmtId="1" fontId="3" fillId="0" borderId="1" xfId="6" applyNumberFormat="1" applyFont="1" applyBorder="1" applyAlignment="1">
      <alignment horizontal="right" vertical="center" wrapText="1"/>
    </xf>
    <xf numFmtId="1" fontId="3" fillId="0" borderId="1" xfId="6" applyNumberFormat="1" applyFont="1" applyBorder="1" applyAlignment="1">
      <alignment vertical="center"/>
    </xf>
    <xf numFmtId="0" fontId="3" fillId="0" borderId="0" xfId="6" applyFont="1" applyBorder="1" applyAlignment="1">
      <alignment vertical="center" wrapText="1"/>
    </xf>
    <xf numFmtId="1" fontId="3" fillId="0" borderId="0" xfId="6" applyNumberFormat="1" applyFont="1" applyBorder="1" applyAlignment="1">
      <alignment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center"/>
    </xf>
    <xf numFmtId="0" fontId="14" fillId="0" borderId="0" xfId="6" applyFont="1" applyBorder="1" applyAlignment="1">
      <alignment horizontal="left" vertical="center"/>
    </xf>
    <xf numFmtId="1" fontId="3" fillId="0" borderId="1" xfId="6" applyNumberFormat="1" applyFont="1" applyFill="1" applyBorder="1" applyAlignment="1">
      <alignment horizontal="right" vertical="center" wrapText="1"/>
    </xf>
    <xf numFmtId="1" fontId="3" fillId="0" borderId="0" xfId="6" applyNumberFormat="1" applyFont="1" applyAlignment="1">
      <alignment vertical="center"/>
    </xf>
    <xf numFmtId="3" fontId="3" fillId="0" borderId="0" xfId="6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wrapText="1"/>
    </xf>
    <xf numFmtId="3" fontId="6" fillId="0" borderId="1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left"/>
    </xf>
    <xf numFmtId="3" fontId="22" fillId="0" borderId="1" xfId="1" applyNumberFormat="1" applyFont="1" applyFill="1" applyBorder="1" applyAlignment="1">
      <alignment wrapText="1"/>
    </xf>
    <xf numFmtId="0" fontId="26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wrapText="1"/>
    </xf>
    <xf numFmtId="3" fontId="6" fillId="0" borderId="1" xfId="6" applyNumberFormat="1" applyFont="1" applyFill="1" applyBorder="1" applyAlignment="1">
      <alignment wrapText="1"/>
    </xf>
    <xf numFmtId="2" fontId="41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3" fontId="3" fillId="0" borderId="1" xfId="6" applyNumberFormat="1" applyFont="1" applyFill="1" applyBorder="1" applyAlignment="1">
      <alignment horizontal="right" vertical="center" wrapText="1"/>
    </xf>
    <xf numFmtId="0" fontId="42" fillId="0" borderId="0" xfId="16" applyFont="1"/>
    <xf numFmtId="0" fontId="32" fillId="0" borderId="0" xfId="16" applyFont="1"/>
    <xf numFmtId="49" fontId="32" fillId="0" borderId="0" xfId="16" applyNumberFormat="1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 wrapText="1"/>
    </xf>
    <xf numFmtId="3" fontId="3" fillId="0" borderId="0" xfId="7" applyNumberFormat="1" applyFont="1" applyFill="1" applyBorder="1" applyAlignment="1">
      <alignment horizontal="right" vertical="center"/>
    </xf>
    <xf numFmtId="0" fontId="5" fillId="0" borderId="0" xfId="6" applyFont="1" applyBorder="1" applyAlignment="1">
      <alignment horizontal="center" vertical="center" wrapText="1"/>
    </xf>
    <xf numFmtId="1" fontId="3" fillId="0" borderId="0" xfId="6" applyNumberFormat="1" applyFont="1" applyFill="1" applyBorder="1" applyAlignment="1">
      <alignment horizontal="right" vertical="center" wrapText="1"/>
    </xf>
    <xf numFmtId="1" fontId="3" fillId="0" borderId="0" xfId="6" applyNumberFormat="1" applyFont="1" applyBorder="1" applyAlignment="1">
      <alignment horizontal="right" vertical="center" wrapText="1"/>
    </xf>
    <xf numFmtId="3" fontId="6" fillId="0" borderId="0" xfId="6" applyNumberFormat="1" applyFont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vertical="center" wrapText="1"/>
    </xf>
    <xf numFmtId="0" fontId="44" fillId="0" borderId="0" xfId="16" applyFont="1"/>
    <xf numFmtId="3" fontId="45" fillId="0" borderId="0" xfId="16" applyNumberFormat="1" applyFont="1" applyAlignment="1">
      <alignment horizontal="left"/>
    </xf>
    <xf numFmtId="0" fontId="32" fillId="0" borderId="0" xfId="16" applyFont="1" applyFill="1"/>
    <xf numFmtId="3" fontId="4" fillId="0" borderId="0" xfId="16" applyNumberFormat="1" applyFont="1" applyFill="1" applyAlignment="1">
      <alignment horizontal="left" wrapText="1"/>
    </xf>
    <xf numFmtId="0" fontId="42" fillId="0" borderId="0" xfId="16" applyFont="1" applyFill="1"/>
    <xf numFmtId="0" fontId="24" fillId="0" borderId="0" xfId="16" applyFont="1" applyFill="1" applyAlignment="1">
      <alignment horizontal="left"/>
    </xf>
    <xf numFmtId="0" fontId="24" fillId="0" borderId="0" xfId="16" applyFont="1" applyFill="1" applyBorder="1" applyAlignment="1">
      <alignment horizontal="left"/>
    </xf>
    <xf numFmtId="49" fontId="24" fillId="0" borderId="0" xfId="16" applyNumberFormat="1" applyFont="1" applyFill="1" applyBorder="1" applyAlignment="1">
      <alignment horizontal="left"/>
    </xf>
    <xf numFmtId="49" fontId="24" fillId="0" borderId="0" xfId="16" applyNumberFormat="1" applyFont="1" applyFill="1" applyAlignment="1">
      <alignment horizontal="left"/>
    </xf>
    <xf numFmtId="0" fontId="20" fillId="0" borderId="0" xfId="16" applyFont="1" applyFill="1" applyBorder="1"/>
    <xf numFmtId="0" fontId="20" fillId="0" borderId="0" xfId="16" applyFont="1" applyFill="1" applyBorder="1" applyAlignment="1"/>
    <xf numFmtId="0" fontId="3" fillId="0" borderId="0" xfId="16" applyFont="1" applyFill="1"/>
    <xf numFmtId="3" fontId="6" fillId="0" borderId="1" xfId="16" applyNumberFormat="1" applyFont="1" applyFill="1" applyBorder="1" applyAlignment="1">
      <alignment horizontal="right"/>
    </xf>
    <xf numFmtId="3" fontId="3" fillId="0" borderId="1" xfId="16" applyNumberFormat="1" applyFont="1" applyFill="1" applyBorder="1" applyAlignment="1">
      <alignment horizontal="right"/>
    </xf>
    <xf numFmtId="3" fontId="3" fillId="0" borderId="1" xfId="16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 applyProtection="1">
      <alignment wrapText="1"/>
      <protection locked="0"/>
    </xf>
    <xf numFmtId="0" fontId="3" fillId="0" borderId="0" xfId="1" applyFont="1" applyFill="1" applyProtection="1">
      <protection locked="0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6" applyFont="1" applyAlignment="1">
      <alignment horizontal="left" vertical="center"/>
    </xf>
    <xf numFmtId="0" fontId="4" fillId="0" borderId="0" xfId="6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9" applyFont="1"/>
    <xf numFmtId="0" fontId="3" fillId="0" borderId="0" xfId="9" applyFont="1" applyFill="1" applyAlignment="1">
      <alignment horizontal="left"/>
    </xf>
    <xf numFmtId="0" fontId="4" fillId="0" borderId="0" xfId="9" applyFont="1" applyFill="1" applyAlignment="1">
      <alignment horizontal="center"/>
    </xf>
    <xf numFmtId="0" fontId="26" fillId="0" borderId="0" xfId="9" applyFont="1" applyFill="1" applyAlignment="1"/>
    <xf numFmtId="0" fontId="3" fillId="0" borderId="0" xfId="9" applyFont="1" applyFill="1" applyBorder="1" applyAlignment="1"/>
    <xf numFmtId="0" fontId="34" fillId="0" borderId="0" xfId="9" applyFont="1" applyFill="1" applyAlignment="1">
      <alignment horizontal="center" vertical="center" wrapText="1"/>
    </xf>
    <xf numFmtId="3" fontId="6" fillId="0" borderId="0" xfId="6" applyNumberFormat="1" applyFont="1" applyFill="1" applyBorder="1" applyAlignment="1">
      <alignment vertical="center" wrapText="1"/>
    </xf>
    <xf numFmtId="3" fontId="6" fillId="0" borderId="2" xfId="1" applyNumberFormat="1" applyFont="1" applyFill="1" applyBorder="1" applyAlignment="1">
      <alignment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3" fontId="6" fillId="0" borderId="2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6" fillId="0" borderId="6" xfId="1" applyNumberFormat="1" applyFont="1" applyFill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23" fillId="0" borderId="0" xfId="6" applyFont="1" applyFill="1" applyAlignment="1" applyProtection="1">
      <protection locked="0"/>
    </xf>
    <xf numFmtId="0" fontId="9" fillId="0" borderId="10" xfId="6" applyFont="1" applyFill="1" applyBorder="1" applyAlignment="1"/>
    <xf numFmtId="0" fontId="3" fillId="0" borderId="0" xfId="6" applyFont="1" applyFill="1" applyBorder="1" applyAlignment="1" applyProtection="1">
      <protection locked="0"/>
    </xf>
    <xf numFmtId="49" fontId="3" fillId="0" borderId="0" xfId="6" applyNumberFormat="1" applyFont="1" applyFill="1" applyBorder="1" applyAlignment="1" applyProtection="1">
      <protection locked="0"/>
    </xf>
    <xf numFmtId="3" fontId="3" fillId="0" borderId="0" xfId="6" applyNumberFormat="1" applyFont="1" applyFill="1" applyBorder="1" applyAlignment="1" applyProtection="1">
      <alignment wrapText="1"/>
      <protection locked="0"/>
    </xf>
    <xf numFmtId="49" fontId="3" fillId="0" borderId="0" xfId="6" applyNumberFormat="1" applyFont="1" applyFill="1" applyBorder="1" applyAlignment="1" applyProtection="1">
      <alignment horizontal="center"/>
      <protection locked="0"/>
    </xf>
    <xf numFmtId="3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Protection="1">
      <protection locked="0"/>
    </xf>
    <xf numFmtId="0" fontId="5" fillId="0" borderId="0" xfId="5" applyFont="1" applyFill="1"/>
    <xf numFmtId="3" fontId="35" fillId="0" borderId="1" xfId="9" applyNumberFormat="1" applyFont="1" applyFill="1" applyBorder="1" applyAlignment="1">
      <alignment horizontal="right" vertical="center" wrapText="1"/>
    </xf>
    <xf numFmtId="3" fontId="35" fillId="0" borderId="2" xfId="9" applyNumberFormat="1" applyFont="1" applyFill="1" applyBorder="1" applyAlignment="1">
      <alignment horizontal="right" vertical="center" wrapText="1"/>
    </xf>
    <xf numFmtId="3" fontId="36" fillId="0" borderId="1" xfId="9" applyNumberFormat="1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right" vertical="center" wrapText="1"/>
    </xf>
    <xf numFmtId="0" fontId="3" fillId="0" borderId="0" xfId="17" applyFont="1"/>
    <xf numFmtId="0" fontId="3" fillId="0" borderId="0" xfId="17" applyFont="1" applyAlignment="1"/>
    <xf numFmtId="0" fontId="3" fillId="0" borderId="1" xfId="17" applyFont="1" applyBorder="1" applyAlignment="1">
      <alignment horizontal="center" vertical="center" wrapText="1"/>
    </xf>
    <xf numFmtId="3" fontId="6" fillId="0" borderId="1" xfId="17" applyNumberFormat="1" applyFont="1" applyBorder="1" applyAlignment="1">
      <alignment wrapText="1"/>
    </xf>
    <xf numFmtId="0" fontId="6" fillId="0" borderId="0" xfId="17" applyFont="1"/>
    <xf numFmtId="3" fontId="3" fillId="0" borderId="0" xfId="17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/>
    <xf numFmtId="0" fontId="13" fillId="3" borderId="0" xfId="0" applyFont="1" applyFill="1"/>
    <xf numFmtId="0" fontId="13" fillId="0" borderId="0" xfId="0" applyFont="1" applyFill="1"/>
    <xf numFmtId="0" fontId="13" fillId="0" borderId="0" xfId="0" applyFont="1" applyAlignment="1">
      <alignment horizontal="right"/>
    </xf>
    <xf numFmtId="3" fontId="6" fillId="0" borderId="1" xfId="2" applyNumberFormat="1" applyFont="1" applyFill="1" applyBorder="1" applyAlignment="1" applyProtection="1">
      <alignment wrapText="1"/>
      <protection locked="0"/>
    </xf>
    <xf numFmtId="3" fontId="6" fillId="0" borderId="1" xfId="2" applyNumberFormat="1" applyFont="1" applyFill="1" applyBorder="1" applyAlignment="1" applyProtection="1">
      <alignment horizontal="right" wrapText="1"/>
      <protection locked="0"/>
    </xf>
    <xf numFmtId="0" fontId="3" fillId="0" borderId="0" xfId="17" applyFont="1" applyAlignment="1">
      <alignment horizontal="left"/>
    </xf>
    <xf numFmtId="0" fontId="4" fillId="0" borderId="0" xfId="17" applyFont="1" applyAlignment="1">
      <alignment horizontal="center" wrapText="1"/>
    </xf>
    <xf numFmtId="0" fontId="4" fillId="0" borderId="0" xfId="17" applyFont="1" applyAlignment="1">
      <alignment horizontal="center"/>
    </xf>
    <xf numFmtId="3" fontId="3" fillId="0" borderId="1" xfId="6" applyNumberFormat="1" applyFont="1" applyFill="1" applyBorder="1" applyAlignment="1">
      <alignment horizontal="right" vertical="center" wrapText="1"/>
    </xf>
    <xf numFmtId="3" fontId="3" fillId="0" borderId="1" xfId="6" applyNumberFormat="1" applyFont="1" applyFill="1" applyBorder="1" applyAlignment="1">
      <alignment horizontal="right" vertical="center" wrapText="1"/>
    </xf>
    <xf numFmtId="0" fontId="4" fillId="0" borderId="0" xfId="6" applyFont="1" applyFill="1" applyAlignment="1">
      <alignment horizontal="center"/>
    </xf>
    <xf numFmtId="0" fontId="33" fillId="0" borderId="0" xfId="1" applyFont="1" applyFill="1" applyAlignment="1">
      <alignment horizontal="left"/>
    </xf>
    <xf numFmtId="0" fontId="8" fillId="0" borderId="1" xfId="8" applyFont="1" applyFill="1" applyBorder="1" applyAlignment="1">
      <alignment horizontal="right" vertical="center"/>
    </xf>
    <xf numFmtId="3" fontId="8" fillId="0" borderId="1" xfId="8" applyNumberFormat="1" applyFont="1" applyFill="1" applyBorder="1" applyAlignment="1">
      <alignment vertical="center"/>
    </xf>
    <xf numFmtId="0" fontId="8" fillId="0" borderId="1" xfId="8" applyFont="1" applyFill="1" applyBorder="1" applyAlignment="1">
      <alignment vertical="center"/>
    </xf>
    <xf numFmtId="167" fontId="8" fillId="0" borderId="1" xfId="9" applyNumberFormat="1" applyFont="1" applyFill="1" applyBorder="1" applyAlignment="1">
      <alignment wrapText="1"/>
    </xf>
    <xf numFmtId="3" fontId="6" fillId="0" borderId="1" xfId="9" applyNumberFormat="1" applyFont="1" applyFill="1" applyBorder="1" applyAlignment="1">
      <alignment wrapText="1"/>
    </xf>
    <xf numFmtId="0" fontId="8" fillId="0" borderId="1" xfId="9" applyFont="1" applyFill="1" applyBorder="1"/>
    <xf numFmtId="0" fontId="1" fillId="0" borderId="0" xfId="8" applyFill="1"/>
    <xf numFmtId="0" fontId="6" fillId="0" borderId="0" xfId="1" applyFont="1" applyFill="1" applyBorder="1" applyAlignment="1"/>
    <xf numFmtId="3" fontId="3" fillId="0" borderId="15" xfId="1" applyNumberFormat="1" applyFont="1" applyFill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3" fillId="0" borderId="9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vertical="center" wrapText="1"/>
    </xf>
    <xf numFmtId="3" fontId="21" fillId="0" borderId="15" xfId="1" applyNumberFormat="1" applyFont="1" applyFill="1" applyBorder="1" applyAlignment="1">
      <alignment vertical="center" wrapText="1"/>
    </xf>
    <xf numFmtId="0" fontId="38" fillId="0" borderId="10" xfId="6" applyFont="1" applyFill="1" applyBorder="1" applyAlignment="1">
      <alignment vertical="center"/>
    </xf>
    <xf numFmtId="3" fontId="3" fillId="0" borderId="1" xfId="6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2" borderId="1" xfId="2" applyNumberFormat="1" applyFont="1" applyFill="1" applyBorder="1" applyAlignment="1" applyProtection="1">
      <alignment wrapText="1"/>
      <protection locked="0"/>
    </xf>
    <xf numFmtId="3" fontId="3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2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protection locked="0"/>
    </xf>
    <xf numFmtId="3" fontId="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Alignment="1">
      <alignment wrapText="1"/>
    </xf>
    <xf numFmtId="0" fontId="3" fillId="0" borderId="0" xfId="2" applyFont="1" applyBorder="1" applyAlignment="1" applyProtection="1">
      <alignment wrapText="1"/>
      <protection locked="0"/>
    </xf>
    <xf numFmtId="3" fontId="3" fillId="0" borderId="1" xfId="2" applyNumberFormat="1" applyFont="1" applyFill="1" applyBorder="1" applyAlignment="1">
      <alignment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0" xfId="6" applyFont="1" applyFill="1" applyBorder="1" applyAlignment="1" applyProtection="1">
      <protection locked="0"/>
    </xf>
    <xf numFmtId="0" fontId="3" fillId="0" borderId="1" xfId="6" applyFont="1" applyFill="1" applyBorder="1" applyAlignment="1" applyProtection="1">
      <alignment horizontal="left" vertical="center" wrapText="1"/>
      <protection locked="0"/>
    </xf>
    <xf numFmtId="0" fontId="3" fillId="0" borderId="1" xfId="6" applyFont="1" applyFill="1" applyBorder="1" applyAlignment="1" applyProtection="1">
      <alignment vertical="center" wrapText="1"/>
      <protection locked="0"/>
    </xf>
    <xf numFmtId="0" fontId="3" fillId="0" borderId="1" xfId="6" applyFont="1" applyFill="1" applyBorder="1" applyAlignment="1" applyProtection="1">
      <alignment vertical="top" wrapText="1"/>
      <protection locked="0"/>
    </xf>
    <xf numFmtId="0" fontId="3" fillId="0" borderId="1" xfId="6" applyFont="1" applyFill="1" applyBorder="1" applyAlignment="1" applyProtection="1">
      <alignment horizontal="right" vertical="top" wrapText="1"/>
      <protection locked="0"/>
    </xf>
    <xf numFmtId="0" fontId="3" fillId="0" borderId="1" xfId="6" quotePrefix="1" applyFont="1" applyFill="1" applyBorder="1" applyAlignment="1" applyProtection="1">
      <alignment horizontal="right" vertical="top" wrapText="1"/>
      <protection locked="0"/>
    </xf>
    <xf numFmtId="0" fontId="3" fillId="0" borderId="0" xfId="6" applyFont="1" applyFill="1" applyBorder="1" applyAlignment="1" applyProtection="1">
      <alignment wrapText="1"/>
      <protection locked="0"/>
    </xf>
    <xf numFmtId="0" fontId="3" fillId="0" borderId="1" xfId="6" applyFont="1" applyFill="1" applyBorder="1" applyAlignment="1" applyProtection="1">
      <alignment wrapText="1"/>
      <protection locked="0"/>
    </xf>
    <xf numFmtId="3" fontId="3" fillId="0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 wrapText="1"/>
      <protection locked="0"/>
    </xf>
    <xf numFmtId="3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2" applyNumberFormat="1" applyFont="1" applyBorder="1" applyAlignment="1" applyProtection="1">
      <alignment wrapText="1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left" vertical="center" wrapText="1"/>
    </xf>
    <xf numFmtId="3" fontId="13" fillId="0" borderId="1" xfId="6" applyNumberFormat="1" applyFont="1" applyFill="1" applyBorder="1" applyAlignment="1">
      <alignment vertical="center" wrapText="1"/>
    </xf>
    <xf numFmtId="0" fontId="15" fillId="0" borderId="1" xfId="6" applyFont="1" applyFill="1" applyBorder="1" applyAlignment="1">
      <alignment horizontal="right" vertical="center"/>
    </xf>
    <xf numFmtId="3" fontId="13" fillId="0" borderId="1" xfId="6" applyNumberFormat="1" applyFont="1" applyFill="1" applyBorder="1" applyAlignment="1">
      <alignment horizontal="right" vertical="center" wrapText="1"/>
    </xf>
    <xf numFmtId="3" fontId="13" fillId="0" borderId="1" xfId="6" applyNumberFormat="1" applyFont="1" applyFill="1" applyBorder="1" applyAlignment="1">
      <alignment vertical="center"/>
    </xf>
    <xf numFmtId="3" fontId="13" fillId="0" borderId="1" xfId="6" applyNumberFormat="1" applyFont="1" applyFill="1" applyBorder="1" applyAlignment="1">
      <alignment horizontal="right" vertical="center"/>
    </xf>
    <xf numFmtId="0" fontId="15" fillId="0" borderId="1" xfId="6" applyFont="1" applyFill="1" applyBorder="1" applyAlignment="1">
      <alignment horizontal="right" vertical="center" wrapText="1"/>
    </xf>
    <xf numFmtId="0" fontId="13" fillId="0" borderId="1" xfId="6" applyFont="1" applyFill="1" applyBorder="1" applyAlignment="1">
      <alignment horizontal="right" vertical="center" wrapText="1"/>
    </xf>
    <xf numFmtId="0" fontId="13" fillId="0" borderId="1" xfId="6" applyFont="1" applyFill="1" applyBorder="1" applyAlignment="1">
      <alignment horizontal="left" vertical="center"/>
    </xf>
    <xf numFmtId="0" fontId="13" fillId="0" borderId="1" xfId="6" applyFont="1" applyFill="1" applyBorder="1" applyAlignment="1">
      <alignment horizontal="right" vertical="center"/>
    </xf>
    <xf numFmtId="3" fontId="13" fillId="0" borderId="1" xfId="6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167" fontId="3" fillId="0" borderId="1" xfId="7" applyNumberFormat="1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left" vertical="center" wrapText="1"/>
    </xf>
    <xf numFmtId="1" fontId="3" fillId="0" borderId="1" xfId="11" applyNumberFormat="1" applyFont="1" applyFill="1" applyBorder="1" applyAlignment="1">
      <alignment horizontal="right" vertical="center"/>
    </xf>
    <xf numFmtId="3" fontId="6" fillId="0" borderId="1" xfId="7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3" fontId="3" fillId="0" borderId="0" xfId="6" applyNumberFormat="1" applyFont="1" applyFill="1" applyAlignment="1"/>
    <xf numFmtId="3" fontId="26" fillId="0" borderId="0" xfId="6" applyNumberFormat="1" applyFont="1" applyFill="1" applyAlignment="1"/>
    <xf numFmtId="3" fontId="3" fillId="0" borderId="0" xfId="6" applyNumberFormat="1" applyFont="1" applyFill="1" applyBorder="1" applyAlignment="1"/>
    <xf numFmtId="3" fontId="6" fillId="0" borderId="0" xfId="6" applyNumberFormat="1" applyFont="1" applyFill="1" applyBorder="1" applyAlignment="1"/>
    <xf numFmtId="3" fontId="13" fillId="0" borderId="1" xfId="6" applyNumberFormat="1" applyFont="1" applyFill="1" applyBorder="1" applyAlignment="1">
      <alignment horizontal="right" wrapText="1"/>
    </xf>
    <xf numFmtId="3" fontId="7" fillId="0" borderId="0" xfId="6" applyNumberFormat="1"/>
    <xf numFmtId="3" fontId="15" fillId="0" borderId="1" xfId="6" applyNumberFormat="1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/>
    </xf>
    <xf numFmtId="165" fontId="15" fillId="0" borderId="1" xfId="14" applyNumberFormat="1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vertical="center" wrapText="1"/>
    </xf>
    <xf numFmtId="0" fontId="13" fillId="0" borderId="1" xfId="6" applyFont="1" applyFill="1" applyBorder="1" applyAlignment="1">
      <alignment vertical="center"/>
    </xf>
    <xf numFmtId="16" fontId="13" fillId="0" borderId="1" xfId="6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/>
    </xf>
    <xf numFmtId="49" fontId="6" fillId="0" borderId="1" xfId="10" applyNumberFormat="1" applyFont="1" applyFill="1" applyBorder="1" applyAlignment="1">
      <alignment horizontal="center" vertical="center" wrapText="1"/>
    </xf>
    <xf numFmtId="1" fontId="22" fillId="0" borderId="1" xfId="11" applyNumberFormat="1" applyFont="1" applyFill="1" applyBorder="1" applyAlignment="1">
      <alignment vertical="center"/>
    </xf>
    <xf numFmtId="49" fontId="3" fillId="0" borderId="1" xfId="10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167" fontId="6" fillId="0" borderId="1" xfId="7" applyNumberFormat="1" applyFont="1" applyFill="1" applyBorder="1" applyAlignment="1">
      <alignment horizontal="center"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166" fontId="3" fillId="0" borderId="1" xfId="7" applyNumberFormat="1" applyFont="1" applyFill="1" applyBorder="1" applyAlignment="1">
      <alignment horizontal="center" vertical="center" wrapText="1"/>
    </xf>
    <xf numFmtId="1" fontId="3" fillId="0" borderId="1" xfId="10" applyNumberFormat="1" applyFont="1" applyFill="1" applyBorder="1" applyAlignment="1">
      <alignment horizontal="center" vertical="center" wrapText="1"/>
    </xf>
    <xf numFmtId="167" fontId="3" fillId="0" borderId="1" xfId="11" applyNumberFormat="1" applyFont="1" applyFill="1" applyBorder="1" applyAlignment="1">
      <alignment vertical="center"/>
    </xf>
    <xf numFmtId="0" fontId="26" fillId="0" borderId="0" xfId="4" applyFont="1"/>
    <xf numFmtId="0" fontId="26" fillId="0" borderId="0" xfId="5" applyFont="1"/>
    <xf numFmtId="3" fontId="6" fillId="0" borderId="7" xfId="5" applyNumberFormat="1" applyFont="1" applyFill="1" applyBorder="1" applyAlignment="1">
      <alignment horizontal="center" wrapText="1"/>
    </xf>
    <xf numFmtId="3" fontId="6" fillId="0" borderId="1" xfId="6" applyNumberFormat="1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wrapText="1"/>
    </xf>
    <xf numFmtId="3" fontId="14" fillId="0" borderId="1" xfId="6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/>
    <xf numFmtId="0" fontId="14" fillId="0" borderId="0" xfId="5" applyFont="1" applyBorder="1" applyAlignment="1"/>
    <xf numFmtId="0" fontId="6" fillId="0" borderId="0" xfId="5" applyFont="1" applyBorder="1" applyAlignment="1"/>
    <xf numFmtId="0" fontId="26" fillId="0" borderId="0" xfId="6" applyFont="1" applyAlignment="1" applyProtection="1">
      <protection locked="0"/>
    </xf>
    <xf numFmtId="49" fontId="14" fillId="0" borderId="0" xfId="6" applyNumberFormat="1" applyFont="1" applyFill="1" applyBorder="1" applyAlignment="1" applyProtection="1">
      <protection locked="0"/>
    </xf>
    <xf numFmtId="3" fontId="6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6" applyNumberFormat="1" applyFont="1" applyFill="1" applyBorder="1" applyAlignment="1" applyProtection="1">
      <alignment horizontal="left"/>
      <protection locked="0"/>
    </xf>
    <xf numFmtId="0" fontId="3" fillId="0" borderId="1" xfId="6" quotePrefix="1" applyFont="1" applyBorder="1" applyAlignment="1" applyProtection="1">
      <alignment horizontal="left" vertical="center" wrapText="1"/>
      <protection locked="0"/>
    </xf>
    <xf numFmtId="0" fontId="3" fillId="0" borderId="0" xfId="5" applyFont="1" applyBorder="1" applyAlignment="1">
      <alignment horizontal="center" vertical="center" wrapText="1"/>
    </xf>
    <xf numFmtId="0" fontId="3" fillId="0" borderId="0" xfId="6" applyFont="1" applyFill="1" applyBorder="1" applyAlignment="1">
      <alignment horizontal="right" vertical="center" wrapText="1"/>
    </xf>
    <xf numFmtId="0" fontId="3" fillId="0" borderId="0" xfId="6" applyFont="1" applyFill="1" applyBorder="1" applyAlignment="1">
      <alignment horizontal="center" vertical="center"/>
    </xf>
    <xf numFmtId="3" fontId="3" fillId="0" borderId="0" xfId="5" applyNumberFormat="1" applyFont="1" applyFill="1" applyBorder="1" applyAlignment="1">
      <alignment wrapText="1"/>
    </xf>
    <xf numFmtId="0" fontId="28" fillId="0" borderId="0" xfId="4" applyFont="1" applyFill="1"/>
    <xf numFmtId="0" fontId="3" fillId="0" borderId="0" xfId="5" applyFont="1" applyBorder="1" applyAlignment="1">
      <alignment vertical="center"/>
    </xf>
    <xf numFmtId="0" fontId="3" fillId="0" borderId="0" xfId="5" applyFont="1" applyBorder="1" applyAlignment="1">
      <alignment horizontal="left" vertical="center" wrapText="1"/>
    </xf>
    <xf numFmtId="0" fontId="3" fillId="0" borderId="0" xfId="5" applyFont="1" applyFill="1" applyBorder="1" applyAlignment="1">
      <alignment vertical="center" wrapText="1"/>
    </xf>
    <xf numFmtId="0" fontId="3" fillId="0" borderId="0" xfId="6" applyFont="1" applyBorder="1" applyAlignment="1">
      <alignment horizontal="right" vertical="center" wrapText="1"/>
    </xf>
    <xf numFmtId="3" fontId="3" fillId="2" borderId="0" xfId="6" applyNumberFormat="1" applyFont="1" applyFill="1" applyBorder="1" applyAlignment="1">
      <alignment horizontal="right" vertical="center"/>
    </xf>
    <xf numFmtId="0" fontId="3" fillId="0" borderId="0" xfId="5" applyFont="1" applyBorder="1" applyAlignment="1">
      <alignment wrapText="1"/>
    </xf>
    <xf numFmtId="0" fontId="3" fillId="0" borderId="0" xfId="5" applyFont="1" applyFill="1" applyBorder="1" applyAlignment="1">
      <alignment wrapText="1"/>
    </xf>
    <xf numFmtId="3" fontId="6" fillId="0" borderId="1" xfId="2" applyNumberFormat="1" applyFont="1" applyFill="1" applyBorder="1" applyAlignment="1">
      <alignment vertical="top"/>
    </xf>
    <xf numFmtId="3" fontId="6" fillId="0" borderId="1" xfId="2" applyNumberFormat="1" applyFont="1" applyFill="1" applyBorder="1"/>
    <xf numFmtId="3" fontId="3" fillId="0" borderId="1" xfId="2" applyNumberFormat="1" applyFont="1" applyFill="1" applyBorder="1"/>
    <xf numFmtId="3" fontId="6" fillId="0" borderId="1" xfId="2" applyNumberFormat="1" applyFont="1" applyFill="1" applyBorder="1" applyAlignment="1">
      <alignment horizontal="right" vertical="center" wrapText="1"/>
    </xf>
    <xf numFmtId="3" fontId="6" fillId="0" borderId="1" xfId="2" applyNumberFormat="1" applyFont="1" applyFill="1" applyBorder="1" applyAlignment="1">
      <alignment vertical="center" wrapText="1"/>
    </xf>
    <xf numFmtId="3" fontId="6" fillId="0" borderId="1" xfId="2" applyNumberFormat="1" applyFont="1" applyFill="1" applyBorder="1" applyAlignment="1"/>
    <xf numFmtId="3" fontId="3" fillId="0" borderId="1" xfId="2" applyNumberFormat="1" applyFont="1" applyFill="1" applyBorder="1" applyAlignment="1"/>
    <xf numFmtId="3" fontId="3" fillId="0" borderId="1" xfId="2" applyNumberFormat="1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right" wrapText="1"/>
    </xf>
    <xf numFmtId="3" fontId="14" fillId="0" borderId="1" xfId="2" applyNumberFormat="1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vertical="top"/>
    </xf>
    <xf numFmtId="3" fontId="14" fillId="0" borderId="1" xfId="2" applyNumberFormat="1" applyFont="1" applyFill="1" applyBorder="1" applyAlignment="1">
      <alignment horizontal="left" vertical="top" wrapText="1"/>
    </xf>
    <xf numFmtId="3" fontId="3" fillId="0" borderId="1" xfId="2" applyNumberFormat="1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vertical="center"/>
    </xf>
    <xf numFmtId="3" fontId="14" fillId="0" borderId="1" xfId="2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vertical="top"/>
    </xf>
    <xf numFmtId="3" fontId="3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vertical="center"/>
    </xf>
    <xf numFmtId="3" fontId="6" fillId="0" borderId="1" xfId="2" applyNumberFormat="1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Alignment="1" applyProtection="1">
      <protection locked="0"/>
    </xf>
    <xf numFmtId="0" fontId="28" fillId="0" borderId="0" xfId="2" applyFont="1"/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6" fillId="2" borderId="1" xfId="2" applyNumberFormat="1" applyFont="1" applyFill="1" applyBorder="1" applyAlignment="1" applyProtection="1">
      <alignment wrapText="1"/>
      <protection locked="0"/>
    </xf>
    <xf numFmtId="3" fontId="6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2" applyNumberFormat="1" applyFont="1" applyFill="1" applyBorder="1" applyAlignment="1" applyProtection="1">
      <alignment vertical="center" wrapText="1"/>
      <protection locked="0"/>
    </xf>
    <xf numFmtId="0" fontId="22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 applyProtection="1">
      <alignment wrapText="1"/>
      <protection locked="0"/>
    </xf>
    <xf numFmtId="3" fontId="3" fillId="0" borderId="1" xfId="1" applyNumberFormat="1" applyFont="1" applyFill="1" applyBorder="1" applyAlignment="1" applyProtection="1">
      <alignment wrapText="1"/>
      <protection locked="0"/>
    </xf>
    <xf numFmtId="3" fontId="3" fillId="0" borderId="1" xfId="1" applyNumberFormat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locked="0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2" applyFont="1" applyFill="1" applyBorder="1" applyAlignment="1">
      <alignment horizontal="left" vertical="center" wrapText="1"/>
    </xf>
    <xf numFmtId="0" fontId="21" fillId="0" borderId="1" xfId="1" applyFont="1" applyFill="1" applyBorder="1" applyAlignment="1" applyProtection="1">
      <alignment wrapText="1"/>
      <protection locked="0"/>
    </xf>
    <xf numFmtId="0" fontId="3" fillId="0" borderId="1" xfId="2" applyFont="1" applyFill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3" fillId="0" borderId="1" xfId="0" applyFont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3" fontId="6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6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/>
    <xf numFmtId="3" fontId="6" fillId="0" borderId="1" xfId="0" applyNumberFormat="1" applyFont="1" applyFill="1" applyBorder="1"/>
    <xf numFmtId="3" fontId="3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 applyProtection="1">
      <alignment horizontal="right" vertical="top" wrapText="1"/>
      <protection locked="0"/>
    </xf>
    <xf numFmtId="3" fontId="11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17" applyFont="1" applyBorder="1" applyAlignment="1"/>
    <xf numFmtId="3" fontId="11" fillId="0" borderId="1" xfId="17" applyNumberFormat="1" applyFont="1" applyFill="1" applyBorder="1" applyAlignment="1">
      <alignment wrapText="1"/>
    </xf>
    <xf numFmtId="0" fontId="3" fillId="0" borderId="1" xfId="17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wrapText="1"/>
    </xf>
    <xf numFmtId="3" fontId="3" fillId="0" borderId="1" xfId="17" applyNumberFormat="1" applyFont="1" applyFill="1" applyBorder="1" applyAlignment="1">
      <alignment wrapText="1"/>
    </xf>
    <xf numFmtId="0" fontId="3" fillId="0" borderId="1" xfId="17" applyFont="1" applyFill="1" applyBorder="1" applyAlignment="1">
      <alignment horizontal="center" vertical="center"/>
    </xf>
    <xf numFmtId="0" fontId="3" fillId="0" borderId="1" xfId="17" applyFont="1" applyFill="1" applyBorder="1"/>
    <xf numFmtId="3" fontId="3" fillId="0" borderId="1" xfId="17" applyNumberFormat="1" applyFont="1" applyFill="1" applyBorder="1" applyAlignment="1">
      <alignment horizontal="right"/>
    </xf>
    <xf numFmtId="0" fontId="3" fillId="0" borderId="0" xfId="17" applyFont="1" applyFill="1"/>
    <xf numFmtId="0" fontId="3" fillId="0" borderId="2" xfId="1" applyFont="1" applyBorder="1" applyAlignment="1">
      <alignment horizontal="left" vertical="center" wrapText="1"/>
    </xf>
    <xf numFmtId="0" fontId="2" fillId="0" borderId="0" xfId="18" applyFont="1"/>
    <xf numFmtId="0" fontId="32" fillId="0" borderId="0" xfId="18" applyFont="1" applyFill="1"/>
    <xf numFmtId="0" fontId="32" fillId="0" borderId="0" xfId="18" applyFont="1" applyFill="1" applyBorder="1"/>
    <xf numFmtId="0" fontId="5" fillId="0" borderId="0" xfId="18" applyFont="1"/>
    <xf numFmtId="0" fontId="5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3" fillId="0" borderId="0" xfId="18" applyFont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0" fontId="3" fillId="0" borderId="2" xfId="9" applyFont="1" applyFill="1" applyBorder="1" applyAlignment="1">
      <alignment vertical="center" wrapText="1"/>
    </xf>
    <xf numFmtId="3" fontId="3" fillId="0" borderId="1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right"/>
    </xf>
    <xf numFmtId="0" fontId="6" fillId="0" borderId="1" xfId="16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wrapText="1"/>
    </xf>
    <xf numFmtId="3" fontId="6" fillId="0" borderId="1" xfId="16" applyNumberFormat="1" applyFont="1" applyFill="1" applyBorder="1" applyAlignment="1">
      <alignment horizontal="center"/>
    </xf>
    <xf numFmtId="49" fontId="6" fillId="0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wrapText="1"/>
    </xf>
    <xf numFmtId="49" fontId="3" fillId="0" borderId="1" xfId="16" applyNumberFormat="1" applyFont="1" applyFill="1" applyBorder="1" applyAlignment="1">
      <alignment horizontal="center" vertical="center"/>
    </xf>
    <xf numFmtId="0" fontId="3" fillId="0" borderId="0" xfId="16" applyFont="1" applyFill="1" applyBorder="1" applyAlignment="1">
      <alignment wrapText="1"/>
    </xf>
    <xf numFmtId="3" fontId="3" fillId="0" borderId="0" xfId="16" applyNumberFormat="1" applyFont="1" applyFill="1" applyBorder="1" applyAlignment="1">
      <alignment wrapText="1"/>
    </xf>
    <xf numFmtId="3" fontId="3" fillId="0" borderId="1" xfId="16" applyNumberFormat="1" applyFont="1" applyFill="1" applyBorder="1" applyAlignment="1">
      <alignment horizontal="center"/>
    </xf>
    <xf numFmtId="0" fontId="3" fillId="0" borderId="0" xfId="16" applyFont="1" applyFill="1" applyBorder="1" applyAlignment="1">
      <alignment horizontal="center" vertical="center" wrapText="1"/>
    </xf>
    <xf numFmtId="49" fontId="6" fillId="0" borderId="0" xfId="16" applyNumberFormat="1" applyFont="1" applyFill="1" applyBorder="1" applyAlignment="1">
      <alignment horizontal="right" vertical="center" wrapText="1"/>
    </xf>
    <xf numFmtId="0" fontId="6" fillId="0" borderId="1" xfId="16" applyFont="1" applyFill="1" applyBorder="1"/>
    <xf numFmtId="49" fontId="6" fillId="0" borderId="1" xfId="16" applyNumberFormat="1" applyFont="1" applyFill="1" applyBorder="1"/>
    <xf numFmtId="3" fontId="6" fillId="0" borderId="1" xfId="16" applyNumberFormat="1" applyFont="1" applyFill="1" applyBorder="1"/>
    <xf numFmtId="49" fontId="3" fillId="0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wrapText="1"/>
    </xf>
    <xf numFmtId="0" fontId="3" fillId="0" borderId="1" xfId="16" applyFont="1" applyFill="1" applyBorder="1" applyAlignment="1">
      <alignment horizontal="center" vertical="center" wrapText="1" shrinkToFit="1"/>
    </xf>
    <xf numFmtId="0" fontId="3" fillId="0" borderId="1" xfId="16" applyFont="1" applyFill="1" applyBorder="1" applyAlignment="1">
      <alignment horizontal="left" vertical="center" wrapText="1"/>
    </xf>
    <xf numFmtId="3" fontId="6" fillId="0" borderId="1" xfId="16" applyNumberFormat="1" applyFont="1" applyFill="1" applyBorder="1" applyAlignment="1">
      <alignment horizontal="center" vertical="center" wrapText="1"/>
    </xf>
    <xf numFmtId="3" fontId="3" fillId="0" borderId="1" xfId="16" applyNumberFormat="1" applyFont="1" applyFill="1" applyBorder="1" applyAlignment="1">
      <alignment horizontal="center" vertical="center" wrapText="1"/>
    </xf>
    <xf numFmtId="3" fontId="3" fillId="0" borderId="0" xfId="16" applyNumberFormat="1" applyFont="1" applyFill="1" applyBorder="1" applyAlignment="1">
      <alignment horizontal="center" vertical="center" wrapText="1"/>
    </xf>
    <xf numFmtId="0" fontId="6" fillId="0" borderId="5" xfId="16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16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horizontal="right" vertical="center" wrapText="1"/>
    </xf>
    <xf numFmtId="3" fontId="13" fillId="0" borderId="1" xfId="6" applyNumberFormat="1" applyFont="1" applyFill="1" applyBorder="1" applyAlignment="1">
      <alignment vertical="center" wrapText="1"/>
    </xf>
    <xf numFmtId="3" fontId="13" fillId="0" borderId="1" xfId="6" applyNumberFormat="1" applyFont="1" applyFill="1" applyBorder="1" applyAlignment="1">
      <alignment vertical="center"/>
    </xf>
    <xf numFmtId="0" fontId="13" fillId="0" borderId="0" xfId="16" applyFont="1" applyFill="1" applyAlignment="1">
      <alignment horizontal="center" wrapText="1"/>
    </xf>
    <xf numFmtId="0" fontId="6" fillId="0" borderId="1" xfId="16" applyFont="1" applyFill="1" applyBorder="1" applyAlignment="1">
      <alignment horizontal="center" vertical="center"/>
    </xf>
    <xf numFmtId="49" fontId="3" fillId="0" borderId="1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3" fontId="3" fillId="2" borderId="1" xfId="16" applyNumberFormat="1" applyFont="1" applyFill="1" applyBorder="1" applyAlignment="1">
      <alignment horizontal="center" vertical="center" wrapText="1"/>
    </xf>
    <xf numFmtId="3" fontId="6" fillId="2" borderId="1" xfId="16" applyNumberFormat="1" applyFont="1" applyFill="1" applyBorder="1" applyAlignment="1">
      <alignment horizontal="center" vertical="center" wrapText="1"/>
    </xf>
    <xf numFmtId="3" fontId="3" fillId="2" borderId="0" xfId="16" applyNumberFormat="1" applyFont="1" applyFill="1" applyBorder="1" applyAlignment="1">
      <alignment horizontal="center" vertical="center" wrapText="1"/>
    </xf>
    <xf numFmtId="0" fontId="3" fillId="2" borderId="0" xfId="16" applyFont="1" applyFill="1" applyBorder="1" applyAlignment="1">
      <alignment wrapText="1"/>
    </xf>
    <xf numFmtId="3" fontId="6" fillId="0" borderId="1" xfId="16" applyNumberFormat="1" applyFont="1" applyFill="1" applyBorder="1" applyAlignment="1">
      <alignment vertical="center" wrapText="1"/>
    </xf>
    <xf numFmtId="3" fontId="6" fillId="2" borderId="1" xfId="16" applyNumberFormat="1" applyFont="1" applyFill="1" applyBorder="1" applyAlignment="1">
      <alignment vertical="center" wrapText="1"/>
    </xf>
    <xf numFmtId="3" fontId="6" fillId="0" borderId="1" xfId="16" applyNumberFormat="1" applyFont="1" applyFill="1" applyBorder="1" applyAlignment="1"/>
    <xf numFmtId="3" fontId="6" fillId="2" borderId="1" xfId="16" applyNumberFormat="1" applyFont="1" applyFill="1" applyBorder="1" applyAlignment="1"/>
    <xf numFmtId="3" fontId="3" fillId="0" borderId="1" xfId="16" applyNumberFormat="1" applyFont="1" applyFill="1" applyBorder="1" applyAlignment="1"/>
    <xf numFmtId="3" fontId="3" fillId="2" borderId="1" xfId="16" applyNumberFormat="1" applyFont="1" applyFill="1" applyBorder="1" applyAlignment="1"/>
    <xf numFmtId="3" fontId="3" fillId="0" borderId="1" xfId="16" applyNumberFormat="1" applyFont="1" applyFill="1" applyBorder="1" applyAlignment="1">
      <alignment vertical="center"/>
    </xf>
    <xf numFmtId="3" fontId="3" fillId="2" borderId="1" xfId="16" applyNumberFormat="1" applyFont="1" applyFill="1" applyBorder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3" fontId="6" fillId="2" borderId="1" xfId="6" applyNumberFormat="1" applyFont="1" applyFill="1" applyBorder="1" applyAlignment="1">
      <alignment vertical="center"/>
    </xf>
    <xf numFmtId="49" fontId="6" fillId="0" borderId="1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vertical="center" wrapText="1"/>
    </xf>
    <xf numFmtId="0" fontId="3" fillId="0" borderId="14" xfId="16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0" fontId="6" fillId="0" borderId="17" xfId="5" applyFont="1" applyBorder="1" applyAlignment="1">
      <alignment horizontal="right" wrapText="1"/>
    </xf>
    <xf numFmtId="3" fontId="6" fillId="0" borderId="17" xfId="5" applyNumberFormat="1" applyFont="1" applyBorder="1" applyAlignment="1">
      <alignment wrapText="1"/>
    </xf>
    <xf numFmtId="3" fontId="6" fillId="0" borderId="17" xfId="5" applyNumberFormat="1" applyFont="1" applyFill="1" applyBorder="1" applyAlignment="1">
      <alignment wrapText="1"/>
    </xf>
    <xf numFmtId="0" fontId="3" fillId="0" borderId="17" xfId="5" applyFont="1" applyBorder="1" applyAlignment="1">
      <alignment horizontal="center" vertical="center" wrapText="1"/>
    </xf>
    <xf numFmtId="0" fontId="3" fillId="0" borderId="17" xfId="6" applyFont="1" applyBorder="1" applyAlignment="1">
      <alignment horizontal="left" vertical="center" wrapText="1"/>
    </xf>
    <xf numFmtId="3" fontId="3" fillId="0" borderId="17" xfId="6" applyNumberFormat="1" applyFont="1" applyBorder="1" applyAlignment="1">
      <alignment horizontal="right" vertical="center" wrapText="1"/>
    </xf>
    <xf numFmtId="3" fontId="6" fillId="0" borderId="17" xfId="6" applyNumberFormat="1" applyFont="1" applyFill="1" applyBorder="1" applyAlignment="1">
      <alignment horizontal="center" vertical="center"/>
    </xf>
    <xf numFmtId="3" fontId="3" fillId="0" borderId="17" xfId="5" applyNumberFormat="1" applyFont="1" applyFill="1" applyBorder="1" applyAlignment="1">
      <alignment vertical="center" wrapText="1"/>
    </xf>
    <xf numFmtId="0" fontId="3" fillId="0" borderId="17" xfId="6" applyFont="1" applyFill="1" applyBorder="1" applyAlignment="1">
      <alignment vertical="center" wrapText="1"/>
    </xf>
    <xf numFmtId="3" fontId="3" fillId="0" borderId="17" xfId="6" applyNumberFormat="1" applyFont="1" applyFill="1" applyBorder="1" applyAlignment="1">
      <alignment horizontal="right" vertical="center" wrapText="1"/>
    </xf>
    <xf numFmtId="3" fontId="6" fillId="0" borderId="18" xfId="5" applyNumberFormat="1" applyFont="1" applyBorder="1" applyAlignment="1">
      <alignment wrapText="1"/>
    </xf>
    <xf numFmtId="3" fontId="6" fillId="0" borderId="18" xfId="5" applyNumberFormat="1" applyFont="1" applyFill="1" applyBorder="1" applyAlignment="1">
      <alignment wrapText="1"/>
    </xf>
    <xf numFmtId="3" fontId="6" fillId="2" borderId="18" xfId="5" applyNumberFormat="1" applyFont="1" applyFill="1" applyBorder="1" applyAlignment="1">
      <alignment wrapText="1"/>
    </xf>
    <xf numFmtId="0" fontId="3" fillId="0" borderId="18" xfId="5" applyFont="1" applyBorder="1" applyAlignment="1">
      <alignment horizontal="center" vertical="center" wrapText="1"/>
    </xf>
    <xf numFmtId="0" fontId="3" fillId="0" borderId="18" xfId="6" applyFont="1" applyBorder="1" applyAlignment="1">
      <alignment vertical="center" wrapText="1"/>
    </xf>
    <xf numFmtId="3" fontId="3" fillId="0" borderId="18" xfId="6" applyNumberFormat="1" applyFont="1" applyBorder="1" applyAlignment="1">
      <alignment vertical="center" wrapText="1"/>
    </xf>
    <xf numFmtId="3" fontId="3" fillId="0" borderId="18" xfId="6" applyNumberFormat="1" applyFont="1" applyFill="1" applyBorder="1" applyAlignment="1">
      <alignment vertical="center" wrapText="1"/>
    </xf>
    <xf numFmtId="3" fontId="6" fillId="0" borderId="18" xfId="6" applyNumberFormat="1" applyFont="1" applyFill="1" applyBorder="1" applyAlignment="1">
      <alignment horizontal="center" vertical="center"/>
    </xf>
    <xf numFmtId="3" fontId="3" fillId="2" borderId="18" xfId="6" applyNumberFormat="1" applyFont="1" applyFill="1" applyBorder="1" applyAlignment="1">
      <alignment horizontal="right" vertical="center"/>
    </xf>
    <xf numFmtId="3" fontId="6" fillId="0" borderId="18" xfId="6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right"/>
    </xf>
    <xf numFmtId="0" fontId="3" fillId="0" borderId="18" xfId="6" applyFont="1" applyFill="1" applyBorder="1" applyAlignment="1">
      <alignment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18" xfId="6" applyNumberFormat="1" applyFont="1" applyBorder="1" applyAlignment="1">
      <alignment horizontal="right" vertical="center" wrapText="1"/>
    </xf>
    <xf numFmtId="3" fontId="3" fillId="0" borderId="18" xfId="6" applyNumberFormat="1" applyFont="1" applyFill="1" applyBorder="1" applyAlignment="1">
      <alignment horizontal="right" vertical="center" wrapText="1"/>
    </xf>
    <xf numFmtId="3" fontId="6" fillId="0" borderId="19" xfId="5" applyNumberFormat="1" applyFont="1" applyBorder="1" applyAlignment="1">
      <alignment wrapText="1"/>
    </xf>
    <xf numFmtId="3" fontId="6" fillId="0" borderId="19" xfId="5" applyNumberFormat="1" applyFont="1" applyFill="1" applyBorder="1" applyAlignment="1">
      <alignment wrapText="1"/>
    </xf>
    <xf numFmtId="3" fontId="6" fillId="2" borderId="19" xfId="5" applyNumberFormat="1" applyFont="1" applyFill="1" applyBorder="1" applyAlignment="1">
      <alignment wrapText="1"/>
    </xf>
    <xf numFmtId="0" fontId="3" fillId="0" borderId="19" xfId="5" applyFont="1" applyBorder="1" applyAlignment="1">
      <alignment horizontal="center" vertical="center" wrapText="1"/>
    </xf>
    <xf numFmtId="0" fontId="3" fillId="0" borderId="19" xfId="6" applyFont="1" applyFill="1" applyBorder="1" applyAlignment="1">
      <alignment vertical="center" wrapText="1"/>
    </xf>
    <xf numFmtId="3" fontId="3" fillId="0" borderId="19" xfId="6" applyNumberFormat="1" applyFont="1" applyFill="1" applyBorder="1" applyAlignment="1">
      <alignment vertical="center" wrapText="1"/>
    </xf>
    <xf numFmtId="3" fontId="6" fillId="0" borderId="19" xfId="6" applyNumberFormat="1" applyFont="1" applyFill="1" applyBorder="1" applyAlignment="1">
      <alignment horizontal="center" vertical="center" wrapText="1"/>
    </xf>
    <xf numFmtId="3" fontId="3" fillId="2" borderId="19" xfId="6" applyNumberFormat="1" applyFont="1" applyFill="1" applyBorder="1" applyAlignment="1">
      <alignment horizontal="right" vertical="center"/>
    </xf>
    <xf numFmtId="0" fontId="3" fillId="0" borderId="19" xfId="6" applyFont="1" applyBorder="1" applyAlignment="1">
      <alignment vertical="center" wrapText="1"/>
    </xf>
    <xf numFmtId="3" fontId="3" fillId="0" borderId="19" xfId="6" applyNumberFormat="1" applyFont="1" applyBorder="1" applyAlignment="1">
      <alignment vertical="center" wrapText="1"/>
    </xf>
    <xf numFmtId="3" fontId="6" fillId="0" borderId="19" xfId="6" applyNumberFormat="1" applyFont="1" applyFill="1" applyBorder="1" applyAlignment="1">
      <alignment horizontal="center" vertical="center"/>
    </xf>
    <xf numFmtId="0" fontId="3" fillId="0" borderId="19" xfId="5" applyFont="1" applyBorder="1" applyAlignment="1">
      <alignment wrapText="1"/>
    </xf>
    <xf numFmtId="3" fontId="21" fillId="0" borderId="19" xfId="5" applyNumberFormat="1" applyFont="1" applyBorder="1" applyAlignment="1">
      <alignment vertical="center" wrapText="1"/>
    </xf>
    <xf numFmtId="3" fontId="3" fillId="0" borderId="19" xfId="5" applyNumberFormat="1" applyFont="1" applyBorder="1" applyAlignment="1">
      <alignment vertical="center" wrapText="1"/>
    </xf>
    <xf numFmtId="3" fontId="6" fillId="0" borderId="19" xfId="5" applyNumberFormat="1" applyFont="1" applyFill="1" applyBorder="1" applyAlignment="1">
      <alignment horizontal="center" vertical="center" wrapText="1"/>
    </xf>
    <xf numFmtId="3" fontId="3" fillId="2" borderId="19" xfId="5" applyNumberFormat="1" applyFont="1" applyFill="1" applyBorder="1" applyAlignment="1">
      <alignment horizontal="right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3" fontId="3" fillId="0" borderId="19" xfId="6" applyNumberFormat="1" applyFont="1" applyFill="1" applyBorder="1" applyAlignment="1">
      <alignment horizontal="right" vertical="center" wrapText="1"/>
    </xf>
    <xf numFmtId="0" fontId="3" fillId="0" borderId="19" xfId="6" applyFont="1" applyFill="1" applyBorder="1" applyAlignment="1">
      <alignment horizontal="left" vertical="center" wrapText="1"/>
    </xf>
    <xf numFmtId="0" fontId="5" fillId="0" borderId="15" xfId="18" applyFont="1" applyFill="1" applyBorder="1"/>
    <xf numFmtId="0" fontId="5" fillId="0" borderId="15" xfId="18" applyFont="1" applyFill="1" applyBorder="1" applyProtection="1">
      <protection locked="0"/>
    </xf>
    <xf numFmtId="0" fontId="47" fillId="0" borderId="15" xfId="18" applyFont="1" applyFill="1" applyBorder="1" applyProtection="1">
      <protection locked="0"/>
    </xf>
    <xf numFmtId="0" fontId="2" fillId="0" borderId="0" xfId="18" applyFont="1" applyBorder="1"/>
    <xf numFmtId="0" fontId="3" fillId="0" borderId="1" xfId="16" applyFont="1" applyFill="1" applyBorder="1" applyAlignment="1">
      <alignment horizontal="center" vertical="center"/>
    </xf>
    <xf numFmtId="49" fontId="3" fillId="0" borderId="1" xfId="16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16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6" applyFont="1" applyAlignment="1">
      <alignment horizontal="left"/>
    </xf>
    <xf numFmtId="0" fontId="3" fillId="0" borderId="1" xfId="6" applyFont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 wrapText="1"/>
    </xf>
    <xf numFmtId="3" fontId="3" fillId="0" borderId="2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3" fontId="3" fillId="0" borderId="3" xfId="6" applyNumberFormat="1" applyFont="1" applyFill="1" applyBorder="1" applyAlignment="1">
      <alignment horizontal="right" vertical="center" wrapText="1"/>
    </xf>
    <xf numFmtId="3" fontId="3" fillId="0" borderId="4" xfId="6" applyNumberFormat="1" applyFont="1" applyFill="1" applyBorder="1" applyAlignment="1">
      <alignment horizontal="right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0" xfId="6" applyFont="1" applyFill="1" applyAlignment="1">
      <alignment horizontal="left" vertical="center"/>
    </xf>
    <xf numFmtId="0" fontId="4" fillId="0" borderId="0" xfId="6" applyFont="1" applyFill="1" applyAlignment="1">
      <alignment horizontal="center" vertical="center"/>
    </xf>
    <xf numFmtId="3" fontId="3" fillId="0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3" fontId="3" fillId="0" borderId="6" xfId="1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vertical="center" wrapText="1"/>
    </xf>
    <xf numFmtId="0" fontId="26" fillId="0" borderId="0" xfId="6" applyFont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right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/>
    </xf>
    <xf numFmtId="3" fontId="13" fillId="0" borderId="1" xfId="6" applyNumberFormat="1" applyFont="1" applyFill="1" applyBorder="1" applyAlignment="1">
      <alignment horizontal="right" vertical="center" wrapText="1"/>
    </xf>
    <xf numFmtId="3" fontId="13" fillId="0" borderId="1" xfId="6" applyNumberFormat="1" applyFont="1" applyFill="1" applyBorder="1" applyAlignment="1">
      <alignment horizontal="right" vertical="center"/>
    </xf>
    <xf numFmtId="0" fontId="15" fillId="0" borderId="1" xfId="6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right" vertical="center"/>
    </xf>
    <xf numFmtId="3" fontId="13" fillId="0" borderId="1" xfId="6" applyNumberFormat="1" applyFont="1" applyFill="1" applyBorder="1" applyAlignment="1">
      <alignment vertical="center" wrapText="1"/>
    </xf>
    <xf numFmtId="3" fontId="13" fillId="0" borderId="1" xfId="6" applyNumberFormat="1" applyFont="1" applyFill="1" applyBorder="1" applyAlignment="1">
      <alignment vertical="center"/>
    </xf>
    <xf numFmtId="3" fontId="13" fillId="0" borderId="1" xfId="13" applyNumberFormat="1" applyFont="1" applyFill="1" applyBorder="1" applyAlignment="1">
      <alignment horizontal="right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vertical="center" wrapText="1"/>
    </xf>
    <xf numFmtId="167" fontId="3" fillId="0" borderId="1" xfId="7" applyNumberFormat="1" applyFont="1" applyFill="1" applyBorder="1" applyAlignment="1">
      <alignment horizontal="left"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righ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3" fillId="0" borderId="3" xfId="5" applyFont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6" fillId="0" borderId="18" xfId="5" applyFont="1" applyBorder="1" applyAlignment="1">
      <alignment horizontal="right" wrapText="1"/>
    </xf>
    <xf numFmtId="0" fontId="3" fillId="0" borderId="18" xfId="5" applyFont="1" applyFill="1" applyBorder="1" applyAlignment="1">
      <alignment horizontal="center" vertical="center" wrapText="1"/>
    </xf>
    <xf numFmtId="0" fontId="3" fillId="0" borderId="18" xfId="5" applyFont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5" xfId="16" applyNumberFormat="1" applyFont="1" applyFill="1" applyBorder="1" applyAlignment="1">
      <alignment wrapText="1"/>
    </xf>
    <xf numFmtId="49" fontId="3" fillId="0" borderId="14" xfId="16" applyNumberFormat="1" applyFont="1" applyFill="1" applyBorder="1" applyAlignment="1">
      <alignment wrapText="1"/>
    </xf>
    <xf numFmtId="49" fontId="3" fillId="0" borderId="1" xfId="16" applyNumberFormat="1" applyFont="1" applyFill="1" applyBorder="1" applyAlignment="1">
      <alignment vertical="center" wrapText="1"/>
    </xf>
    <xf numFmtId="0" fontId="3" fillId="0" borderId="10" xfId="16" applyFont="1" applyFill="1" applyBorder="1" applyAlignment="1">
      <alignment wrapText="1"/>
    </xf>
    <xf numFmtId="0" fontId="3" fillId="0" borderId="13" xfId="16" applyFont="1" applyFill="1" applyBorder="1" applyAlignment="1">
      <alignment wrapText="1"/>
    </xf>
    <xf numFmtId="0" fontId="3" fillId="0" borderId="3" xfId="16" applyFont="1" applyFill="1" applyBorder="1" applyAlignment="1">
      <alignment horizontal="center" vertical="center"/>
    </xf>
    <xf numFmtId="0" fontId="3" fillId="0" borderId="15" xfId="16" applyFont="1" applyFill="1" applyBorder="1" applyAlignment="1">
      <alignment vertical="center" wrapText="1"/>
    </xf>
    <xf numFmtId="0" fontId="3" fillId="0" borderId="15" xfId="16" applyFont="1" applyFill="1" applyBorder="1" applyAlignment="1">
      <alignment horizontal="center" vertical="center"/>
    </xf>
    <xf numFmtId="49" fontId="3" fillId="0" borderId="15" xfId="16" applyNumberFormat="1" applyFont="1" applyFill="1" applyBorder="1" applyAlignment="1">
      <alignment horizontal="center" vertical="center"/>
    </xf>
    <xf numFmtId="3" fontId="3" fillId="0" borderId="15" xfId="16" applyNumberFormat="1" applyFont="1" applyFill="1" applyBorder="1" applyAlignment="1">
      <alignment vertical="center"/>
    </xf>
    <xf numFmtId="3" fontId="3" fillId="0" borderId="15" xfId="16" applyNumberFormat="1" applyFont="1" applyFill="1" applyBorder="1" applyAlignment="1"/>
    <xf numFmtId="3" fontId="3" fillId="0" borderId="15" xfId="16" applyNumberFormat="1" applyFont="1" applyFill="1" applyBorder="1" applyAlignment="1">
      <alignment horizontal="center"/>
    </xf>
    <xf numFmtId="3" fontId="3" fillId="0" borderId="15" xfId="16" applyNumberFormat="1" applyFont="1" applyFill="1" applyBorder="1" applyAlignment="1">
      <alignment horizontal="right"/>
    </xf>
    <xf numFmtId="3" fontId="3" fillId="0" borderId="4" xfId="16" applyNumberFormat="1" applyFont="1" applyFill="1" applyBorder="1" applyAlignment="1">
      <alignment horizontal="right"/>
    </xf>
    <xf numFmtId="172" fontId="3" fillId="0" borderId="1" xfId="16" applyNumberFormat="1" applyFont="1" applyFill="1" applyBorder="1" applyAlignment="1">
      <alignment horizontal="center" vertical="center"/>
    </xf>
    <xf numFmtId="0" fontId="48" fillId="0" borderId="0" xfId="16" applyFont="1"/>
    <xf numFmtId="0" fontId="48" fillId="0" borderId="0" xfId="16" applyFont="1" applyAlignment="1">
      <alignment horizontal="right"/>
    </xf>
    <xf numFmtId="0" fontId="9" fillId="0" borderId="0" xfId="16" applyFont="1" applyFill="1" applyBorder="1" applyAlignment="1">
      <alignment horizontal="right"/>
    </xf>
    <xf numFmtId="0" fontId="6" fillId="0" borderId="14" xfId="16" applyFont="1" applyFill="1" applyBorder="1" applyAlignment="1">
      <alignment horizontal="right" vertical="center"/>
    </xf>
    <xf numFmtId="0" fontId="26" fillId="0" borderId="0" xfId="6" applyFont="1" applyFill="1" applyBorder="1" applyAlignment="1"/>
    <xf numFmtId="0" fontId="26" fillId="0" borderId="0" xfId="6" applyFont="1" applyFill="1" applyAlignment="1">
      <alignment vertical="center"/>
    </xf>
    <xf numFmtId="0" fontId="37" fillId="0" borderId="0" xfId="6" applyFont="1" applyFill="1" applyBorder="1" applyAlignment="1">
      <alignment vertical="center"/>
    </xf>
    <xf numFmtId="0" fontId="26" fillId="0" borderId="0" xfId="1" applyFont="1" applyFill="1" applyAlignment="1"/>
    <xf numFmtId="0" fontId="3" fillId="0" borderId="0" xfId="0" applyFont="1" applyBorder="1" applyAlignment="1" applyProtection="1">
      <protection locked="0"/>
    </xf>
    <xf numFmtId="0" fontId="26" fillId="0" borderId="0" xfId="6" applyFont="1" applyAlignment="1">
      <alignment vertical="center"/>
    </xf>
    <xf numFmtId="0" fontId="14" fillId="0" borderId="0" xfId="6" applyFont="1" applyBorder="1" applyAlignment="1">
      <alignment vertical="center"/>
    </xf>
    <xf numFmtId="0" fontId="3" fillId="0" borderId="1" xfId="6" applyFont="1" applyBorder="1" applyAlignment="1">
      <alignment vertical="center"/>
    </xf>
    <xf numFmtId="0" fontId="5" fillId="0" borderId="1" xfId="6" applyFont="1" applyBorder="1" applyAlignment="1">
      <alignment horizontal="center" vertical="center" wrapText="1"/>
    </xf>
    <xf numFmtId="3" fontId="6" fillId="0" borderId="1" xfId="6" applyNumberFormat="1" applyFont="1" applyBorder="1" applyAlignment="1">
      <alignment horizontal="center" vertical="center" wrapText="1"/>
    </xf>
    <xf numFmtId="3" fontId="6" fillId="0" borderId="1" xfId="6" applyNumberFormat="1" applyFont="1" applyBorder="1" applyAlignment="1">
      <alignment horizontal="right" vertical="center" wrapText="1"/>
    </xf>
    <xf numFmtId="3" fontId="6" fillId="0" borderId="3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/>
    </xf>
    <xf numFmtId="3" fontId="22" fillId="0" borderId="1" xfId="1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6" fillId="0" borderId="1" xfId="11" applyNumberFormat="1" applyFont="1" applyFill="1" applyBorder="1" applyAlignment="1">
      <alignment horizontal="right" vertical="center"/>
    </xf>
    <xf numFmtId="0" fontId="3" fillId="0" borderId="2" xfId="9" applyFont="1" applyBorder="1" applyAlignment="1">
      <alignment horizontal="center"/>
    </xf>
    <xf numFmtId="0" fontId="49" fillId="0" borderId="2" xfId="8" applyFont="1" applyBorder="1" applyAlignment="1">
      <alignment horizontal="center" vertical="center"/>
    </xf>
    <xf numFmtId="0" fontId="49" fillId="0" borderId="1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6" fillId="0" borderId="0" xfId="4" applyFont="1" applyAlignment="1"/>
    <xf numFmtId="0" fontId="11" fillId="0" borderId="0" xfId="4" applyFont="1"/>
    <xf numFmtId="0" fontId="6" fillId="0" borderId="0" xfId="5" applyFont="1" applyFill="1" applyBorder="1" applyAlignment="1"/>
    <xf numFmtId="3" fontId="3" fillId="0" borderId="18" xfId="6" applyNumberFormat="1" applyFont="1" applyFill="1" applyBorder="1" applyAlignment="1">
      <alignment horizontal="right" vertical="center"/>
    </xf>
    <xf numFmtId="0" fontId="3" fillId="0" borderId="0" xfId="4" applyFont="1" applyFill="1"/>
    <xf numFmtId="3" fontId="3" fillId="0" borderId="18" xfId="5" applyNumberFormat="1" applyFont="1" applyFill="1" applyBorder="1" applyAlignment="1">
      <alignment horizontal="right" vertical="center" wrapText="1"/>
    </xf>
    <xf numFmtId="0" fontId="3" fillId="0" borderId="18" xfId="6" applyFont="1" applyFill="1" applyBorder="1" applyAlignment="1">
      <alignment horizontal="left" vertical="center" wrapText="1"/>
    </xf>
    <xf numFmtId="3" fontId="3" fillId="0" borderId="18" xfId="6" applyNumberFormat="1" applyFont="1" applyFill="1" applyBorder="1" applyAlignment="1">
      <alignment vertical="center"/>
    </xf>
    <xf numFmtId="0" fontId="3" fillId="0" borderId="7" xfId="5" applyFont="1" applyFill="1" applyBorder="1" applyAlignment="1">
      <alignment vertical="center" wrapText="1"/>
    </xf>
    <xf numFmtId="3" fontId="3" fillId="0" borderId="7" xfId="6" applyNumberFormat="1" applyFont="1" applyFill="1" applyBorder="1" applyAlignment="1">
      <alignment horizontal="right" vertical="center" wrapText="1"/>
    </xf>
    <xf numFmtId="3" fontId="21" fillId="0" borderId="7" xfId="6" applyNumberFormat="1" applyFont="1" applyFill="1" applyBorder="1" applyAlignment="1">
      <alignment horizontal="right" vertical="center" wrapText="1"/>
    </xf>
    <xf numFmtId="0" fontId="3" fillId="0" borderId="0" xfId="5" applyFont="1" applyFill="1"/>
    <xf numFmtId="3" fontId="6" fillId="0" borderId="1" xfId="5" applyNumberFormat="1" applyFont="1" applyFill="1" applyBorder="1" applyAlignment="1">
      <alignment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 applyProtection="1"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3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>
      <alignment horizontal="right"/>
    </xf>
    <xf numFmtId="3" fontId="6" fillId="0" borderId="1" xfId="17" applyNumberFormat="1" applyFont="1" applyFill="1" applyBorder="1" applyAlignment="1">
      <alignment wrapText="1"/>
    </xf>
    <xf numFmtId="3" fontId="6" fillId="0" borderId="1" xfId="17" applyNumberFormat="1" applyFont="1" applyFill="1" applyBorder="1" applyAlignment="1">
      <alignment horizontal="right"/>
    </xf>
    <xf numFmtId="0" fontId="3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vertical="center" wrapText="1"/>
    </xf>
    <xf numFmtId="3" fontId="6" fillId="0" borderId="1" xfId="18" applyNumberFormat="1" applyFont="1" applyFill="1" applyBorder="1" applyAlignment="1">
      <alignment horizontal="right" vertical="center"/>
    </xf>
    <xf numFmtId="3" fontId="6" fillId="0" borderId="1" xfId="18" applyNumberFormat="1" applyFont="1" applyFill="1" applyBorder="1" applyAlignment="1">
      <alignment vertical="center"/>
    </xf>
    <xf numFmtId="0" fontId="3" fillId="0" borderId="1" xfId="18" applyFont="1" applyFill="1" applyBorder="1" applyAlignment="1">
      <alignment vertical="center"/>
    </xf>
    <xf numFmtId="0" fontId="6" fillId="0" borderId="1" xfId="18" applyFont="1" applyFill="1" applyBorder="1" applyAlignment="1">
      <alignment vertical="center"/>
    </xf>
    <xf numFmtId="170" fontId="6" fillId="0" borderId="1" xfId="18" applyNumberFormat="1" applyFont="1" applyFill="1" applyBorder="1" applyAlignment="1">
      <alignment vertical="center"/>
    </xf>
    <xf numFmtId="2" fontId="6" fillId="0" borderId="1" xfId="18" applyNumberFormat="1" applyFont="1" applyFill="1" applyBorder="1" applyAlignment="1">
      <alignment horizontal="right" vertical="center"/>
    </xf>
    <xf numFmtId="171" fontId="6" fillId="0" borderId="1" xfId="18" applyNumberFormat="1" applyFont="1" applyFill="1" applyBorder="1" applyAlignment="1">
      <alignment horizontal="right" vertical="center"/>
    </xf>
    <xf numFmtId="3" fontId="3" fillId="0" borderId="1" xfId="18" applyNumberFormat="1" applyFont="1" applyFill="1" applyBorder="1" applyAlignment="1">
      <alignment horizontal="right" vertical="center"/>
    </xf>
    <xf numFmtId="3" fontId="3" fillId="0" borderId="1" xfId="18" applyNumberFormat="1" applyFont="1" applyFill="1" applyBorder="1" applyAlignment="1" applyProtection="1">
      <alignment horizontal="right" vertical="center"/>
      <protection locked="0"/>
    </xf>
    <xf numFmtId="171" fontId="3" fillId="0" borderId="1" xfId="18" applyNumberFormat="1" applyFont="1" applyFill="1" applyBorder="1" applyAlignment="1">
      <alignment vertical="center"/>
    </xf>
    <xf numFmtId="0" fontId="3" fillId="0" borderId="1" xfId="19" applyFont="1" applyFill="1" applyBorder="1" applyAlignment="1">
      <alignment vertical="center" wrapText="1"/>
    </xf>
    <xf numFmtId="0" fontId="6" fillId="0" borderId="1" xfId="18" applyFont="1" applyFill="1" applyBorder="1" applyAlignment="1">
      <alignment vertical="center" wrapText="1"/>
    </xf>
    <xf numFmtId="170" fontId="6" fillId="0" borderId="1" xfId="18" applyNumberFormat="1" applyFont="1" applyFill="1" applyBorder="1" applyAlignment="1">
      <alignment horizontal="right" vertical="center"/>
    </xf>
    <xf numFmtId="2" fontId="3" fillId="0" borderId="1" xfId="18" applyNumberFormat="1" applyFont="1" applyFill="1" applyBorder="1" applyAlignment="1">
      <alignment vertical="center" wrapText="1"/>
    </xf>
    <xf numFmtId="1" fontId="6" fillId="0" borderId="1" xfId="18" applyNumberFormat="1" applyFont="1" applyFill="1" applyBorder="1" applyAlignment="1">
      <alignment horizontal="right" vertical="center"/>
    </xf>
    <xf numFmtId="3" fontId="3" fillId="0" borderId="1" xfId="18" applyNumberFormat="1" applyFont="1" applyFill="1" applyBorder="1" applyAlignment="1" applyProtection="1">
      <alignment vertical="center"/>
      <protection locked="0"/>
    </xf>
    <xf numFmtId="0" fontId="3" fillId="0" borderId="1" xfId="18" applyFont="1" applyFill="1" applyBorder="1" applyAlignment="1" applyProtection="1">
      <alignment horizontal="left" vertical="center" wrapText="1"/>
    </xf>
    <xf numFmtId="3" fontId="6" fillId="0" borderId="1" xfId="18" applyNumberFormat="1" applyFont="1" applyFill="1" applyBorder="1" applyAlignment="1" applyProtection="1">
      <alignment horizontal="right" vertical="center"/>
      <protection locked="0"/>
    </xf>
    <xf numFmtId="0" fontId="9" fillId="0" borderId="0" xfId="18" applyFont="1" applyFill="1" applyBorder="1" applyAlignment="1">
      <alignment horizontal="right"/>
    </xf>
    <xf numFmtId="0" fontId="9" fillId="0" borderId="1" xfId="18" applyFont="1" applyFill="1" applyBorder="1" applyAlignment="1">
      <alignment vertical="center"/>
    </xf>
    <xf numFmtId="0" fontId="6" fillId="0" borderId="1" xfId="18" applyFont="1" applyFill="1" applyBorder="1" applyAlignment="1">
      <alignment horizontal="left" vertical="center"/>
    </xf>
    <xf numFmtId="0" fontId="6" fillId="0" borderId="1" xfId="18" applyFont="1" applyFill="1" applyBorder="1" applyAlignment="1">
      <alignment horizontal="right" vertical="center"/>
    </xf>
    <xf numFmtId="0" fontId="3" fillId="0" borderId="1" xfId="18" applyFont="1" applyFill="1" applyBorder="1" applyAlignment="1">
      <alignment horizontal="right" vertical="center"/>
    </xf>
    <xf numFmtId="3" fontId="3" fillId="0" borderId="0" xfId="2" applyNumberFormat="1" applyFont="1"/>
    <xf numFmtId="0" fontId="15" fillId="0" borderId="1" xfId="6" applyFont="1" applyFill="1" applyBorder="1" applyAlignment="1">
      <alignment horizontal="right" vertical="center" wrapText="1"/>
    </xf>
    <xf numFmtId="0" fontId="3" fillId="0" borderId="8" xfId="16" applyFont="1" applyFill="1" applyBorder="1" applyAlignment="1">
      <alignment horizontal="left" wrapText="1"/>
    </xf>
    <xf numFmtId="0" fontId="3" fillId="0" borderId="10" xfId="16" applyFont="1" applyFill="1" applyBorder="1" applyAlignment="1">
      <alignment horizontal="left" wrapText="1"/>
    </xf>
    <xf numFmtId="0" fontId="3" fillId="0" borderId="11" xfId="6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3" fillId="0" borderId="5" xfId="16" applyFont="1" applyFill="1" applyBorder="1" applyAlignment="1">
      <alignment horizontal="left" vertical="center" wrapText="1"/>
    </xf>
    <xf numFmtId="0" fontId="3" fillId="0" borderId="14" xfId="16" applyFont="1" applyFill="1" applyBorder="1" applyAlignment="1">
      <alignment horizontal="left" vertical="center" wrapText="1"/>
    </xf>
    <xf numFmtId="0" fontId="3" fillId="0" borderId="11" xfId="16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 vertical="center" wrapText="1"/>
    </xf>
    <xf numFmtId="0" fontId="3" fillId="0" borderId="1" xfId="16" applyFont="1" applyFill="1" applyBorder="1" applyAlignment="1">
      <alignment horizontal="left" vertical="center" wrapText="1"/>
    </xf>
    <xf numFmtId="0" fontId="3" fillId="0" borderId="1" xfId="16" applyFont="1" applyFill="1" applyBorder="1" applyAlignment="1">
      <alignment horizontal="center" vertical="center"/>
    </xf>
    <xf numFmtId="0" fontId="48" fillId="0" borderId="0" xfId="16" applyFont="1" applyAlignment="1">
      <alignment horizontal="right" wrapText="1"/>
    </xf>
    <xf numFmtId="0" fontId="5" fillId="0" borderId="0" xfId="16" applyFont="1" applyAlignment="1">
      <alignment horizontal="center"/>
    </xf>
    <xf numFmtId="0" fontId="17" fillId="0" borderId="0" xfId="16" applyFont="1" applyFill="1" applyAlignment="1">
      <alignment horizontal="center" wrapText="1"/>
    </xf>
    <xf numFmtId="0" fontId="6" fillId="0" borderId="1" xfId="16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3" fontId="3" fillId="0" borderId="1" xfId="16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49" fontId="3" fillId="0" borderId="1" xfId="16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right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12" xfId="9" applyFont="1" applyFill="1" applyBorder="1" applyAlignment="1">
      <alignment horizontal="left" vertical="center" wrapText="1"/>
    </xf>
    <xf numFmtId="0" fontId="3" fillId="0" borderId="0" xfId="9" applyFont="1" applyAlignment="1">
      <alignment horizontal="left"/>
    </xf>
    <xf numFmtId="0" fontId="4" fillId="0" borderId="0" xfId="9" applyFont="1" applyAlignment="1">
      <alignment horizontal="center"/>
    </xf>
    <xf numFmtId="0" fontId="35" fillId="0" borderId="1" xfId="9" applyFont="1" applyBorder="1" applyAlignment="1">
      <alignment horizontal="center" vertical="center" wrapText="1"/>
    </xf>
    <xf numFmtId="0" fontId="35" fillId="0" borderId="2" xfId="9" applyFont="1" applyFill="1" applyBorder="1" applyAlignment="1">
      <alignment horizontal="center" vertical="center" wrapText="1"/>
    </xf>
    <xf numFmtId="0" fontId="35" fillId="0" borderId="12" xfId="9" applyFont="1" applyFill="1" applyBorder="1" applyAlignment="1">
      <alignment horizontal="center" vertical="center" wrapText="1"/>
    </xf>
    <xf numFmtId="0" fontId="35" fillId="0" borderId="7" xfId="9" applyFont="1" applyFill="1" applyBorder="1" applyAlignment="1">
      <alignment horizontal="center" vertical="center" wrapText="1"/>
    </xf>
    <xf numFmtId="0" fontId="35" fillId="0" borderId="2" xfId="9" applyFont="1" applyBorder="1" applyAlignment="1">
      <alignment horizontal="center" vertical="center" wrapText="1"/>
    </xf>
    <xf numFmtId="0" fontId="35" fillId="0" borderId="12" xfId="9" applyFont="1" applyBorder="1" applyAlignment="1">
      <alignment horizontal="center" vertical="center" wrapText="1"/>
    </xf>
    <xf numFmtId="0" fontId="35" fillId="0" borderId="7" xfId="9" applyFont="1" applyBorder="1" applyAlignment="1">
      <alignment horizontal="center" vertical="center" wrapText="1"/>
    </xf>
    <xf numFmtId="0" fontId="6" fillId="0" borderId="5" xfId="6" applyFont="1" applyBorder="1" applyAlignment="1">
      <alignment horizontal="right" vertical="center" wrapText="1"/>
    </xf>
    <xf numFmtId="0" fontId="6" fillId="0" borderId="6" xfId="6" applyFont="1" applyBorder="1" applyAlignment="1">
      <alignment horizontal="right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left" vertical="center" wrapText="1"/>
    </xf>
    <xf numFmtId="0" fontId="3" fillId="2" borderId="12" xfId="6" applyFont="1" applyFill="1" applyBorder="1" applyAlignment="1">
      <alignment horizontal="left" vertical="center" wrapText="1"/>
    </xf>
    <xf numFmtId="0" fontId="3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3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right" vertical="center" wrapText="1"/>
    </xf>
    <xf numFmtId="0" fontId="3" fillId="0" borderId="1" xfId="6" applyFont="1" applyFill="1" applyBorder="1" applyAlignment="1">
      <alignment horizontal="center" vertical="center" wrapText="1"/>
    </xf>
    <xf numFmtId="49" fontId="6" fillId="0" borderId="10" xfId="6" applyNumberFormat="1" applyFont="1" applyFill="1" applyBorder="1" applyAlignment="1">
      <alignment horizontal="left"/>
    </xf>
    <xf numFmtId="0" fontId="3" fillId="0" borderId="2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12" xfId="6" applyFont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7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left"/>
    </xf>
    <xf numFmtId="0" fontId="6" fillId="0" borderId="5" xfId="6" applyFont="1" applyFill="1" applyBorder="1" applyAlignment="1">
      <alignment horizontal="right" vertical="center" wrapText="1"/>
    </xf>
    <xf numFmtId="0" fontId="6" fillId="0" borderId="6" xfId="6" applyFont="1" applyFill="1" applyBorder="1" applyAlignment="1">
      <alignment horizontal="righ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left" vertical="center" wrapText="1"/>
    </xf>
    <xf numFmtId="0" fontId="37" fillId="0" borderId="0" xfId="6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right" vertical="center" wrapText="1"/>
    </xf>
    <xf numFmtId="0" fontId="3" fillId="0" borderId="0" xfId="6" applyFont="1" applyFill="1" applyAlignment="1">
      <alignment horizontal="left" vertical="center"/>
    </xf>
    <xf numFmtId="0" fontId="4" fillId="0" borderId="0" xfId="6" applyFont="1" applyFill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171" fontId="6" fillId="0" borderId="0" xfId="0" quotePrefix="1" applyNumberFormat="1" applyFont="1" applyBorder="1" applyAlignment="1" applyProtection="1">
      <alignment horizontal="left"/>
      <protection locked="0"/>
    </xf>
    <xf numFmtId="171" fontId="6" fillId="0" borderId="0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3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 wrapText="1"/>
    </xf>
    <xf numFmtId="0" fontId="4" fillId="0" borderId="0" xfId="6" applyFont="1" applyAlignment="1">
      <alignment horizontal="center" vertical="center"/>
    </xf>
    <xf numFmtId="1" fontId="3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0" fontId="6" fillId="0" borderId="1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/>
    </xf>
    <xf numFmtId="2" fontId="41" fillId="0" borderId="2" xfId="1" applyNumberFormat="1" applyFont="1" applyFill="1" applyBorder="1" applyAlignment="1" applyProtection="1">
      <alignment horizontal="left" vertical="center" wrapText="1"/>
    </xf>
    <xf numFmtId="2" fontId="41" fillId="0" borderId="12" xfId="1" applyNumberFormat="1" applyFont="1" applyFill="1" applyBorder="1" applyAlignment="1" applyProtection="1">
      <alignment horizontal="left" vertical="center" wrapText="1"/>
    </xf>
    <xf numFmtId="0" fontId="3" fillId="0" borderId="7" xfId="6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5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3" fontId="3" fillId="0" borderId="2" xfId="6" applyNumberFormat="1" applyFont="1" applyFill="1" applyBorder="1" applyAlignment="1">
      <alignment horizontal="center" vertical="center"/>
    </xf>
    <xf numFmtId="3" fontId="3" fillId="0" borderId="7" xfId="6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right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/>
    </xf>
    <xf numFmtId="3" fontId="13" fillId="0" borderId="1" xfId="6" applyNumberFormat="1" applyFont="1" applyFill="1" applyBorder="1" applyAlignment="1">
      <alignment horizontal="right" vertical="center" wrapText="1"/>
    </xf>
    <xf numFmtId="3" fontId="13" fillId="0" borderId="1" xfId="6" applyNumberFormat="1" applyFont="1" applyFill="1" applyBorder="1" applyAlignment="1">
      <alignment horizontal="right" vertical="center"/>
    </xf>
    <xf numFmtId="3" fontId="13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/>
    </xf>
    <xf numFmtId="3" fontId="13" fillId="0" borderId="1" xfId="13" applyNumberFormat="1" applyFont="1" applyFill="1" applyBorder="1" applyAlignment="1">
      <alignment horizontal="right" vertical="center" wrapText="1"/>
    </xf>
    <xf numFmtId="3" fontId="13" fillId="0" borderId="1" xfId="6" applyNumberFormat="1" applyFont="1" applyFill="1" applyBorder="1" applyAlignment="1">
      <alignment vertical="center" wrapText="1"/>
    </xf>
    <xf numFmtId="0" fontId="4" fillId="0" borderId="0" xfId="6" applyFont="1" applyFill="1" applyAlignment="1">
      <alignment horizontal="center"/>
    </xf>
    <xf numFmtId="0" fontId="15" fillId="0" borderId="1" xfId="6" applyFont="1" applyFill="1" applyBorder="1" applyAlignment="1">
      <alignment horizontal="right" vertical="center" wrapText="1"/>
    </xf>
    <xf numFmtId="0" fontId="5" fillId="0" borderId="1" xfId="6" applyFont="1" applyFill="1" applyBorder="1" applyAlignment="1">
      <alignment horizontal="right"/>
    </xf>
    <xf numFmtId="0" fontId="15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vertical="center" wrapText="1"/>
    </xf>
    <xf numFmtId="166" fontId="3" fillId="0" borderId="1" xfId="7" applyNumberFormat="1" applyFont="1" applyFill="1" applyBorder="1" applyAlignment="1">
      <alignment horizontal="center" vertical="center" wrapText="1"/>
    </xf>
    <xf numFmtId="167" fontId="3" fillId="0" borderId="1" xfId="7" applyNumberFormat="1" applyFont="1" applyFill="1" applyBorder="1" applyAlignment="1">
      <alignment horizontal="left"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164" fontId="3" fillId="0" borderId="1" xfId="12" applyFont="1" applyFill="1" applyBorder="1" applyAlignment="1">
      <alignment horizontal="center" vertical="center" wrapText="1"/>
    </xf>
    <xf numFmtId="164" fontId="3" fillId="0" borderId="1" xfId="12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26" fillId="0" borderId="0" xfId="1" applyFont="1" applyAlignment="1">
      <alignment horizontal="left"/>
    </xf>
    <xf numFmtId="0" fontId="8" fillId="0" borderId="1" xfId="9" applyFont="1" applyBorder="1" applyAlignment="1">
      <alignment horizontal="center" vertical="center"/>
    </xf>
    <xf numFmtId="0" fontId="3" fillId="0" borderId="1" xfId="9" applyFont="1" applyBorder="1" applyAlignment="1">
      <alignment horizontal="left" vertical="center" wrapText="1"/>
    </xf>
    <xf numFmtId="0" fontId="26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49" fillId="0" borderId="2" xfId="8" applyFont="1" applyBorder="1" applyAlignment="1">
      <alignment horizontal="center" vertical="center"/>
    </xf>
    <xf numFmtId="0" fontId="49" fillId="0" borderId="12" xfId="8" applyFont="1" applyBorder="1" applyAlignment="1">
      <alignment horizontal="center" vertical="center"/>
    </xf>
    <xf numFmtId="0" fontId="49" fillId="0" borderId="7" xfId="8" applyFont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6" fillId="0" borderId="18" xfId="5" applyFont="1" applyBorder="1" applyAlignment="1">
      <alignment horizontal="right" wrapText="1"/>
    </xf>
    <xf numFmtId="0" fontId="3" fillId="0" borderId="18" xfId="5" applyFont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6" fillId="0" borderId="18" xfId="5" applyFont="1" applyFill="1" applyBorder="1" applyAlignment="1">
      <alignment horizontal="right" wrapText="1"/>
    </xf>
    <xf numFmtId="0" fontId="3" fillId="0" borderId="18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6" fillId="0" borderId="5" xfId="5" applyFont="1" applyBorder="1" applyAlignment="1">
      <alignment horizontal="right" wrapText="1"/>
    </xf>
    <xf numFmtId="0" fontId="6" fillId="0" borderId="4" xfId="5" applyFont="1" applyBorder="1" applyAlignment="1">
      <alignment horizontal="right" wrapText="1"/>
    </xf>
    <xf numFmtId="0" fontId="3" fillId="0" borderId="2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5" fillId="0" borderId="12" xfId="6" applyFont="1" applyBorder="1" applyAlignment="1">
      <alignment horizontal="left" vertical="center" wrapText="1"/>
    </xf>
    <xf numFmtId="0" fontId="5" fillId="0" borderId="7" xfId="6" applyFont="1" applyBorder="1" applyAlignment="1">
      <alignment horizontal="left" vertical="center" wrapText="1"/>
    </xf>
    <xf numFmtId="0" fontId="3" fillId="0" borderId="7" xfId="6" applyFont="1" applyBorder="1" applyAlignment="1">
      <alignment horizontal="left" vertical="center" wrapText="1"/>
    </xf>
    <xf numFmtId="0" fontId="6" fillId="0" borderId="1" xfId="5" applyFont="1" applyBorder="1" applyAlignment="1">
      <alignment horizontal="right" wrapText="1"/>
    </xf>
    <xf numFmtId="0" fontId="6" fillId="0" borderId="2" xfId="5" applyFont="1" applyBorder="1" applyAlignment="1">
      <alignment horizontal="right" wrapText="1"/>
    </xf>
    <xf numFmtId="0" fontId="3" fillId="0" borderId="0" xfId="5" applyFont="1" applyAlignment="1">
      <alignment horizontal="left"/>
    </xf>
    <xf numFmtId="0" fontId="16" fillId="0" borderId="10" xfId="5" applyFont="1" applyBorder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5" xfId="6" applyFont="1" applyBorder="1" applyAlignment="1">
      <alignment horizontal="right" wrapText="1"/>
    </xf>
    <xf numFmtId="0" fontId="6" fillId="0" borderId="6" xfId="6" applyFont="1" applyBorder="1" applyAlignment="1">
      <alignment horizontal="right" wrapText="1"/>
    </xf>
    <xf numFmtId="0" fontId="3" fillId="0" borderId="2" xfId="6" applyFont="1" applyBorder="1" applyAlignment="1" applyProtection="1">
      <alignment horizontal="center" vertical="center" wrapText="1"/>
      <protection locked="0"/>
    </xf>
    <xf numFmtId="0" fontId="3" fillId="0" borderId="7" xfId="6" applyFont="1" applyBorder="1" applyAlignment="1" applyProtection="1">
      <alignment horizontal="center" vertical="center" wrapText="1"/>
      <protection locked="0"/>
    </xf>
    <xf numFmtId="0" fontId="3" fillId="0" borderId="2" xfId="6" applyFont="1" applyBorder="1" applyAlignment="1" applyProtection="1">
      <alignment horizontal="left" vertical="center" wrapText="1"/>
      <protection locked="0"/>
    </xf>
    <xf numFmtId="0" fontId="3" fillId="0" borderId="7" xfId="6" applyFont="1" applyBorder="1" applyAlignment="1" applyProtection="1">
      <alignment horizontal="left" vertical="center" wrapText="1"/>
      <protection locked="0"/>
    </xf>
    <xf numFmtId="0" fontId="6" fillId="0" borderId="19" xfId="5" applyFont="1" applyBorder="1" applyAlignment="1">
      <alignment horizontal="right" wrapText="1"/>
    </xf>
    <xf numFmtId="0" fontId="3" fillId="0" borderId="19" xfId="1" applyFont="1" applyBorder="1" applyAlignment="1">
      <alignment horizontal="center" vertical="center" wrapText="1"/>
    </xf>
    <xf numFmtId="0" fontId="3" fillId="0" borderId="19" xfId="5" applyFont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18" xfId="6" applyFont="1" applyFill="1" applyBorder="1" applyAlignment="1">
      <alignment horizontal="left" vertical="center"/>
    </xf>
    <xf numFmtId="0" fontId="3" fillId="0" borderId="0" xfId="5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left" vertical="center" wrapText="1"/>
    </xf>
    <xf numFmtId="0" fontId="3" fillId="0" borderId="19" xfId="6" applyFont="1" applyBorder="1" applyAlignment="1">
      <alignment horizontal="left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left" vertical="center" wrapText="1"/>
    </xf>
    <xf numFmtId="3" fontId="3" fillId="0" borderId="12" xfId="2" applyNumberFormat="1" applyFont="1" applyFill="1" applyBorder="1" applyAlignment="1">
      <alignment horizontal="left" vertical="center" wrapText="1"/>
    </xf>
    <xf numFmtId="3" fontId="3" fillId="0" borderId="7" xfId="2" applyNumberFormat="1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10" xfId="2" applyFont="1" applyBorder="1" applyAlignment="1">
      <alignment horizontal="left" vertical="center"/>
    </xf>
    <xf numFmtId="49" fontId="6" fillId="0" borderId="10" xfId="2" applyNumberFormat="1" applyFont="1" applyBorder="1" applyAlignment="1">
      <alignment horizontal="left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horizontal="right" wrapText="1"/>
    </xf>
    <xf numFmtId="3" fontId="3" fillId="0" borderId="1" xfId="2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left" vertical="center" wrapText="1"/>
    </xf>
    <xf numFmtId="3" fontId="5" fillId="0" borderId="12" xfId="2" applyNumberFormat="1" applyFont="1" applyFill="1" applyBorder="1" applyAlignment="1">
      <alignment horizontal="left" vertical="center" wrapText="1"/>
    </xf>
    <xf numFmtId="3" fontId="5" fillId="0" borderId="7" xfId="2" applyNumberFormat="1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3" fontId="5" fillId="0" borderId="1" xfId="2" quotePrefix="1" applyNumberFormat="1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 applyProtection="1">
      <alignment horizontal="left" vertical="center" wrapText="1"/>
      <protection locked="0"/>
    </xf>
    <xf numFmtId="0" fontId="10" fillId="0" borderId="12" xfId="2" applyFont="1" applyBorder="1" applyAlignment="1" applyProtection="1">
      <alignment horizontal="left" vertical="center" wrapText="1"/>
      <protection locked="0"/>
    </xf>
    <xf numFmtId="0" fontId="10" fillId="0" borderId="7" xfId="2" applyFont="1" applyBorder="1" applyAlignment="1" applyProtection="1">
      <alignment horizontal="left" vertical="center" wrapText="1"/>
      <protection locked="0"/>
    </xf>
    <xf numFmtId="1" fontId="3" fillId="0" borderId="2" xfId="2" applyNumberFormat="1" applyFont="1" applyBorder="1" applyAlignment="1">
      <alignment horizontal="center" vertical="center"/>
    </xf>
    <xf numFmtId="1" fontId="3" fillId="0" borderId="12" xfId="2" applyNumberFormat="1" applyFont="1" applyBorder="1" applyAlignment="1">
      <alignment horizontal="center" vertical="center"/>
    </xf>
    <xf numFmtId="1" fontId="3" fillId="0" borderId="7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right" wrapText="1"/>
    </xf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3" fillId="0" borderId="7" xfId="2" applyFont="1" applyBorder="1" applyAlignment="1" applyProtection="1">
      <alignment horizontal="left" vertical="center" wrapText="1"/>
      <protection locked="0"/>
    </xf>
    <xf numFmtId="1" fontId="12" fillId="0" borderId="2" xfId="2" applyNumberFormat="1" applyFont="1" applyBorder="1" applyAlignment="1" applyProtection="1">
      <alignment horizontal="center" vertical="center"/>
      <protection locked="0"/>
    </xf>
    <xf numFmtId="1" fontId="12" fillId="0" borderId="12" xfId="2" applyNumberFormat="1" applyFont="1" applyBorder="1" applyAlignment="1" applyProtection="1">
      <alignment horizontal="center" vertical="center"/>
      <protection locked="0"/>
    </xf>
    <xf numFmtId="1" fontId="12" fillId="0" borderId="7" xfId="2" applyNumberFormat="1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right" wrapText="1"/>
    </xf>
    <xf numFmtId="0" fontId="11" fillId="0" borderId="6" xfId="0" applyFont="1" applyFill="1" applyBorder="1" applyAlignment="1">
      <alignment horizontal="right" wrapText="1"/>
    </xf>
    <xf numFmtId="0" fontId="3" fillId="0" borderId="0" xfId="17" applyFont="1" applyAlignment="1">
      <alignment horizontal="left"/>
    </xf>
    <xf numFmtId="0" fontId="4" fillId="0" borderId="0" xfId="17" applyFont="1" applyAlignment="1">
      <alignment horizontal="center" wrapText="1"/>
    </xf>
    <xf numFmtId="0" fontId="9" fillId="0" borderId="10" xfId="17" applyFont="1" applyBorder="1" applyAlignment="1">
      <alignment horizontal="right"/>
    </xf>
    <xf numFmtId="0" fontId="11" fillId="0" borderId="5" xfId="17" applyFont="1" applyFill="1" applyBorder="1" applyAlignment="1">
      <alignment horizontal="right" wrapText="1"/>
    </xf>
    <xf numFmtId="0" fontId="11" fillId="0" borderId="6" xfId="17" applyFont="1" applyFill="1" applyBorder="1" applyAlignment="1">
      <alignment horizontal="right" wrapText="1"/>
    </xf>
    <xf numFmtId="0" fontId="6" fillId="0" borderId="5" xfId="17" applyFont="1" applyBorder="1" applyAlignment="1">
      <alignment horizontal="right" wrapText="1"/>
    </xf>
    <xf numFmtId="0" fontId="6" fillId="0" borderId="6" xfId="17" applyFont="1" applyBorder="1" applyAlignment="1">
      <alignment horizontal="right" wrapText="1"/>
    </xf>
    <xf numFmtId="0" fontId="9" fillId="0" borderId="5" xfId="17" applyFont="1" applyFill="1" applyBorder="1" applyAlignment="1">
      <alignment horizontal="center" wrapText="1"/>
    </xf>
    <xf numFmtId="0" fontId="9" fillId="0" borderId="14" xfId="17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 applyProtection="1">
      <alignment horizontal="left"/>
      <protection locked="0"/>
    </xf>
    <xf numFmtId="0" fontId="3" fillId="0" borderId="1" xfId="2" applyFont="1" applyFill="1" applyBorder="1" applyAlignment="1">
      <alignment horizontal="left" vertical="center" wrapText="1"/>
    </xf>
    <xf numFmtId="49" fontId="6" fillId="0" borderId="10" xfId="1" applyNumberFormat="1" applyFont="1" applyBorder="1" applyAlignment="1" applyProtection="1">
      <alignment horizontal="left"/>
      <protection locked="0"/>
    </xf>
    <xf numFmtId="0" fontId="6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9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3" fontId="6" fillId="0" borderId="1" xfId="18" applyNumberFormat="1" applyFont="1" applyFill="1" applyBorder="1" applyAlignment="1">
      <alignment horizontal="center" vertical="center"/>
    </xf>
    <xf numFmtId="1" fontId="4" fillId="0" borderId="0" xfId="18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/>
    </xf>
    <xf numFmtId="2" fontId="6" fillId="0" borderId="1" xfId="18" applyNumberFormat="1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</cellXfs>
  <cellStyles count="20">
    <cellStyle name="Comma 2" xfId="14"/>
    <cellStyle name="Comma 3" xfId="12"/>
    <cellStyle name="Currency 2" xfId="15"/>
    <cellStyle name="Normal" xfId="0" builtinId="0"/>
    <cellStyle name="Normal 11" xfId="2"/>
    <cellStyle name="Normal 2" xfId="1"/>
    <cellStyle name="Normal 2 2" xfId="3"/>
    <cellStyle name="Normal 2 2 2" xfId="9"/>
    <cellStyle name="Normal 2 3" xfId="6"/>
    <cellStyle name="Normal 2 3 2" xfId="7"/>
    <cellStyle name="Normal 3" xfId="8"/>
    <cellStyle name="Normal 3 2 2" xfId="11"/>
    <cellStyle name="Normal 3 2 2 2" xfId="16"/>
    <cellStyle name="Normal 4" xfId="17"/>
    <cellStyle name="Normal 5" xfId="18"/>
    <cellStyle name="Normal 6" xfId="4"/>
    <cellStyle name="Normal 7" xfId="19"/>
    <cellStyle name="Normal_09.510_Izgl nod konkursi nometnes 2010" xfId="10"/>
    <cellStyle name="Normal_budžeta nod.2" xfId="5"/>
    <cellStyle name="Percent 2" xfId="13"/>
  </cellStyles>
  <dxfs count="0"/>
  <tableStyles count="0" defaultTableStyle="TableStyleMedium2" defaultPivotStyle="PivotStyleLight16"/>
  <colors>
    <mruColors>
      <color rgb="FFFFFF99"/>
      <color rgb="FFCCFF33"/>
      <color rgb="FF00FFCC"/>
      <color rgb="FFCCCC00"/>
      <color rgb="FFD60093"/>
      <color rgb="FF00CC99"/>
      <color rgb="FFCC9900"/>
      <color rgb="FFCC66FF"/>
      <color rgb="FFCC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R47"/>
  <sheetViews>
    <sheetView zoomScaleNormal="100" zoomScaleSheetLayoutView="100" workbookViewId="0">
      <selection activeCell="B2" sqref="B2"/>
    </sheetView>
  </sheetViews>
  <sheetFormatPr defaultRowHeight="15.75" x14ac:dyDescent="0.25"/>
  <cols>
    <col min="1" max="1" width="3.7109375" style="394" customWidth="1"/>
    <col min="2" max="2" width="34.85546875" style="395" customWidth="1"/>
    <col min="3" max="3" width="8.28515625" style="395" customWidth="1"/>
    <col min="4" max="4" width="9.85546875" style="396" customWidth="1"/>
    <col min="5" max="5" width="8.28515625" style="396" hidden="1" customWidth="1"/>
    <col min="6" max="6" width="10" style="396" customWidth="1"/>
    <col min="7" max="7" width="8.28515625" style="396" hidden="1" customWidth="1"/>
    <col min="8" max="8" width="8.140625" style="396" hidden="1" customWidth="1"/>
    <col min="9" max="9" width="10.140625" style="396" customWidth="1"/>
    <col min="10" max="10" width="8.140625" style="396" hidden="1" customWidth="1"/>
    <col min="11" max="11" width="8" style="396" hidden="1" customWidth="1"/>
    <col min="12" max="12" width="9.7109375" style="396" hidden="1" customWidth="1"/>
    <col min="13" max="13" width="11.28515625" style="395" customWidth="1"/>
    <col min="14" max="14" width="7.85546875" style="395" customWidth="1"/>
    <col min="15" max="15" width="7.7109375" style="395" customWidth="1"/>
    <col min="16" max="16" width="8.42578125" style="395" customWidth="1"/>
    <col min="17" max="17" width="8.28515625" style="395" customWidth="1"/>
    <col min="18" max="18" width="8" style="395" customWidth="1"/>
    <col min="19" max="16384" width="9.140625" style="395"/>
  </cols>
  <sheetData>
    <row r="1" spans="1:18" ht="15.75" customHeight="1" x14ac:dyDescent="0.25">
      <c r="N1" s="1034" t="s">
        <v>1183</v>
      </c>
      <c r="O1" s="1034"/>
      <c r="P1" s="1034"/>
      <c r="Q1" s="1034"/>
      <c r="R1" s="1034"/>
    </row>
    <row r="2" spans="1:18" ht="16.5" x14ac:dyDescent="0.25">
      <c r="N2" s="950"/>
      <c r="O2" s="950"/>
      <c r="P2" s="950"/>
      <c r="Q2" s="950"/>
      <c r="R2" s="951" t="s">
        <v>1184</v>
      </c>
    </row>
    <row r="3" spans="1:18" ht="16.5" x14ac:dyDescent="0.25">
      <c r="N3" s="950"/>
      <c r="O3" s="950"/>
      <c r="P3" s="950"/>
      <c r="Q3" s="950"/>
      <c r="R3" s="951" t="s">
        <v>1185</v>
      </c>
    </row>
    <row r="4" spans="1:18" ht="16.5" x14ac:dyDescent="0.25">
      <c r="N4" s="950"/>
      <c r="O4" s="950"/>
      <c r="P4" s="950"/>
      <c r="Q4" s="950"/>
      <c r="R4" s="951"/>
    </row>
    <row r="5" spans="1:18" ht="13.5" customHeight="1" x14ac:dyDescent="0.25">
      <c r="P5" s="1035"/>
      <c r="Q5" s="1035"/>
    </row>
    <row r="6" spans="1:18" s="409" customFormat="1" ht="15.75" customHeight="1" x14ac:dyDescent="0.3">
      <c r="A6" s="778"/>
      <c r="B6" s="410"/>
      <c r="C6" s="1036" t="s">
        <v>993</v>
      </c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</row>
    <row r="7" spans="1:18" s="409" customFormat="1" ht="14.25" customHeight="1" x14ac:dyDescent="0.25">
      <c r="A7" s="411"/>
      <c r="B7" s="412"/>
      <c r="C7" s="413"/>
      <c r="D7" s="414"/>
      <c r="E7" s="414"/>
      <c r="F7" s="414"/>
      <c r="G7" s="414"/>
      <c r="H7" s="414"/>
      <c r="I7" s="415"/>
      <c r="J7" s="415"/>
      <c r="K7" s="415"/>
      <c r="L7" s="415"/>
      <c r="M7" s="412"/>
      <c r="N7" s="416"/>
      <c r="O7" s="417"/>
      <c r="P7" s="417"/>
      <c r="Q7" s="417"/>
      <c r="R7" s="952"/>
    </row>
    <row r="8" spans="1:18" s="418" customFormat="1" ht="36" customHeight="1" x14ac:dyDescent="0.2">
      <c r="A8" s="1037" t="s">
        <v>1</v>
      </c>
      <c r="B8" s="1038" t="s">
        <v>974</v>
      </c>
      <c r="C8" s="1040" t="s">
        <v>1125</v>
      </c>
      <c r="D8" s="1041" t="s">
        <v>296</v>
      </c>
      <c r="F8" s="937" t="s">
        <v>999</v>
      </c>
      <c r="H8" s="936"/>
      <c r="I8" s="935" t="s">
        <v>975</v>
      </c>
      <c r="K8" s="937"/>
      <c r="L8" s="937"/>
      <c r="M8" s="937" t="s">
        <v>976</v>
      </c>
      <c r="N8" s="856" t="s">
        <v>995</v>
      </c>
      <c r="O8" s="1039" t="s">
        <v>977</v>
      </c>
      <c r="P8" s="1039"/>
      <c r="Q8" s="1039" t="s">
        <v>994</v>
      </c>
      <c r="R8" s="1039"/>
    </row>
    <row r="9" spans="1:18" s="418" customFormat="1" ht="48" x14ac:dyDescent="0.2">
      <c r="A9" s="1037"/>
      <c r="B9" s="1038"/>
      <c r="C9" s="1040"/>
      <c r="D9" s="1041"/>
      <c r="E9" s="761" t="s">
        <v>27</v>
      </c>
      <c r="F9" s="761" t="s">
        <v>1191</v>
      </c>
      <c r="G9" s="761" t="s">
        <v>26</v>
      </c>
      <c r="H9" s="761" t="s">
        <v>27</v>
      </c>
      <c r="I9" s="761" t="s">
        <v>1192</v>
      </c>
      <c r="J9" s="761" t="s">
        <v>26</v>
      </c>
      <c r="K9" s="761" t="s">
        <v>27</v>
      </c>
      <c r="L9" s="782" t="s">
        <v>1022</v>
      </c>
      <c r="M9" s="761" t="s">
        <v>1191</v>
      </c>
      <c r="N9" s="761" t="s">
        <v>1192</v>
      </c>
      <c r="O9" s="761" t="s">
        <v>1125</v>
      </c>
      <c r="P9" s="761" t="s">
        <v>1127</v>
      </c>
      <c r="Q9" s="761" t="s">
        <v>1125</v>
      </c>
      <c r="R9" s="761" t="s">
        <v>1126</v>
      </c>
    </row>
    <row r="10" spans="1:18" s="418" customFormat="1" ht="15" customHeight="1" x14ac:dyDescent="0.2">
      <c r="A10" s="763"/>
      <c r="D10" s="953" t="s">
        <v>1193</v>
      </c>
      <c r="E10" s="760">
        <f t="shared" ref="E10:N10" si="0">SUM(E12,E42)</f>
        <v>4599845</v>
      </c>
      <c r="F10" s="760">
        <f t="shared" si="0"/>
        <v>6369760</v>
      </c>
      <c r="G10" s="760">
        <f t="shared" si="0"/>
        <v>1326894</v>
      </c>
      <c r="H10" s="760">
        <f t="shared" si="0"/>
        <v>1324663</v>
      </c>
      <c r="I10" s="760">
        <f t="shared" si="0"/>
        <v>1404402</v>
      </c>
      <c r="J10" s="760">
        <f t="shared" si="0"/>
        <v>3287119</v>
      </c>
      <c r="K10" s="760">
        <f t="shared" si="0"/>
        <v>3275182</v>
      </c>
      <c r="L10" s="783">
        <f t="shared" si="0"/>
        <v>14482036</v>
      </c>
      <c r="M10" s="760">
        <f t="shared" si="0"/>
        <v>4965358</v>
      </c>
      <c r="N10" s="760">
        <f t="shared" si="0"/>
        <v>0</v>
      </c>
      <c r="O10" s="760"/>
      <c r="P10" s="760">
        <f>SUM(P12,P42)</f>
        <v>8080702.7436212655</v>
      </c>
      <c r="Q10" s="760"/>
      <c r="R10" s="760">
        <f>SUM(R12,R42)</f>
        <v>3900527</v>
      </c>
    </row>
    <row r="11" spans="1:18" s="418" customFormat="1" ht="23.25" customHeight="1" x14ac:dyDescent="0.2">
      <c r="A11" s="1028" t="s">
        <v>1165</v>
      </c>
      <c r="B11" s="1029"/>
      <c r="C11" s="798"/>
      <c r="D11" s="799"/>
      <c r="E11" s="762"/>
      <c r="F11" s="762"/>
      <c r="G11" s="762"/>
      <c r="H11" s="762"/>
      <c r="I11" s="762"/>
      <c r="J11" s="762"/>
      <c r="K11" s="762"/>
      <c r="L11" s="784"/>
      <c r="M11" s="762"/>
      <c r="N11" s="762"/>
      <c r="O11" s="762"/>
      <c r="P11" s="762"/>
      <c r="Q11" s="762"/>
      <c r="R11" s="879"/>
    </row>
    <row r="12" spans="1:18" s="418" customFormat="1" ht="12" x14ac:dyDescent="0.2">
      <c r="A12" s="1030"/>
      <c r="B12" s="1031"/>
      <c r="C12" s="751"/>
      <c r="D12" s="752" t="s">
        <v>1194</v>
      </c>
      <c r="E12" s="786">
        <f t="shared" ref="E12:N12" si="1">SUM(E13,E15,E26,E31,E38)</f>
        <v>2882837</v>
      </c>
      <c r="F12" s="786">
        <f t="shared" si="1"/>
        <v>4664266</v>
      </c>
      <c r="G12" s="786">
        <f t="shared" si="1"/>
        <v>822678</v>
      </c>
      <c r="H12" s="786">
        <f t="shared" si="1"/>
        <v>820447</v>
      </c>
      <c r="I12" s="786">
        <f t="shared" si="1"/>
        <v>756700</v>
      </c>
      <c r="J12" s="786">
        <f t="shared" si="1"/>
        <v>2074327</v>
      </c>
      <c r="K12" s="786">
        <f t="shared" si="1"/>
        <v>2062390</v>
      </c>
      <c r="L12" s="787">
        <f t="shared" si="1"/>
        <v>12765028</v>
      </c>
      <c r="M12" s="786">
        <f t="shared" si="1"/>
        <v>3907566</v>
      </c>
      <c r="N12" s="786">
        <f t="shared" si="1"/>
        <v>0</v>
      </c>
      <c r="O12" s="760"/>
      <c r="P12" s="760">
        <f>SUM(P13,P15,P26,P31,P38)</f>
        <v>6363694.7436212655</v>
      </c>
      <c r="Q12" s="760"/>
      <c r="R12" s="760">
        <f>SUM(R13,R15,R26,R31,R38)</f>
        <v>2183519</v>
      </c>
    </row>
    <row r="13" spans="1:18" s="418" customFormat="1" ht="12" x14ac:dyDescent="0.2">
      <c r="A13" s="742">
        <v>1</v>
      </c>
      <c r="B13" s="743" t="s">
        <v>978</v>
      </c>
      <c r="C13" s="753"/>
      <c r="D13" s="754"/>
      <c r="E13" s="788">
        <f t="shared" ref="E13:N13" si="2">SUM(E14:E14)</f>
        <v>6612</v>
      </c>
      <c r="F13" s="788">
        <f>SUM(F14:F14)</f>
        <v>20000</v>
      </c>
      <c r="G13" s="788">
        <f t="shared" si="2"/>
        <v>6612</v>
      </c>
      <c r="H13" s="788">
        <f t="shared" si="2"/>
        <v>6612</v>
      </c>
      <c r="I13" s="788">
        <f t="shared" si="2"/>
        <v>20000</v>
      </c>
      <c r="J13" s="788">
        <f t="shared" si="2"/>
        <v>0</v>
      </c>
      <c r="K13" s="788">
        <f t="shared" si="2"/>
        <v>0</v>
      </c>
      <c r="L13" s="788">
        <f t="shared" si="2"/>
        <v>1478477</v>
      </c>
      <c r="M13" s="788">
        <f t="shared" si="2"/>
        <v>0</v>
      </c>
      <c r="N13" s="788">
        <f t="shared" si="2"/>
        <v>0</v>
      </c>
      <c r="O13" s="755"/>
      <c r="P13" s="755">
        <f>SUM(P14:P14)</f>
        <v>0</v>
      </c>
      <c r="Q13" s="755"/>
      <c r="R13" s="755">
        <f>SUM(R14:R14)</f>
        <v>0</v>
      </c>
    </row>
    <row r="14" spans="1:18" s="418" customFormat="1" ht="24" x14ac:dyDescent="0.2">
      <c r="A14" s="740">
        <v>1.1000000000000001</v>
      </c>
      <c r="B14" s="746" t="s">
        <v>1181</v>
      </c>
      <c r="C14" s="739" t="s">
        <v>1161</v>
      </c>
      <c r="D14" s="849" t="s">
        <v>979</v>
      </c>
      <c r="E14" s="792">
        <f>SUM(H14+K14)</f>
        <v>6612</v>
      </c>
      <c r="F14" s="792">
        <f>SUM(I14+M14+N14)</f>
        <v>20000</v>
      </c>
      <c r="G14" s="792">
        <v>6612</v>
      </c>
      <c r="H14" s="792">
        <v>6612</v>
      </c>
      <c r="I14" s="792">
        <v>20000</v>
      </c>
      <c r="J14" s="792">
        <f>6612-6612</f>
        <v>0</v>
      </c>
      <c r="K14" s="792">
        <f>6612-6612</f>
        <v>0</v>
      </c>
      <c r="L14" s="793">
        <v>1478477</v>
      </c>
      <c r="M14" s="792"/>
      <c r="N14" s="792"/>
      <c r="O14" s="739"/>
      <c r="P14" s="421"/>
      <c r="Q14" s="739"/>
      <c r="R14" s="421"/>
    </row>
    <row r="15" spans="1:18" s="418" customFormat="1" ht="12" x14ac:dyDescent="0.2">
      <c r="A15" s="742">
        <v>2</v>
      </c>
      <c r="B15" s="743" t="s">
        <v>334</v>
      </c>
      <c r="C15" s="744"/>
      <c r="D15" s="745"/>
      <c r="E15" s="788">
        <f t="shared" ref="E15:N15" si="3">SUM(E16:E25)</f>
        <v>2316825</v>
      </c>
      <c r="F15" s="788">
        <f t="shared" si="3"/>
        <v>4197566</v>
      </c>
      <c r="G15" s="788">
        <f t="shared" si="3"/>
        <v>398450</v>
      </c>
      <c r="H15" s="788">
        <f t="shared" si="3"/>
        <v>398446</v>
      </c>
      <c r="I15" s="788">
        <f t="shared" si="3"/>
        <v>310000</v>
      </c>
      <c r="J15" s="788">
        <f t="shared" si="3"/>
        <v>1930303</v>
      </c>
      <c r="K15" s="788">
        <f t="shared" si="3"/>
        <v>1918379</v>
      </c>
      <c r="L15" s="789">
        <f t="shared" si="3"/>
        <v>10528851</v>
      </c>
      <c r="M15" s="788">
        <f t="shared" si="3"/>
        <v>3887566</v>
      </c>
      <c r="N15" s="788">
        <f t="shared" si="3"/>
        <v>0</v>
      </c>
      <c r="O15" s="419"/>
      <c r="P15" s="419">
        <f>SUM(P16:P25)</f>
        <v>5568700</v>
      </c>
      <c r="Q15" s="419"/>
      <c r="R15" s="419">
        <f>SUM(R16:R25)</f>
        <v>1488500</v>
      </c>
    </row>
    <row r="16" spans="1:18" s="418" customFormat="1" ht="12" x14ac:dyDescent="0.2">
      <c r="A16" s="740">
        <v>2.1</v>
      </c>
      <c r="B16" s="746" t="s">
        <v>1182</v>
      </c>
      <c r="C16" s="750" t="s">
        <v>1137</v>
      </c>
      <c r="D16" s="756" t="s">
        <v>979</v>
      </c>
      <c r="E16" s="790">
        <f t="shared" ref="E16:E24" si="4">SUM(H16+K16)</f>
        <v>1820672</v>
      </c>
      <c r="F16" s="790">
        <f>SUM(I16+M16+N16)</f>
        <v>3285715</v>
      </c>
      <c r="G16" s="790">
        <v>100607</v>
      </c>
      <c r="H16" s="790">
        <v>100607</v>
      </c>
      <c r="I16" s="790"/>
      <c r="J16" s="790">
        <f>1820672-100607</f>
        <v>1720065</v>
      </c>
      <c r="K16" s="790">
        <f>1820672-100607</f>
        <v>1720065</v>
      </c>
      <c r="L16" s="791">
        <v>5256000</v>
      </c>
      <c r="M16" s="790">
        <f>985715+2300000</f>
        <v>3285715</v>
      </c>
      <c r="N16" s="790"/>
      <c r="O16" s="750" t="s">
        <v>1138</v>
      </c>
      <c r="P16" s="420">
        <v>3721300</v>
      </c>
      <c r="Q16" s="750" t="s">
        <v>1139</v>
      </c>
      <c r="R16" s="420">
        <v>1055500</v>
      </c>
    </row>
    <row r="17" spans="1:18" s="418" customFormat="1" ht="12" x14ac:dyDescent="0.2">
      <c r="A17" s="740">
        <v>2.2000000000000002</v>
      </c>
      <c r="B17" s="746" t="s">
        <v>1131</v>
      </c>
      <c r="C17" s="750" t="s">
        <v>1148</v>
      </c>
      <c r="D17" s="756" t="s">
        <v>979</v>
      </c>
      <c r="E17" s="790">
        <f t="shared" si="4"/>
        <v>211451</v>
      </c>
      <c r="F17" s="790">
        <f t="shared" ref="F17:F23" si="5">SUM(I17+M17+N17)</f>
        <v>130000</v>
      </c>
      <c r="G17" s="790">
        <v>71143</v>
      </c>
      <c r="H17" s="790">
        <v>71139</v>
      </c>
      <c r="I17" s="790">
        <v>130000</v>
      </c>
      <c r="J17" s="790">
        <f>211455-71143</f>
        <v>140312</v>
      </c>
      <c r="K17" s="790">
        <f>211451-71139</f>
        <v>140312</v>
      </c>
      <c r="L17" s="791">
        <v>1838000</v>
      </c>
      <c r="M17" s="790"/>
      <c r="N17" s="790"/>
      <c r="O17" s="750" t="s">
        <v>1150</v>
      </c>
      <c r="P17" s="420">
        <v>433400</v>
      </c>
      <c r="Q17" s="750" t="s">
        <v>1149</v>
      </c>
      <c r="R17" s="420">
        <v>153000</v>
      </c>
    </row>
    <row r="18" spans="1:18" s="418" customFormat="1" ht="12" x14ac:dyDescent="0.2">
      <c r="A18" s="740">
        <v>2.2999999999999998</v>
      </c>
      <c r="B18" s="746" t="s">
        <v>996</v>
      </c>
      <c r="C18" s="750"/>
      <c r="D18" s="756" t="s">
        <v>980</v>
      </c>
      <c r="E18" s="790">
        <f t="shared" si="4"/>
        <v>284702</v>
      </c>
      <c r="F18" s="790">
        <f t="shared" si="5"/>
        <v>0</v>
      </c>
      <c r="G18" s="790">
        <v>226700</v>
      </c>
      <c r="H18" s="790">
        <v>226700</v>
      </c>
      <c r="I18" s="790"/>
      <c r="J18" s="790">
        <f>284717-226700</f>
        <v>58017</v>
      </c>
      <c r="K18" s="790">
        <f>284702-226700</f>
        <v>58002</v>
      </c>
      <c r="L18" s="791">
        <v>200000</v>
      </c>
      <c r="M18" s="790"/>
      <c r="N18" s="790"/>
      <c r="O18" s="750" t="s">
        <v>1140</v>
      </c>
      <c r="P18" s="420">
        <v>30000</v>
      </c>
      <c r="Q18" s="750"/>
      <c r="R18" s="420"/>
    </row>
    <row r="19" spans="1:18" s="418" customFormat="1" ht="24" x14ac:dyDescent="0.2">
      <c r="A19" s="848">
        <v>2.4</v>
      </c>
      <c r="B19" s="853" t="s">
        <v>313</v>
      </c>
      <c r="C19" s="739"/>
      <c r="D19" s="849" t="s">
        <v>980</v>
      </c>
      <c r="E19" s="792">
        <f t="shared" si="4"/>
        <v>0</v>
      </c>
      <c r="F19" s="792">
        <f t="shared" si="5"/>
        <v>11851</v>
      </c>
      <c r="G19" s="792"/>
      <c r="H19" s="792"/>
      <c r="I19" s="792"/>
      <c r="J19" s="792">
        <v>11909</v>
      </c>
      <c r="K19" s="792">
        <v>0</v>
      </c>
      <c r="L19" s="793">
        <v>11851</v>
      </c>
      <c r="M19" s="792">
        <v>11851</v>
      </c>
      <c r="N19" s="792"/>
      <c r="O19" s="739"/>
      <c r="P19" s="421"/>
      <c r="Q19" s="739"/>
      <c r="R19" s="421"/>
    </row>
    <row r="20" spans="1:18" s="418" customFormat="1" ht="36" x14ac:dyDescent="0.2">
      <c r="A20" s="848">
        <v>2.5</v>
      </c>
      <c r="B20" s="853" t="s">
        <v>315</v>
      </c>
      <c r="C20" s="739"/>
      <c r="D20" s="849" t="s">
        <v>979</v>
      </c>
      <c r="E20" s="792">
        <f t="shared" si="4"/>
        <v>0</v>
      </c>
      <c r="F20" s="792">
        <f t="shared" si="5"/>
        <v>0</v>
      </c>
      <c r="G20" s="792"/>
      <c r="H20" s="792"/>
      <c r="I20" s="792"/>
      <c r="J20" s="792"/>
      <c r="K20" s="792"/>
      <c r="L20" s="793">
        <v>85000</v>
      </c>
      <c r="M20" s="792"/>
      <c r="N20" s="792"/>
      <c r="O20" s="739" t="s">
        <v>1155</v>
      </c>
      <c r="P20" s="421">
        <v>1050000</v>
      </c>
      <c r="Q20" s="739"/>
      <c r="R20" s="421"/>
    </row>
    <row r="21" spans="1:18" s="418" customFormat="1" ht="24" x14ac:dyDescent="0.2">
      <c r="A21" s="848">
        <v>2.6</v>
      </c>
      <c r="B21" s="853" t="s">
        <v>1122</v>
      </c>
      <c r="C21" s="739" t="s">
        <v>1157</v>
      </c>
      <c r="D21" s="849" t="s">
        <v>979</v>
      </c>
      <c r="E21" s="792">
        <f t="shared" si="4"/>
        <v>0</v>
      </c>
      <c r="F21" s="792">
        <f t="shared" si="5"/>
        <v>390000</v>
      </c>
      <c r="G21" s="792"/>
      <c r="H21" s="792"/>
      <c r="I21" s="792"/>
      <c r="J21" s="792"/>
      <c r="K21" s="792"/>
      <c r="L21" s="793">
        <v>390000</v>
      </c>
      <c r="M21" s="792">
        <v>390000</v>
      </c>
      <c r="N21" s="792"/>
      <c r="O21" s="739" t="s">
        <v>1159</v>
      </c>
      <c r="P21" s="421">
        <v>181000</v>
      </c>
      <c r="Q21" s="739" t="s">
        <v>1160</v>
      </c>
      <c r="R21" s="421">
        <v>170000</v>
      </c>
    </row>
    <row r="22" spans="1:18" s="418" customFormat="1" ht="12" x14ac:dyDescent="0.2">
      <c r="A22" s="848">
        <v>2.7</v>
      </c>
      <c r="B22" s="853" t="s">
        <v>1130</v>
      </c>
      <c r="C22" s="739" t="s">
        <v>1151</v>
      </c>
      <c r="D22" s="849" t="s">
        <v>980</v>
      </c>
      <c r="E22" s="792">
        <f t="shared" si="4"/>
        <v>0</v>
      </c>
      <c r="F22" s="792">
        <f t="shared" si="5"/>
        <v>60000</v>
      </c>
      <c r="G22" s="792"/>
      <c r="H22" s="792"/>
      <c r="I22" s="792">
        <v>60000</v>
      </c>
      <c r="J22" s="792"/>
      <c r="K22" s="792"/>
      <c r="L22" s="793"/>
      <c r="M22" s="792"/>
      <c r="N22" s="792"/>
      <c r="O22" s="739" t="s">
        <v>1152</v>
      </c>
      <c r="P22" s="421">
        <v>43000</v>
      </c>
      <c r="Q22" s="739"/>
      <c r="R22" s="421"/>
    </row>
    <row r="23" spans="1:18" s="418" customFormat="1" ht="12" x14ac:dyDescent="0.2">
      <c r="A23" s="949">
        <v>2.8</v>
      </c>
      <c r="B23" s="853" t="s">
        <v>336</v>
      </c>
      <c r="C23" s="739" t="s">
        <v>1153</v>
      </c>
      <c r="D23" s="849" t="s">
        <v>979</v>
      </c>
      <c r="E23" s="792">
        <f t="shared" si="4"/>
        <v>0</v>
      </c>
      <c r="F23" s="792">
        <f t="shared" si="5"/>
        <v>120000</v>
      </c>
      <c r="G23" s="792"/>
      <c r="H23" s="792"/>
      <c r="I23" s="792">
        <v>120000</v>
      </c>
      <c r="J23" s="792"/>
      <c r="K23" s="792"/>
      <c r="L23" s="793">
        <v>2748000</v>
      </c>
      <c r="M23" s="792"/>
      <c r="N23" s="792"/>
      <c r="O23" s="739" t="s">
        <v>1149</v>
      </c>
      <c r="P23" s="421">
        <v>110000</v>
      </c>
      <c r="Q23" s="739" t="s">
        <v>1149</v>
      </c>
      <c r="R23" s="421">
        <v>110000</v>
      </c>
    </row>
    <row r="24" spans="1:18" s="418" customFormat="1" ht="24" x14ac:dyDescent="0.2">
      <c r="A24" s="949">
        <v>2.9</v>
      </c>
      <c r="B24" s="853" t="s">
        <v>1135</v>
      </c>
      <c r="C24" s="739" t="s">
        <v>1154</v>
      </c>
      <c r="D24" s="849" t="s">
        <v>979</v>
      </c>
      <c r="E24" s="792">
        <f t="shared" si="4"/>
        <v>0</v>
      </c>
      <c r="F24" s="792">
        <f t="shared" ref="F24" si="6">SUM(I24+M24+N24)</f>
        <v>200000</v>
      </c>
      <c r="G24" s="792"/>
      <c r="H24" s="792"/>
      <c r="I24" s="792"/>
      <c r="J24" s="792"/>
      <c r="K24" s="792"/>
      <c r="L24" s="793"/>
      <c r="M24" s="792">
        <f>70000+130000</f>
        <v>200000</v>
      </c>
      <c r="N24" s="792"/>
      <c r="O24" s="739"/>
      <c r="P24" s="421"/>
      <c r="Q24" s="739"/>
      <c r="R24" s="421"/>
    </row>
    <row r="25" spans="1:18" s="418" customFormat="1" ht="12" x14ac:dyDescent="0.2">
      <c r="A25" s="740"/>
      <c r="B25" s="746"/>
      <c r="C25" s="750"/>
      <c r="D25" s="756"/>
      <c r="E25" s="790"/>
      <c r="F25" s="790"/>
      <c r="G25" s="790"/>
      <c r="H25" s="790"/>
      <c r="I25" s="790"/>
      <c r="J25" s="790"/>
      <c r="K25" s="790"/>
      <c r="L25" s="791"/>
      <c r="M25" s="790"/>
      <c r="N25" s="790"/>
      <c r="O25" s="420"/>
      <c r="P25" s="420"/>
      <c r="Q25" s="420"/>
      <c r="R25" s="420"/>
    </row>
    <row r="26" spans="1:18" s="418" customFormat="1" ht="12" x14ac:dyDescent="0.2">
      <c r="A26" s="742">
        <v>3</v>
      </c>
      <c r="B26" s="743" t="s">
        <v>337</v>
      </c>
      <c r="C26" s="744"/>
      <c r="D26" s="745"/>
      <c r="E26" s="788">
        <f t="shared" ref="E26:F26" si="7">SUM(E27:E30)</f>
        <v>419212</v>
      </c>
      <c r="F26" s="788">
        <f t="shared" si="7"/>
        <v>306000</v>
      </c>
      <c r="G26" s="788">
        <f t="shared" ref="G26:N26" si="8">SUM(G27:G30)</f>
        <v>284575</v>
      </c>
      <c r="H26" s="788">
        <f t="shared" si="8"/>
        <v>284562</v>
      </c>
      <c r="I26" s="788">
        <f t="shared" si="8"/>
        <v>286000</v>
      </c>
      <c r="J26" s="788">
        <f t="shared" si="8"/>
        <v>134663</v>
      </c>
      <c r="K26" s="788">
        <f t="shared" si="8"/>
        <v>134650</v>
      </c>
      <c r="L26" s="789">
        <f t="shared" si="8"/>
        <v>480000</v>
      </c>
      <c r="M26" s="788">
        <f t="shared" si="8"/>
        <v>20000</v>
      </c>
      <c r="N26" s="788">
        <f t="shared" si="8"/>
        <v>0</v>
      </c>
      <c r="O26" s="419"/>
      <c r="P26" s="419">
        <f>SUM(P27:P30)</f>
        <v>611205</v>
      </c>
      <c r="Q26" s="419"/>
      <c r="R26" s="419">
        <f>SUM(R27:R30)</f>
        <v>497000</v>
      </c>
    </row>
    <row r="27" spans="1:18" s="418" customFormat="1" ht="12" x14ac:dyDescent="0.2">
      <c r="A27" s="740">
        <v>3.1</v>
      </c>
      <c r="B27" s="757" t="s">
        <v>339</v>
      </c>
      <c r="C27" s="750" t="s">
        <v>1141</v>
      </c>
      <c r="D27" s="756" t="s">
        <v>981</v>
      </c>
      <c r="E27" s="790">
        <f>SUM(H27+K27)</f>
        <v>142275</v>
      </c>
      <c r="F27" s="790">
        <f t="shared" ref="F27:F39" si="9">SUM(I27+M27+N27)</f>
        <v>143000</v>
      </c>
      <c r="G27" s="790">
        <v>142288</v>
      </c>
      <c r="H27" s="790">
        <v>142275</v>
      </c>
      <c r="I27" s="790">
        <v>143000</v>
      </c>
      <c r="J27" s="790">
        <f>142288-142288</f>
        <v>0</v>
      </c>
      <c r="K27" s="790">
        <f>142275-142275</f>
        <v>0</v>
      </c>
      <c r="L27" s="791">
        <v>200000</v>
      </c>
      <c r="M27" s="790"/>
      <c r="N27" s="790"/>
      <c r="O27" s="750" t="s">
        <v>1141</v>
      </c>
      <c r="P27" s="420">
        <v>143000</v>
      </c>
      <c r="Q27" s="750" t="s">
        <v>1141</v>
      </c>
      <c r="R27" s="420">
        <v>143000</v>
      </c>
    </row>
    <row r="28" spans="1:18" s="418" customFormat="1" ht="12" x14ac:dyDescent="0.2">
      <c r="A28" s="740">
        <v>3.2</v>
      </c>
      <c r="B28" s="757" t="s">
        <v>982</v>
      </c>
      <c r="C28" s="739" t="s">
        <v>1163</v>
      </c>
      <c r="D28" s="771" t="s">
        <v>981</v>
      </c>
      <c r="E28" s="792">
        <f>SUM(H28+K28)</f>
        <v>234263</v>
      </c>
      <c r="F28" s="792">
        <f t="shared" si="9"/>
        <v>143000</v>
      </c>
      <c r="G28" s="792">
        <v>142287</v>
      </c>
      <c r="H28" s="792">
        <v>142287</v>
      </c>
      <c r="I28" s="792">
        <v>143000</v>
      </c>
      <c r="J28" s="792">
        <f>234263-142287</f>
        <v>91976</v>
      </c>
      <c r="K28" s="792">
        <f>234263-142287</f>
        <v>91976</v>
      </c>
      <c r="L28" s="793">
        <v>250000</v>
      </c>
      <c r="M28" s="792"/>
      <c r="N28" s="792"/>
      <c r="O28" s="739" t="s">
        <v>1162</v>
      </c>
      <c r="P28" s="421">
        <v>448205</v>
      </c>
      <c r="Q28" s="739" t="s">
        <v>1156</v>
      </c>
      <c r="R28" s="421">
        <v>334000</v>
      </c>
    </row>
    <row r="29" spans="1:18" s="418" customFormat="1" ht="12" x14ac:dyDescent="0.2">
      <c r="A29" s="740">
        <v>3.3</v>
      </c>
      <c r="B29" s="746" t="s">
        <v>341</v>
      </c>
      <c r="C29" s="739" t="s">
        <v>1142</v>
      </c>
      <c r="D29" s="771" t="s">
        <v>981</v>
      </c>
      <c r="E29" s="792">
        <f>SUM(H29+K29)</f>
        <v>42674</v>
      </c>
      <c r="F29" s="792">
        <f t="shared" si="9"/>
        <v>20000</v>
      </c>
      <c r="G29" s="792"/>
      <c r="H29" s="792"/>
      <c r="I29" s="792"/>
      <c r="J29" s="792">
        <v>42687</v>
      </c>
      <c r="K29" s="792">
        <v>42674</v>
      </c>
      <c r="L29" s="793">
        <v>30000</v>
      </c>
      <c r="M29" s="792">
        <v>20000</v>
      </c>
      <c r="N29" s="792"/>
      <c r="O29" s="739" t="s">
        <v>1142</v>
      </c>
      <c r="P29" s="421">
        <v>20000</v>
      </c>
      <c r="Q29" s="739" t="s">
        <v>1142</v>
      </c>
      <c r="R29" s="421">
        <v>20000</v>
      </c>
    </row>
    <row r="30" spans="1:18" s="418" customFormat="1" ht="12" x14ac:dyDescent="0.2">
      <c r="A30" s="740"/>
      <c r="B30" s="746"/>
      <c r="C30" s="750"/>
      <c r="D30" s="756"/>
      <c r="E30" s="790">
        <f>SUM(H30+K30)</f>
        <v>0</v>
      </c>
      <c r="F30" s="790">
        <f t="shared" si="9"/>
        <v>0</v>
      </c>
      <c r="G30" s="790"/>
      <c r="H30" s="790"/>
      <c r="I30" s="790"/>
      <c r="J30" s="790"/>
      <c r="K30" s="790"/>
      <c r="L30" s="791"/>
      <c r="M30" s="790"/>
      <c r="N30" s="790"/>
      <c r="O30" s="420"/>
      <c r="P30" s="420"/>
      <c r="Q30" s="420"/>
      <c r="R30" s="420"/>
    </row>
    <row r="31" spans="1:18" s="418" customFormat="1" ht="12" x14ac:dyDescent="0.2">
      <c r="A31" s="742">
        <v>4</v>
      </c>
      <c r="B31" s="743" t="s">
        <v>342</v>
      </c>
      <c r="C31" s="744"/>
      <c r="D31" s="745"/>
      <c r="E31" s="788">
        <f t="shared" ref="E31:F31" si="10">SUM(E32:E37)</f>
        <v>140188</v>
      </c>
      <c r="F31" s="788">
        <f t="shared" si="10"/>
        <v>140700</v>
      </c>
      <c r="G31" s="788">
        <f>SUM(G32:G37)</f>
        <v>133041</v>
      </c>
      <c r="H31" s="788">
        <f t="shared" ref="H31:N31" si="11">SUM(H32:H37)</f>
        <v>130827</v>
      </c>
      <c r="I31" s="788">
        <f t="shared" si="11"/>
        <v>140700</v>
      </c>
      <c r="J31" s="788">
        <f t="shared" si="11"/>
        <v>9361</v>
      </c>
      <c r="K31" s="788">
        <f t="shared" si="11"/>
        <v>9361</v>
      </c>
      <c r="L31" s="789">
        <f>SUM(L32:L37)</f>
        <v>157700</v>
      </c>
      <c r="M31" s="788">
        <f>SUM(M32:M37)</f>
        <v>0</v>
      </c>
      <c r="N31" s="788">
        <f t="shared" si="11"/>
        <v>0</v>
      </c>
      <c r="O31" s="419"/>
      <c r="P31" s="419">
        <f>SUM(P32:P37)</f>
        <v>126874.74362126568</v>
      </c>
      <c r="Q31" s="419"/>
      <c r="R31" s="419">
        <f>SUM(R32:R37)</f>
        <v>126875</v>
      </c>
    </row>
    <row r="32" spans="1:18" s="418" customFormat="1" ht="12" x14ac:dyDescent="0.2">
      <c r="A32" s="740">
        <v>4.0999999999999996</v>
      </c>
      <c r="B32" s="757" t="s">
        <v>983</v>
      </c>
      <c r="C32" s="758" t="s">
        <v>1143</v>
      </c>
      <c r="D32" s="756" t="s">
        <v>981</v>
      </c>
      <c r="E32" s="790">
        <f t="shared" ref="E32:E37" si="12">SUM(H32+K32)</f>
        <v>40572</v>
      </c>
      <c r="F32" s="790">
        <f t="shared" si="9"/>
        <v>35000</v>
      </c>
      <c r="G32" s="790">
        <v>39748</v>
      </c>
      <c r="H32" s="790">
        <v>39748</v>
      </c>
      <c r="I32" s="790">
        <v>35000</v>
      </c>
      <c r="J32" s="790">
        <f>40572-39748</f>
        <v>824</v>
      </c>
      <c r="K32" s="790">
        <f>40572-39748</f>
        <v>824</v>
      </c>
      <c r="L32" s="791">
        <v>42000</v>
      </c>
      <c r="M32" s="790"/>
      <c r="N32" s="790"/>
      <c r="O32" s="750" t="s">
        <v>1143</v>
      </c>
      <c r="P32" s="420">
        <v>35000</v>
      </c>
      <c r="Q32" s="750" t="s">
        <v>1143</v>
      </c>
      <c r="R32" s="420">
        <v>35000</v>
      </c>
    </row>
    <row r="33" spans="1:18" s="418" customFormat="1" ht="12" x14ac:dyDescent="0.2">
      <c r="A33" s="740">
        <v>4.2</v>
      </c>
      <c r="B33" s="746" t="s">
        <v>343</v>
      </c>
      <c r="C33" s="758" t="s">
        <v>1144</v>
      </c>
      <c r="D33" s="771" t="s">
        <v>981</v>
      </c>
      <c r="E33" s="792">
        <f t="shared" si="12"/>
        <v>59854</v>
      </c>
      <c r="F33" s="792">
        <f t="shared" si="9"/>
        <v>55000</v>
      </c>
      <c r="G33" s="792">
        <v>59854</v>
      </c>
      <c r="H33" s="792">
        <v>59854</v>
      </c>
      <c r="I33" s="792">
        <v>55000</v>
      </c>
      <c r="J33" s="792">
        <f>59854-59854</f>
        <v>0</v>
      </c>
      <c r="K33" s="792">
        <f>59854-59854</f>
        <v>0</v>
      </c>
      <c r="L33" s="793">
        <v>60000</v>
      </c>
      <c r="M33" s="792"/>
      <c r="N33" s="792"/>
      <c r="O33" s="758" t="s">
        <v>1157</v>
      </c>
      <c r="P33" s="421">
        <v>64029</v>
      </c>
      <c r="Q33" s="758" t="s">
        <v>1157</v>
      </c>
      <c r="R33" s="421">
        <v>64029</v>
      </c>
    </row>
    <row r="34" spans="1:18" s="418" customFormat="1" ht="12" x14ac:dyDescent="0.2">
      <c r="A34" s="740">
        <v>4.3</v>
      </c>
      <c r="B34" s="759" t="s">
        <v>344</v>
      </c>
      <c r="C34" s="739" t="s">
        <v>1145</v>
      </c>
      <c r="D34" s="756" t="s">
        <v>981</v>
      </c>
      <c r="E34" s="790">
        <f t="shared" si="12"/>
        <v>604</v>
      </c>
      <c r="F34" s="790">
        <f>SUM(I34+M34+N34)</f>
        <v>700</v>
      </c>
      <c r="G34" s="790">
        <v>712</v>
      </c>
      <c r="H34" s="790">
        <v>604</v>
      </c>
      <c r="I34" s="790">
        <v>700</v>
      </c>
      <c r="J34" s="790">
        <f>712-712</f>
        <v>0</v>
      </c>
      <c r="K34" s="790">
        <f>604-604</f>
        <v>0</v>
      </c>
      <c r="L34" s="791">
        <v>700</v>
      </c>
      <c r="M34" s="790"/>
      <c r="N34" s="790"/>
      <c r="O34" s="750" t="s">
        <v>1146</v>
      </c>
      <c r="P34" s="420">
        <f>2000/0.702804</f>
        <v>2845.743621265673</v>
      </c>
      <c r="Q34" s="750" t="s">
        <v>1146</v>
      </c>
      <c r="R34" s="420">
        <v>2846</v>
      </c>
    </row>
    <row r="35" spans="1:18" s="418" customFormat="1" ht="13.5" customHeight="1" x14ac:dyDescent="0.2">
      <c r="A35" s="740">
        <v>4.4000000000000004</v>
      </c>
      <c r="B35" s="759" t="s">
        <v>345</v>
      </c>
      <c r="C35" s="739"/>
      <c r="D35" s="756" t="s">
        <v>984</v>
      </c>
      <c r="E35" s="790">
        <f t="shared" si="12"/>
        <v>6694</v>
      </c>
      <c r="F35" s="790">
        <f t="shared" si="9"/>
        <v>25000</v>
      </c>
      <c r="G35" s="790">
        <v>4269</v>
      </c>
      <c r="H35" s="790">
        <v>4269</v>
      </c>
      <c r="I35" s="790">
        <v>25000</v>
      </c>
      <c r="J35" s="790">
        <f>6694-4269</f>
        <v>2425</v>
      </c>
      <c r="K35" s="790">
        <f>6694-4269</f>
        <v>2425</v>
      </c>
      <c r="L35" s="791">
        <v>25000</v>
      </c>
      <c r="M35" s="790"/>
      <c r="N35" s="790"/>
      <c r="O35" s="750"/>
      <c r="P35" s="420"/>
      <c r="Q35" s="750"/>
      <c r="R35" s="420"/>
    </row>
    <row r="36" spans="1:18" s="418" customFormat="1" ht="12" x14ac:dyDescent="0.2">
      <c r="A36" s="1033">
        <v>4.5</v>
      </c>
      <c r="B36" s="1032" t="s">
        <v>346</v>
      </c>
      <c r="C36" s="739" t="s">
        <v>1147</v>
      </c>
      <c r="D36" s="756" t="s">
        <v>985</v>
      </c>
      <c r="E36" s="790">
        <f t="shared" si="12"/>
        <v>26352</v>
      </c>
      <c r="F36" s="790">
        <f t="shared" si="9"/>
        <v>25000</v>
      </c>
      <c r="G36" s="790">
        <v>28458</v>
      </c>
      <c r="H36" s="790">
        <v>26352</v>
      </c>
      <c r="I36" s="790">
        <v>25000</v>
      </c>
      <c r="J36" s="790">
        <f>28458-28458</f>
        <v>0</v>
      </c>
      <c r="K36" s="790">
        <f>26352-26352</f>
        <v>0</v>
      </c>
      <c r="L36" s="791">
        <v>30000</v>
      </c>
      <c r="M36" s="790"/>
      <c r="N36" s="790"/>
      <c r="O36" s="750" t="s">
        <v>1147</v>
      </c>
      <c r="P36" s="420">
        <v>25000</v>
      </c>
      <c r="Q36" s="750" t="s">
        <v>1147</v>
      </c>
      <c r="R36" s="420">
        <v>25000</v>
      </c>
    </row>
    <row r="37" spans="1:18" s="418" customFormat="1" ht="12" x14ac:dyDescent="0.2">
      <c r="A37" s="1033"/>
      <c r="B37" s="1032"/>
      <c r="C37" s="750"/>
      <c r="D37" s="756" t="s">
        <v>984</v>
      </c>
      <c r="E37" s="790">
        <f t="shared" si="12"/>
        <v>6112</v>
      </c>
      <c r="F37" s="790">
        <f t="shared" si="9"/>
        <v>0</v>
      </c>
      <c r="G37" s="790"/>
      <c r="H37" s="790"/>
      <c r="I37" s="790"/>
      <c r="J37" s="790">
        <v>6112</v>
      </c>
      <c r="K37" s="790">
        <v>6112</v>
      </c>
      <c r="L37" s="791"/>
      <c r="M37" s="790"/>
      <c r="N37" s="790"/>
      <c r="O37" s="750"/>
      <c r="P37" s="420"/>
      <c r="Q37" s="750"/>
      <c r="R37" s="420"/>
    </row>
    <row r="38" spans="1:18" s="418" customFormat="1" ht="12" x14ac:dyDescent="0.2">
      <c r="A38" s="779">
        <v>5</v>
      </c>
      <c r="B38" s="743" t="s">
        <v>986</v>
      </c>
      <c r="C38" s="779"/>
      <c r="D38" s="796"/>
      <c r="E38" s="788">
        <f t="shared" ref="E38:H38" si="13">SUM(E39:E39)</f>
        <v>0</v>
      </c>
      <c r="F38" s="788">
        <f t="shared" si="13"/>
        <v>0</v>
      </c>
      <c r="G38" s="788">
        <f t="shared" si="13"/>
        <v>0</v>
      </c>
      <c r="H38" s="788">
        <f t="shared" si="13"/>
        <v>0</v>
      </c>
      <c r="I38" s="788">
        <f>SUM(I39:I39)</f>
        <v>0</v>
      </c>
      <c r="J38" s="788">
        <f t="shared" ref="J38:L38" si="14">SUM(J39:J39)</f>
        <v>0</v>
      </c>
      <c r="K38" s="788">
        <f t="shared" si="14"/>
        <v>0</v>
      </c>
      <c r="L38" s="788">
        <f t="shared" si="14"/>
        <v>120000</v>
      </c>
      <c r="M38" s="788">
        <f>SUM(M39:M39)</f>
        <v>0</v>
      </c>
      <c r="N38" s="788">
        <f>SUM(N39:N39)</f>
        <v>0</v>
      </c>
      <c r="O38" s="419"/>
      <c r="P38" s="419">
        <f>SUM(P39:P39)</f>
        <v>56915</v>
      </c>
      <c r="Q38" s="419"/>
      <c r="R38" s="419">
        <f>SUM(R39:R39)</f>
        <v>71144</v>
      </c>
    </row>
    <row r="39" spans="1:18" s="418" customFormat="1" ht="12" x14ac:dyDescent="0.2">
      <c r="A39" s="781">
        <v>5.0999999999999996</v>
      </c>
      <c r="B39" s="797" t="s">
        <v>347</v>
      </c>
      <c r="C39" s="781"/>
      <c r="D39" s="780" t="s">
        <v>980</v>
      </c>
      <c r="E39" s="792">
        <f>SUM(H39+K39)</f>
        <v>0</v>
      </c>
      <c r="F39" s="792">
        <f t="shared" si="9"/>
        <v>0</v>
      </c>
      <c r="G39" s="792"/>
      <c r="H39" s="792"/>
      <c r="I39" s="790"/>
      <c r="J39" s="790"/>
      <c r="K39" s="790"/>
      <c r="L39" s="790">
        <v>120000</v>
      </c>
      <c r="M39" s="790"/>
      <c r="N39" s="790"/>
      <c r="O39" s="750" t="s">
        <v>987</v>
      </c>
      <c r="P39" s="420">
        <v>56915</v>
      </c>
      <c r="Q39" s="750" t="s">
        <v>987</v>
      </c>
      <c r="R39" s="420">
        <v>71144</v>
      </c>
    </row>
    <row r="40" spans="1:18" s="418" customFormat="1" ht="12" x14ac:dyDescent="0.2">
      <c r="A40" s="940"/>
      <c r="B40" s="941"/>
      <c r="C40" s="942"/>
      <c r="D40" s="943"/>
      <c r="E40" s="944"/>
      <c r="F40" s="944"/>
      <c r="G40" s="944"/>
      <c r="H40" s="944"/>
      <c r="I40" s="945"/>
      <c r="J40" s="945"/>
      <c r="K40" s="945"/>
      <c r="L40" s="945"/>
      <c r="M40" s="945"/>
      <c r="N40" s="945"/>
      <c r="O40" s="946"/>
      <c r="P40" s="947"/>
      <c r="Q40" s="946"/>
      <c r="R40" s="948"/>
    </row>
    <row r="41" spans="1:18" s="418" customFormat="1" ht="23.25" customHeight="1" x14ac:dyDescent="0.2">
      <c r="A41" s="1024" t="s">
        <v>1166</v>
      </c>
      <c r="B41" s="1025"/>
      <c r="C41" s="938"/>
      <c r="D41" s="938"/>
      <c r="E41" s="749"/>
      <c r="F41" s="749"/>
      <c r="G41" s="748"/>
      <c r="H41" s="748"/>
      <c r="I41" s="748"/>
      <c r="J41" s="748"/>
      <c r="K41" s="748"/>
      <c r="L41" s="785"/>
      <c r="M41" s="748"/>
      <c r="N41" s="748"/>
      <c r="O41" s="748"/>
      <c r="P41" s="748"/>
      <c r="Q41" s="748"/>
      <c r="R41" s="939"/>
    </row>
    <row r="42" spans="1:18" s="418" customFormat="1" ht="12" x14ac:dyDescent="0.2">
      <c r="A42" s="1026"/>
      <c r="B42" s="1027"/>
      <c r="C42" s="1027"/>
      <c r="D42" s="741" t="s">
        <v>1194</v>
      </c>
      <c r="E42" s="794">
        <f t="shared" ref="E42:F42" si="15">SUM(E43)</f>
        <v>1717008</v>
      </c>
      <c r="F42" s="794">
        <f t="shared" si="15"/>
        <v>1705494</v>
      </c>
      <c r="G42" s="794">
        <f>SUM(G43)</f>
        <v>504216</v>
      </c>
      <c r="H42" s="794">
        <f t="shared" ref="H42:R42" si="16">SUM(H43)</f>
        <v>504216</v>
      </c>
      <c r="I42" s="794">
        <f t="shared" si="16"/>
        <v>647702</v>
      </c>
      <c r="J42" s="794">
        <f t="shared" si="16"/>
        <v>1212792</v>
      </c>
      <c r="K42" s="794">
        <f t="shared" si="16"/>
        <v>1212792</v>
      </c>
      <c r="L42" s="795">
        <f t="shared" si="16"/>
        <v>1717008</v>
      </c>
      <c r="M42" s="794">
        <f t="shared" si="16"/>
        <v>1057792</v>
      </c>
      <c r="N42" s="794">
        <f t="shared" si="16"/>
        <v>0</v>
      </c>
      <c r="O42" s="588">
        <f t="shared" si="16"/>
        <v>0</v>
      </c>
      <c r="P42" s="588">
        <f t="shared" si="16"/>
        <v>1717008</v>
      </c>
      <c r="Q42" s="588">
        <f t="shared" si="16"/>
        <v>0</v>
      </c>
      <c r="R42" s="588">
        <f t="shared" si="16"/>
        <v>1717008</v>
      </c>
    </row>
    <row r="43" spans="1:18" s="418" customFormat="1" ht="12" x14ac:dyDescent="0.2">
      <c r="A43" s="742">
        <v>1</v>
      </c>
      <c r="B43" s="743" t="s">
        <v>988</v>
      </c>
      <c r="C43" s="744"/>
      <c r="D43" s="745"/>
      <c r="E43" s="788">
        <f t="shared" ref="E43:H43" si="17">SUM(E44:E44)</f>
        <v>1717008</v>
      </c>
      <c r="F43" s="788">
        <f t="shared" si="17"/>
        <v>1705494</v>
      </c>
      <c r="G43" s="788">
        <f t="shared" si="17"/>
        <v>504216</v>
      </c>
      <c r="H43" s="788">
        <f t="shared" si="17"/>
        <v>504216</v>
      </c>
      <c r="I43" s="788">
        <f>SUM(I44:I44)</f>
        <v>647702</v>
      </c>
      <c r="J43" s="788">
        <f t="shared" ref="J43:R43" si="18">SUM(J44:J44)</f>
        <v>1212792</v>
      </c>
      <c r="K43" s="788">
        <f t="shared" si="18"/>
        <v>1212792</v>
      </c>
      <c r="L43" s="789">
        <f t="shared" si="18"/>
        <v>1717008</v>
      </c>
      <c r="M43" s="788">
        <f t="shared" si="18"/>
        <v>1057792</v>
      </c>
      <c r="N43" s="788">
        <f t="shared" si="18"/>
        <v>0</v>
      </c>
      <c r="O43" s="419"/>
      <c r="P43" s="419">
        <f t="shared" si="18"/>
        <v>1717008</v>
      </c>
      <c r="Q43" s="419"/>
      <c r="R43" s="419">
        <f t="shared" si="18"/>
        <v>1717008</v>
      </c>
    </row>
    <row r="44" spans="1:18" s="418" customFormat="1" ht="36" x14ac:dyDescent="0.2">
      <c r="A44" s="740">
        <v>1.1000000000000001</v>
      </c>
      <c r="B44" s="746" t="s">
        <v>989</v>
      </c>
      <c r="C44" s="740" t="s">
        <v>1158</v>
      </c>
      <c r="D44" s="747" t="s">
        <v>990</v>
      </c>
      <c r="E44" s="792">
        <f>SUM(H44+K44)</f>
        <v>1717008</v>
      </c>
      <c r="F44" s="792">
        <f t="shared" ref="F44" si="19">SUM(I44+M44+N44)</f>
        <v>1705494</v>
      </c>
      <c r="G44" s="792">
        <v>504216</v>
      </c>
      <c r="H44" s="792">
        <v>504216</v>
      </c>
      <c r="I44" s="792">
        <f>504216-11514+155000</f>
        <v>647702</v>
      </c>
      <c r="J44" s="792">
        <f>1717008-504216</f>
        <v>1212792</v>
      </c>
      <c r="K44" s="792">
        <f>1717008-504216</f>
        <v>1212792</v>
      </c>
      <c r="L44" s="793">
        <v>1717008</v>
      </c>
      <c r="M44" s="792">
        <f>1212792-155000</f>
        <v>1057792</v>
      </c>
      <c r="N44" s="790"/>
      <c r="O44" s="740" t="s">
        <v>1158</v>
      </c>
      <c r="P44" s="421">
        <v>1717008</v>
      </c>
      <c r="Q44" s="740" t="s">
        <v>1158</v>
      </c>
      <c r="R44" s="421">
        <v>1717008</v>
      </c>
    </row>
    <row r="46" spans="1:18" x14ac:dyDescent="0.25">
      <c r="A46" s="407"/>
      <c r="B46" s="408"/>
    </row>
    <row r="47" spans="1:18" x14ac:dyDescent="0.25">
      <c r="A47" s="407"/>
      <c r="B47" s="408"/>
    </row>
  </sheetData>
  <mergeCells count="15">
    <mergeCell ref="N1:R1"/>
    <mergeCell ref="P5:Q5"/>
    <mergeCell ref="C6:Q6"/>
    <mergeCell ref="A8:A9"/>
    <mergeCell ref="B8:B9"/>
    <mergeCell ref="O8:P8"/>
    <mergeCell ref="Q8:R8"/>
    <mergeCell ref="C8:C9"/>
    <mergeCell ref="D8:D9"/>
    <mergeCell ref="A41:B41"/>
    <mergeCell ref="A42:C42"/>
    <mergeCell ref="A11:B11"/>
    <mergeCell ref="A12:B12"/>
    <mergeCell ref="B36:B37"/>
    <mergeCell ref="A36:A37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</sheetPr>
  <dimension ref="A1:K46"/>
  <sheetViews>
    <sheetView zoomScaleNormal="100" workbookViewId="0">
      <selection activeCell="B2" sqref="B2"/>
    </sheetView>
  </sheetViews>
  <sheetFormatPr defaultRowHeight="12" x14ac:dyDescent="0.25"/>
  <cols>
    <col min="1" max="1" width="3.42578125" style="353" customWidth="1"/>
    <col min="2" max="2" width="54.140625" style="353" customWidth="1"/>
    <col min="3" max="3" width="10.85546875" style="353" hidden="1" customWidth="1"/>
    <col min="4" max="4" width="10" style="337" hidden="1" customWidth="1"/>
    <col min="5" max="5" width="10.5703125" style="353" hidden="1" customWidth="1"/>
    <col min="6" max="6" width="9.7109375" style="353" hidden="1" customWidth="1"/>
    <col min="7" max="7" width="10.7109375" style="366" hidden="1" customWidth="1"/>
    <col min="8" max="8" width="10" style="366" hidden="1" customWidth="1"/>
    <col min="9" max="9" width="10.5703125" style="353" customWidth="1"/>
    <col min="10" max="10" width="10.85546875" style="353" customWidth="1"/>
    <col min="11" max="11" width="9.7109375" style="353" customWidth="1"/>
    <col min="12" max="12" width="8.42578125" style="353" customWidth="1"/>
    <col min="13" max="251" width="9.140625" style="353"/>
    <col min="252" max="252" width="6.140625" style="353" customWidth="1"/>
    <col min="253" max="253" width="31.7109375" style="353" customWidth="1"/>
    <col min="254" max="255" width="11.85546875" style="353" customWidth="1"/>
    <col min="256" max="258" width="11.140625" style="353" customWidth="1"/>
    <col min="259" max="259" width="11.5703125" style="353" customWidth="1"/>
    <col min="260" max="260" width="10.5703125" style="353" customWidth="1"/>
    <col min="261" max="261" width="9.7109375" style="353" customWidth="1"/>
    <col min="262" max="262" width="36.5703125" style="353" customWidth="1"/>
    <col min="263" max="263" width="17.42578125" style="353" customWidth="1"/>
    <col min="264" max="507" width="9.140625" style="353"/>
    <col min="508" max="508" width="6.140625" style="353" customWidth="1"/>
    <col min="509" max="509" width="31.7109375" style="353" customWidth="1"/>
    <col min="510" max="511" width="11.85546875" style="353" customWidth="1"/>
    <col min="512" max="514" width="11.140625" style="353" customWidth="1"/>
    <col min="515" max="515" width="11.5703125" style="353" customWidth="1"/>
    <col min="516" max="516" width="10.5703125" style="353" customWidth="1"/>
    <col min="517" max="517" width="9.7109375" style="353" customWidth="1"/>
    <col min="518" max="518" width="36.5703125" style="353" customWidth="1"/>
    <col min="519" max="519" width="17.42578125" style="353" customWidth="1"/>
    <col min="520" max="763" width="9.140625" style="353"/>
    <col min="764" max="764" width="6.140625" style="353" customWidth="1"/>
    <col min="765" max="765" width="31.7109375" style="353" customWidth="1"/>
    <col min="766" max="767" width="11.85546875" style="353" customWidth="1"/>
    <col min="768" max="770" width="11.140625" style="353" customWidth="1"/>
    <col min="771" max="771" width="11.5703125" style="353" customWidth="1"/>
    <col min="772" max="772" width="10.5703125" style="353" customWidth="1"/>
    <col min="773" max="773" width="9.7109375" style="353" customWidth="1"/>
    <col min="774" max="774" width="36.5703125" style="353" customWidth="1"/>
    <col min="775" max="775" width="17.42578125" style="353" customWidth="1"/>
    <col min="776" max="1019" width="9.140625" style="353"/>
    <col min="1020" max="1020" width="6.140625" style="353" customWidth="1"/>
    <col min="1021" max="1021" width="31.7109375" style="353" customWidth="1"/>
    <col min="1022" max="1023" width="11.85546875" style="353" customWidth="1"/>
    <col min="1024" max="1026" width="11.140625" style="353" customWidth="1"/>
    <col min="1027" max="1027" width="11.5703125" style="353" customWidth="1"/>
    <col min="1028" max="1028" width="10.5703125" style="353" customWidth="1"/>
    <col min="1029" max="1029" width="9.7109375" style="353" customWidth="1"/>
    <col min="1030" max="1030" width="36.5703125" style="353" customWidth="1"/>
    <col min="1031" max="1031" width="17.42578125" style="353" customWidth="1"/>
    <col min="1032" max="1275" width="9.140625" style="353"/>
    <col min="1276" max="1276" width="6.140625" style="353" customWidth="1"/>
    <col min="1277" max="1277" width="31.7109375" style="353" customWidth="1"/>
    <col min="1278" max="1279" width="11.85546875" style="353" customWidth="1"/>
    <col min="1280" max="1282" width="11.140625" style="353" customWidth="1"/>
    <col min="1283" max="1283" width="11.5703125" style="353" customWidth="1"/>
    <col min="1284" max="1284" width="10.5703125" style="353" customWidth="1"/>
    <col min="1285" max="1285" width="9.7109375" style="353" customWidth="1"/>
    <col min="1286" max="1286" width="36.5703125" style="353" customWidth="1"/>
    <col min="1287" max="1287" width="17.42578125" style="353" customWidth="1"/>
    <col min="1288" max="1531" width="9.140625" style="353"/>
    <col min="1532" max="1532" width="6.140625" style="353" customWidth="1"/>
    <col min="1533" max="1533" width="31.7109375" style="353" customWidth="1"/>
    <col min="1534" max="1535" width="11.85546875" style="353" customWidth="1"/>
    <col min="1536" max="1538" width="11.140625" style="353" customWidth="1"/>
    <col min="1539" max="1539" width="11.5703125" style="353" customWidth="1"/>
    <col min="1540" max="1540" width="10.5703125" style="353" customWidth="1"/>
    <col min="1541" max="1541" width="9.7109375" style="353" customWidth="1"/>
    <col min="1542" max="1542" width="36.5703125" style="353" customWidth="1"/>
    <col min="1543" max="1543" width="17.42578125" style="353" customWidth="1"/>
    <col min="1544" max="1787" width="9.140625" style="353"/>
    <col min="1788" max="1788" width="6.140625" style="353" customWidth="1"/>
    <col min="1789" max="1789" width="31.7109375" style="353" customWidth="1"/>
    <col min="1790" max="1791" width="11.85546875" style="353" customWidth="1"/>
    <col min="1792" max="1794" width="11.140625" style="353" customWidth="1"/>
    <col min="1795" max="1795" width="11.5703125" style="353" customWidth="1"/>
    <col min="1796" max="1796" width="10.5703125" style="353" customWidth="1"/>
    <col min="1797" max="1797" width="9.7109375" style="353" customWidth="1"/>
    <col min="1798" max="1798" width="36.5703125" style="353" customWidth="1"/>
    <col min="1799" max="1799" width="17.42578125" style="353" customWidth="1"/>
    <col min="1800" max="2043" width="9.140625" style="353"/>
    <col min="2044" max="2044" width="6.140625" style="353" customWidth="1"/>
    <col min="2045" max="2045" width="31.7109375" style="353" customWidth="1"/>
    <col min="2046" max="2047" width="11.85546875" style="353" customWidth="1"/>
    <col min="2048" max="2050" width="11.140625" style="353" customWidth="1"/>
    <col min="2051" max="2051" width="11.5703125" style="353" customWidth="1"/>
    <col min="2052" max="2052" width="10.5703125" style="353" customWidth="1"/>
    <col min="2053" max="2053" width="9.7109375" style="353" customWidth="1"/>
    <col min="2054" max="2054" width="36.5703125" style="353" customWidth="1"/>
    <col min="2055" max="2055" width="17.42578125" style="353" customWidth="1"/>
    <col min="2056" max="2299" width="9.140625" style="353"/>
    <col min="2300" max="2300" width="6.140625" style="353" customWidth="1"/>
    <col min="2301" max="2301" width="31.7109375" style="353" customWidth="1"/>
    <col min="2302" max="2303" width="11.85546875" style="353" customWidth="1"/>
    <col min="2304" max="2306" width="11.140625" style="353" customWidth="1"/>
    <col min="2307" max="2307" width="11.5703125" style="353" customWidth="1"/>
    <col min="2308" max="2308" width="10.5703125" style="353" customWidth="1"/>
    <col min="2309" max="2309" width="9.7109375" style="353" customWidth="1"/>
    <col min="2310" max="2310" width="36.5703125" style="353" customWidth="1"/>
    <col min="2311" max="2311" width="17.42578125" style="353" customWidth="1"/>
    <col min="2312" max="2555" width="9.140625" style="353"/>
    <col min="2556" max="2556" width="6.140625" style="353" customWidth="1"/>
    <col min="2557" max="2557" width="31.7109375" style="353" customWidth="1"/>
    <col min="2558" max="2559" width="11.85546875" style="353" customWidth="1"/>
    <col min="2560" max="2562" width="11.140625" style="353" customWidth="1"/>
    <col min="2563" max="2563" width="11.5703125" style="353" customWidth="1"/>
    <col min="2564" max="2564" width="10.5703125" style="353" customWidth="1"/>
    <col min="2565" max="2565" width="9.7109375" style="353" customWidth="1"/>
    <col min="2566" max="2566" width="36.5703125" style="353" customWidth="1"/>
    <col min="2567" max="2567" width="17.42578125" style="353" customWidth="1"/>
    <col min="2568" max="2811" width="9.140625" style="353"/>
    <col min="2812" max="2812" width="6.140625" style="353" customWidth="1"/>
    <col min="2813" max="2813" width="31.7109375" style="353" customWidth="1"/>
    <col min="2814" max="2815" width="11.85546875" style="353" customWidth="1"/>
    <col min="2816" max="2818" width="11.140625" style="353" customWidth="1"/>
    <col min="2819" max="2819" width="11.5703125" style="353" customWidth="1"/>
    <col min="2820" max="2820" width="10.5703125" style="353" customWidth="1"/>
    <col min="2821" max="2821" width="9.7109375" style="353" customWidth="1"/>
    <col min="2822" max="2822" width="36.5703125" style="353" customWidth="1"/>
    <col min="2823" max="2823" width="17.42578125" style="353" customWidth="1"/>
    <col min="2824" max="3067" width="9.140625" style="353"/>
    <col min="3068" max="3068" width="6.140625" style="353" customWidth="1"/>
    <col min="3069" max="3069" width="31.7109375" style="353" customWidth="1"/>
    <col min="3070" max="3071" width="11.85546875" style="353" customWidth="1"/>
    <col min="3072" max="3074" width="11.140625" style="353" customWidth="1"/>
    <col min="3075" max="3075" width="11.5703125" style="353" customWidth="1"/>
    <col min="3076" max="3076" width="10.5703125" style="353" customWidth="1"/>
    <col min="3077" max="3077" width="9.7109375" style="353" customWidth="1"/>
    <col min="3078" max="3078" width="36.5703125" style="353" customWidth="1"/>
    <col min="3079" max="3079" width="17.42578125" style="353" customWidth="1"/>
    <col min="3080" max="3323" width="9.140625" style="353"/>
    <col min="3324" max="3324" width="6.140625" style="353" customWidth="1"/>
    <col min="3325" max="3325" width="31.7109375" style="353" customWidth="1"/>
    <col min="3326" max="3327" width="11.85546875" style="353" customWidth="1"/>
    <col min="3328" max="3330" width="11.140625" style="353" customWidth="1"/>
    <col min="3331" max="3331" width="11.5703125" style="353" customWidth="1"/>
    <col min="3332" max="3332" width="10.5703125" style="353" customWidth="1"/>
    <col min="3333" max="3333" width="9.7109375" style="353" customWidth="1"/>
    <col min="3334" max="3334" width="36.5703125" style="353" customWidth="1"/>
    <col min="3335" max="3335" width="17.42578125" style="353" customWidth="1"/>
    <col min="3336" max="3579" width="9.140625" style="353"/>
    <col min="3580" max="3580" width="6.140625" style="353" customWidth="1"/>
    <col min="3581" max="3581" width="31.7109375" style="353" customWidth="1"/>
    <col min="3582" max="3583" width="11.85546875" style="353" customWidth="1"/>
    <col min="3584" max="3586" width="11.140625" style="353" customWidth="1"/>
    <col min="3587" max="3587" width="11.5703125" style="353" customWidth="1"/>
    <col min="3588" max="3588" width="10.5703125" style="353" customWidth="1"/>
    <col min="3589" max="3589" width="9.7109375" style="353" customWidth="1"/>
    <col min="3590" max="3590" width="36.5703125" style="353" customWidth="1"/>
    <col min="3591" max="3591" width="17.42578125" style="353" customWidth="1"/>
    <col min="3592" max="3835" width="9.140625" style="353"/>
    <col min="3836" max="3836" width="6.140625" style="353" customWidth="1"/>
    <col min="3837" max="3837" width="31.7109375" style="353" customWidth="1"/>
    <col min="3838" max="3839" width="11.85546875" style="353" customWidth="1"/>
    <col min="3840" max="3842" width="11.140625" style="353" customWidth="1"/>
    <col min="3843" max="3843" width="11.5703125" style="353" customWidth="1"/>
    <col min="3844" max="3844" width="10.5703125" style="353" customWidth="1"/>
    <col min="3845" max="3845" width="9.7109375" style="353" customWidth="1"/>
    <col min="3846" max="3846" width="36.5703125" style="353" customWidth="1"/>
    <col min="3847" max="3847" width="17.42578125" style="353" customWidth="1"/>
    <col min="3848" max="4091" width="9.140625" style="353"/>
    <col min="4092" max="4092" width="6.140625" style="353" customWidth="1"/>
    <col min="4093" max="4093" width="31.7109375" style="353" customWidth="1"/>
    <col min="4094" max="4095" width="11.85546875" style="353" customWidth="1"/>
    <col min="4096" max="4098" width="11.140625" style="353" customWidth="1"/>
    <col min="4099" max="4099" width="11.5703125" style="353" customWidth="1"/>
    <col min="4100" max="4100" width="10.5703125" style="353" customWidth="1"/>
    <col min="4101" max="4101" width="9.7109375" style="353" customWidth="1"/>
    <col min="4102" max="4102" width="36.5703125" style="353" customWidth="1"/>
    <col min="4103" max="4103" width="17.42578125" style="353" customWidth="1"/>
    <col min="4104" max="4347" width="9.140625" style="353"/>
    <col min="4348" max="4348" width="6.140625" style="353" customWidth="1"/>
    <col min="4349" max="4349" width="31.7109375" style="353" customWidth="1"/>
    <col min="4350" max="4351" width="11.85546875" style="353" customWidth="1"/>
    <col min="4352" max="4354" width="11.140625" style="353" customWidth="1"/>
    <col min="4355" max="4355" width="11.5703125" style="353" customWidth="1"/>
    <col min="4356" max="4356" width="10.5703125" style="353" customWidth="1"/>
    <col min="4357" max="4357" width="9.7109375" style="353" customWidth="1"/>
    <col min="4358" max="4358" width="36.5703125" style="353" customWidth="1"/>
    <col min="4359" max="4359" width="17.42578125" style="353" customWidth="1"/>
    <col min="4360" max="4603" width="9.140625" style="353"/>
    <col min="4604" max="4604" width="6.140625" style="353" customWidth="1"/>
    <col min="4605" max="4605" width="31.7109375" style="353" customWidth="1"/>
    <col min="4606" max="4607" width="11.85546875" style="353" customWidth="1"/>
    <col min="4608" max="4610" width="11.140625" style="353" customWidth="1"/>
    <col min="4611" max="4611" width="11.5703125" style="353" customWidth="1"/>
    <col min="4612" max="4612" width="10.5703125" style="353" customWidth="1"/>
    <col min="4613" max="4613" width="9.7109375" style="353" customWidth="1"/>
    <col min="4614" max="4614" width="36.5703125" style="353" customWidth="1"/>
    <col min="4615" max="4615" width="17.42578125" style="353" customWidth="1"/>
    <col min="4616" max="4859" width="9.140625" style="353"/>
    <col min="4860" max="4860" width="6.140625" style="353" customWidth="1"/>
    <col min="4861" max="4861" width="31.7109375" style="353" customWidth="1"/>
    <col min="4862" max="4863" width="11.85546875" style="353" customWidth="1"/>
    <col min="4864" max="4866" width="11.140625" style="353" customWidth="1"/>
    <col min="4867" max="4867" width="11.5703125" style="353" customWidth="1"/>
    <col min="4868" max="4868" width="10.5703125" style="353" customWidth="1"/>
    <col min="4869" max="4869" width="9.7109375" style="353" customWidth="1"/>
    <col min="4870" max="4870" width="36.5703125" style="353" customWidth="1"/>
    <col min="4871" max="4871" width="17.42578125" style="353" customWidth="1"/>
    <col min="4872" max="5115" width="9.140625" style="353"/>
    <col min="5116" max="5116" width="6.140625" style="353" customWidth="1"/>
    <col min="5117" max="5117" width="31.7109375" style="353" customWidth="1"/>
    <col min="5118" max="5119" width="11.85546875" style="353" customWidth="1"/>
    <col min="5120" max="5122" width="11.140625" style="353" customWidth="1"/>
    <col min="5123" max="5123" width="11.5703125" style="353" customWidth="1"/>
    <col min="5124" max="5124" width="10.5703125" style="353" customWidth="1"/>
    <col min="5125" max="5125" width="9.7109375" style="353" customWidth="1"/>
    <col min="5126" max="5126" width="36.5703125" style="353" customWidth="1"/>
    <col min="5127" max="5127" width="17.42578125" style="353" customWidth="1"/>
    <col min="5128" max="5371" width="9.140625" style="353"/>
    <col min="5372" max="5372" width="6.140625" style="353" customWidth="1"/>
    <col min="5373" max="5373" width="31.7109375" style="353" customWidth="1"/>
    <col min="5374" max="5375" width="11.85546875" style="353" customWidth="1"/>
    <col min="5376" max="5378" width="11.140625" style="353" customWidth="1"/>
    <col min="5379" max="5379" width="11.5703125" style="353" customWidth="1"/>
    <col min="5380" max="5380" width="10.5703125" style="353" customWidth="1"/>
    <col min="5381" max="5381" width="9.7109375" style="353" customWidth="1"/>
    <col min="5382" max="5382" width="36.5703125" style="353" customWidth="1"/>
    <col min="5383" max="5383" width="17.42578125" style="353" customWidth="1"/>
    <col min="5384" max="5627" width="9.140625" style="353"/>
    <col min="5628" max="5628" width="6.140625" style="353" customWidth="1"/>
    <col min="5629" max="5629" width="31.7109375" style="353" customWidth="1"/>
    <col min="5630" max="5631" width="11.85546875" style="353" customWidth="1"/>
    <col min="5632" max="5634" width="11.140625" style="353" customWidth="1"/>
    <col min="5635" max="5635" width="11.5703125" style="353" customWidth="1"/>
    <col min="5636" max="5636" width="10.5703125" style="353" customWidth="1"/>
    <col min="5637" max="5637" width="9.7109375" style="353" customWidth="1"/>
    <col min="5638" max="5638" width="36.5703125" style="353" customWidth="1"/>
    <col min="5639" max="5639" width="17.42578125" style="353" customWidth="1"/>
    <col min="5640" max="5883" width="9.140625" style="353"/>
    <col min="5884" max="5884" width="6.140625" style="353" customWidth="1"/>
    <col min="5885" max="5885" width="31.7109375" style="353" customWidth="1"/>
    <col min="5886" max="5887" width="11.85546875" style="353" customWidth="1"/>
    <col min="5888" max="5890" width="11.140625" style="353" customWidth="1"/>
    <col min="5891" max="5891" width="11.5703125" style="353" customWidth="1"/>
    <col min="5892" max="5892" width="10.5703125" style="353" customWidth="1"/>
    <col min="5893" max="5893" width="9.7109375" style="353" customWidth="1"/>
    <col min="5894" max="5894" width="36.5703125" style="353" customWidth="1"/>
    <col min="5895" max="5895" width="17.42578125" style="353" customWidth="1"/>
    <col min="5896" max="6139" width="9.140625" style="353"/>
    <col min="6140" max="6140" width="6.140625" style="353" customWidth="1"/>
    <col min="6141" max="6141" width="31.7109375" style="353" customWidth="1"/>
    <col min="6142" max="6143" width="11.85546875" style="353" customWidth="1"/>
    <col min="6144" max="6146" width="11.140625" style="353" customWidth="1"/>
    <col min="6147" max="6147" width="11.5703125" style="353" customWidth="1"/>
    <col min="6148" max="6148" width="10.5703125" style="353" customWidth="1"/>
    <col min="6149" max="6149" width="9.7109375" style="353" customWidth="1"/>
    <col min="6150" max="6150" width="36.5703125" style="353" customWidth="1"/>
    <col min="6151" max="6151" width="17.42578125" style="353" customWidth="1"/>
    <col min="6152" max="6395" width="9.140625" style="353"/>
    <col min="6396" max="6396" width="6.140625" style="353" customWidth="1"/>
    <col min="6397" max="6397" width="31.7109375" style="353" customWidth="1"/>
    <col min="6398" max="6399" width="11.85546875" style="353" customWidth="1"/>
    <col min="6400" max="6402" width="11.140625" style="353" customWidth="1"/>
    <col min="6403" max="6403" width="11.5703125" style="353" customWidth="1"/>
    <col min="6404" max="6404" width="10.5703125" style="353" customWidth="1"/>
    <col min="6405" max="6405" width="9.7109375" style="353" customWidth="1"/>
    <col min="6406" max="6406" width="36.5703125" style="353" customWidth="1"/>
    <col min="6407" max="6407" width="17.42578125" style="353" customWidth="1"/>
    <col min="6408" max="6651" width="9.140625" style="353"/>
    <col min="6652" max="6652" width="6.140625" style="353" customWidth="1"/>
    <col min="6653" max="6653" width="31.7109375" style="353" customWidth="1"/>
    <col min="6654" max="6655" width="11.85546875" style="353" customWidth="1"/>
    <col min="6656" max="6658" width="11.140625" style="353" customWidth="1"/>
    <col min="6659" max="6659" width="11.5703125" style="353" customWidth="1"/>
    <col min="6660" max="6660" width="10.5703125" style="353" customWidth="1"/>
    <col min="6661" max="6661" width="9.7109375" style="353" customWidth="1"/>
    <col min="6662" max="6662" width="36.5703125" style="353" customWidth="1"/>
    <col min="6663" max="6663" width="17.42578125" style="353" customWidth="1"/>
    <col min="6664" max="6907" width="9.140625" style="353"/>
    <col min="6908" max="6908" width="6.140625" style="353" customWidth="1"/>
    <col min="6909" max="6909" width="31.7109375" style="353" customWidth="1"/>
    <col min="6910" max="6911" width="11.85546875" style="353" customWidth="1"/>
    <col min="6912" max="6914" width="11.140625" style="353" customWidth="1"/>
    <col min="6915" max="6915" width="11.5703125" style="353" customWidth="1"/>
    <col min="6916" max="6916" width="10.5703125" style="353" customWidth="1"/>
    <col min="6917" max="6917" width="9.7109375" style="353" customWidth="1"/>
    <col min="6918" max="6918" width="36.5703125" style="353" customWidth="1"/>
    <col min="6919" max="6919" width="17.42578125" style="353" customWidth="1"/>
    <col min="6920" max="7163" width="9.140625" style="353"/>
    <col min="7164" max="7164" width="6.140625" style="353" customWidth="1"/>
    <col min="7165" max="7165" width="31.7109375" style="353" customWidth="1"/>
    <col min="7166" max="7167" width="11.85546875" style="353" customWidth="1"/>
    <col min="7168" max="7170" width="11.140625" style="353" customWidth="1"/>
    <col min="7171" max="7171" width="11.5703125" style="353" customWidth="1"/>
    <col min="7172" max="7172" width="10.5703125" style="353" customWidth="1"/>
    <col min="7173" max="7173" width="9.7109375" style="353" customWidth="1"/>
    <col min="7174" max="7174" width="36.5703125" style="353" customWidth="1"/>
    <col min="7175" max="7175" width="17.42578125" style="353" customWidth="1"/>
    <col min="7176" max="7419" width="9.140625" style="353"/>
    <col min="7420" max="7420" width="6.140625" style="353" customWidth="1"/>
    <col min="7421" max="7421" width="31.7109375" style="353" customWidth="1"/>
    <col min="7422" max="7423" width="11.85546875" style="353" customWidth="1"/>
    <col min="7424" max="7426" width="11.140625" style="353" customWidth="1"/>
    <col min="7427" max="7427" width="11.5703125" style="353" customWidth="1"/>
    <col min="7428" max="7428" width="10.5703125" style="353" customWidth="1"/>
    <col min="7429" max="7429" width="9.7109375" style="353" customWidth="1"/>
    <col min="7430" max="7430" width="36.5703125" style="353" customWidth="1"/>
    <col min="7431" max="7431" width="17.42578125" style="353" customWidth="1"/>
    <col min="7432" max="7675" width="9.140625" style="353"/>
    <col min="7676" max="7676" width="6.140625" style="353" customWidth="1"/>
    <col min="7677" max="7677" width="31.7109375" style="353" customWidth="1"/>
    <col min="7678" max="7679" width="11.85546875" style="353" customWidth="1"/>
    <col min="7680" max="7682" width="11.140625" style="353" customWidth="1"/>
    <col min="7683" max="7683" width="11.5703125" style="353" customWidth="1"/>
    <col min="7684" max="7684" width="10.5703125" style="353" customWidth="1"/>
    <col min="7685" max="7685" width="9.7109375" style="353" customWidth="1"/>
    <col min="7686" max="7686" width="36.5703125" style="353" customWidth="1"/>
    <col min="7687" max="7687" width="17.42578125" style="353" customWidth="1"/>
    <col min="7688" max="7931" width="9.140625" style="353"/>
    <col min="7932" max="7932" width="6.140625" style="353" customWidth="1"/>
    <col min="7933" max="7933" width="31.7109375" style="353" customWidth="1"/>
    <col min="7934" max="7935" width="11.85546875" style="353" customWidth="1"/>
    <col min="7936" max="7938" width="11.140625" style="353" customWidth="1"/>
    <col min="7939" max="7939" width="11.5703125" style="353" customWidth="1"/>
    <col min="7940" max="7940" width="10.5703125" style="353" customWidth="1"/>
    <col min="7941" max="7941" width="9.7109375" style="353" customWidth="1"/>
    <col min="7942" max="7942" width="36.5703125" style="353" customWidth="1"/>
    <col min="7943" max="7943" width="17.42578125" style="353" customWidth="1"/>
    <col min="7944" max="8187" width="9.140625" style="353"/>
    <col min="8188" max="8188" width="6.140625" style="353" customWidth="1"/>
    <col min="8189" max="8189" width="31.7109375" style="353" customWidth="1"/>
    <col min="8190" max="8191" width="11.85546875" style="353" customWidth="1"/>
    <col min="8192" max="8194" width="11.140625" style="353" customWidth="1"/>
    <col min="8195" max="8195" width="11.5703125" style="353" customWidth="1"/>
    <col min="8196" max="8196" width="10.5703125" style="353" customWidth="1"/>
    <col min="8197" max="8197" width="9.7109375" style="353" customWidth="1"/>
    <col min="8198" max="8198" width="36.5703125" style="353" customWidth="1"/>
    <col min="8199" max="8199" width="17.42578125" style="353" customWidth="1"/>
    <col min="8200" max="8443" width="9.140625" style="353"/>
    <col min="8444" max="8444" width="6.140625" style="353" customWidth="1"/>
    <col min="8445" max="8445" width="31.7109375" style="353" customWidth="1"/>
    <col min="8446" max="8447" width="11.85546875" style="353" customWidth="1"/>
    <col min="8448" max="8450" width="11.140625" style="353" customWidth="1"/>
    <col min="8451" max="8451" width="11.5703125" style="353" customWidth="1"/>
    <col min="8452" max="8452" width="10.5703125" style="353" customWidth="1"/>
    <col min="8453" max="8453" width="9.7109375" style="353" customWidth="1"/>
    <col min="8454" max="8454" width="36.5703125" style="353" customWidth="1"/>
    <col min="8455" max="8455" width="17.42578125" style="353" customWidth="1"/>
    <col min="8456" max="8699" width="9.140625" style="353"/>
    <col min="8700" max="8700" width="6.140625" style="353" customWidth="1"/>
    <col min="8701" max="8701" width="31.7109375" style="353" customWidth="1"/>
    <col min="8702" max="8703" width="11.85546875" style="353" customWidth="1"/>
    <col min="8704" max="8706" width="11.140625" style="353" customWidth="1"/>
    <col min="8707" max="8707" width="11.5703125" style="353" customWidth="1"/>
    <col min="8708" max="8708" width="10.5703125" style="353" customWidth="1"/>
    <col min="8709" max="8709" width="9.7109375" style="353" customWidth="1"/>
    <col min="8710" max="8710" width="36.5703125" style="353" customWidth="1"/>
    <col min="8711" max="8711" width="17.42578125" style="353" customWidth="1"/>
    <col min="8712" max="8955" width="9.140625" style="353"/>
    <col min="8956" max="8956" width="6.140625" style="353" customWidth="1"/>
    <col min="8957" max="8957" width="31.7109375" style="353" customWidth="1"/>
    <col min="8958" max="8959" width="11.85546875" style="353" customWidth="1"/>
    <col min="8960" max="8962" width="11.140625" style="353" customWidth="1"/>
    <col min="8963" max="8963" width="11.5703125" style="353" customWidth="1"/>
    <col min="8964" max="8964" width="10.5703125" style="353" customWidth="1"/>
    <col min="8965" max="8965" width="9.7109375" style="353" customWidth="1"/>
    <col min="8966" max="8966" width="36.5703125" style="353" customWidth="1"/>
    <col min="8967" max="8967" width="17.42578125" style="353" customWidth="1"/>
    <col min="8968" max="9211" width="9.140625" style="353"/>
    <col min="9212" max="9212" width="6.140625" style="353" customWidth="1"/>
    <col min="9213" max="9213" width="31.7109375" style="353" customWidth="1"/>
    <col min="9214" max="9215" width="11.85546875" style="353" customWidth="1"/>
    <col min="9216" max="9218" width="11.140625" style="353" customWidth="1"/>
    <col min="9219" max="9219" width="11.5703125" style="353" customWidth="1"/>
    <col min="9220" max="9220" width="10.5703125" style="353" customWidth="1"/>
    <col min="9221" max="9221" width="9.7109375" style="353" customWidth="1"/>
    <col min="9222" max="9222" width="36.5703125" style="353" customWidth="1"/>
    <col min="9223" max="9223" width="17.42578125" style="353" customWidth="1"/>
    <col min="9224" max="9467" width="9.140625" style="353"/>
    <col min="9468" max="9468" width="6.140625" style="353" customWidth="1"/>
    <col min="9469" max="9469" width="31.7109375" style="353" customWidth="1"/>
    <col min="9470" max="9471" width="11.85546875" style="353" customWidth="1"/>
    <col min="9472" max="9474" width="11.140625" style="353" customWidth="1"/>
    <col min="9475" max="9475" width="11.5703125" style="353" customWidth="1"/>
    <col min="9476" max="9476" width="10.5703125" style="353" customWidth="1"/>
    <col min="9477" max="9477" width="9.7109375" style="353" customWidth="1"/>
    <col min="9478" max="9478" width="36.5703125" style="353" customWidth="1"/>
    <col min="9479" max="9479" width="17.42578125" style="353" customWidth="1"/>
    <col min="9480" max="9723" width="9.140625" style="353"/>
    <col min="9724" max="9724" width="6.140625" style="353" customWidth="1"/>
    <col min="9725" max="9725" width="31.7109375" style="353" customWidth="1"/>
    <col min="9726" max="9727" width="11.85546875" style="353" customWidth="1"/>
    <col min="9728" max="9730" width="11.140625" style="353" customWidth="1"/>
    <col min="9731" max="9731" width="11.5703125" style="353" customWidth="1"/>
    <col min="9732" max="9732" width="10.5703125" style="353" customWidth="1"/>
    <col min="9733" max="9733" width="9.7109375" style="353" customWidth="1"/>
    <col min="9734" max="9734" width="36.5703125" style="353" customWidth="1"/>
    <col min="9735" max="9735" width="17.42578125" style="353" customWidth="1"/>
    <col min="9736" max="9979" width="9.140625" style="353"/>
    <col min="9980" max="9980" width="6.140625" style="353" customWidth="1"/>
    <col min="9981" max="9981" width="31.7109375" style="353" customWidth="1"/>
    <col min="9982" max="9983" width="11.85546875" style="353" customWidth="1"/>
    <col min="9984" max="9986" width="11.140625" style="353" customWidth="1"/>
    <col min="9987" max="9987" width="11.5703125" style="353" customWidth="1"/>
    <col min="9988" max="9988" width="10.5703125" style="353" customWidth="1"/>
    <col min="9989" max="9989" width="9.7109375" style="353" customWidth="1"/>
    <col min="9990" max="9990" width="36.5703125" style="353" customWidth="1"/>
    <col min="9991" max="9991" width="17.42578125" style="353" customWidth="1"/>
    <col min="9992" max="10235" width="9.140625" style="353"/>
    <col min="10236" max="10236" width="6.140625" style="353" customWidth="1"/>
    <col min="10237" max="10237" width="31.7109375" style="353" customWidth="1"/>
    <col min="10238" max="10239" width="11.85546875" style="353" customWidth="1"/>
    <col min="10240" max="10242" width="11.140625" style="353" customWidth="1"/>
    <col min="10243" max="10243" width="11.5703125" style="353" customWidth="1"/>
    <col min="10244" max="10244" width="10.5703125" style="353" customWidth="1"/>
    <col min="10245" max="10245" width="9.7109375" style="353" customWidth="1"/>
    <col min="10246" max="10246" width="36.5703125" style="353" customWidth="1"/>
    <col min="10247" max="10247" width="17.42578125" style="353" customWidth="1"/>
    <col min="10248" max="10491" width="9.140625" style="353"/>
    <col min="10492" max="10492" width="6.140625" style="353" customWidth="1"/>
    <col min="10493" max="10493" width="31.7109375" style="353" customWidth="1"/>
    <col min="10494" max="10495" width="11.85546875" style="353" customWidth="1"/>
    <col min="10496" max="10498" width="11.140625" style="353" customWidth="1"/>
    <col min="10499" max="10499" width="11.5703125" style="353" customWidth="1"/>
    <col min="10500" max="10500" width="10.5703125" style="353" customWidth="1"/>
    <col min="10501" max="10501" width="9.7109375" style="353" customWidth="1"/>
    <col min="10502" max="10502" width="36.5703125" style="353" customWidth="1"/>
    <col min="10503" max="10503" width="17.42578125" style="353" customWidth="1"/>
    <col min="10504" max="10747" width="9.140625" style="353"/>
    <col min="10748" max="10748" width="6.140625" style="353" customWidth="1"/>
    <col min="10749" max="10749" width="31.7109375" style="353" customWidth="1"/>
    <col min="10750" max="10751" width="11.85546875" style="353" customWidth="1"/>
    <col min="10752" max="10754" width="11.140625" style="353" customWidth="1"/>
    <col min="10755" max="10755" width="11.5703125" style="353" customWidth="1"/>
    <col min="10756" max="10756" width="10.5703125" style="353" customWidth="1"/>
    <col min="10757" max="10757" width="9.7109375" style="353" customWidth="1"/>
    <col min="10758" max="10758" width="36.5703125" style="353" customWidth="1"/>
    <col min="10759" max="10759" width="17.42578125" style="353" customWidth="1"/>
    <col min="10760" max="11003" width="9.140625" style="353"/>
    <col min="11004" max="11004" width="6.140625" style="353" customWidth="1"/>
    <col min="11005" max="11005" width="31.7109375" style="353" customWidth="1"/>
    <col min="11006" max="11007" width="11.85546875" style="353" customWidth="1"/>
    <col min="11008" max="11010" width="11.140625" style="353" customWidth="1"/>
    <col min="11011" max="11011" width="11.5703125" style="353" customWidth="1"/>
    <col min="11012" max="11012" width="10.5703125" style="353" customWidth="1"/>
    <col min="11013" max="11013" width="9.7109375" style="353" customWidth="1"/>
    <col min="11014" max="11014" width="36.5703125" style="353" customWidth="1"/>
    <col min="11015" max="11015" width="17.42578125" style="353" customWidth="1"/>
    <col min="11016" max="11259" width="9.140625" style="353"/>
    <col min="11260" max="11260" width="6.140625" style="353" customWidth="1"/>
    <col min="11261" max="11261" width="31.7109375" style="353" customWidth="1"/>
    <col min="11262" max="11263" width="11.85546875" style="353" customWidth="1"/>
    <col min="11264" max="11266" width="11.140625" style="353" customWidth="1"/>
    <col min="11267" max="11267" width="11.5703125" style="353" customWidth="1"/>
    <col min="11268" max="11268" width="10.5703125" style="353" customWidth="1"/>
    <col min="11269" max="11269" width="9.7109375" style="353" customWidth="1"/>
    <col min="11270" max="11270" width="36.5703125" style="353" customWidth="1"/>
    <col min="11271" max="11271" width="17.42578125" style="353" customWidth="1"/>
    <col min="11272" max="11515" width="9.140625" style="353"/>
    <col min="11516" max="11516" width="6.140625" style="353" customWidth="1"/>
    <col min="11517" max="11517" width="31.7109375" style="353" customWidth="1"/>
    <col min="11518" max="11519" width="11.85546875" style="353" customWidth="1"/>
    <col min="11520" max="11522" width="11.140625" style="353" customWidth="1"/>
    <col min="11523" max="11523" width="11.5703125" style="353" customWidth="1"/>
    <col min="11524" max="11524" width="10.5703125" style="353" customWidth="1"/>
    <col min="11525" max="11525" width="9.7109375" style="353" customWidth="1"/>
    <col min="11526" max="11526" width="36.5703125" style="353" customWidth="1"/>
    <col min="11527" max="11527" width="17.42578125" style="353" customWidth="1"/>
    <col min="11528" max="11771" width="9.140625" style="353"/>
    <col min="11772" max="11772" width="6.140625" style="353" customWidth="1"/>
    <col min="11773" max="11773" width="31.7109375" style="353" customWidth="1"/>
    <col min="11774" max="11775" width="11.85546875" style="353" customWidth="1"/>
    <col min="11776" max="11778" width="11.140625" style="353" customWidth="1"/>
    <col min="11779" max="11779" width="11.5703125" style="353" customWidth="1"/>
    <col min="11780" max="11780" width="10.5703125" style="353" customWidth="1"/>
    <col min="11781" max="11781" width="9.7109375" style="353" customWidth="1"/>
    <col min="11782" max="11782" width="36.5703125" style="353" customWidth="1"/>
    <col min="11783" max="11783" width="17.42578125" style="353" customWidth="1"/>
    <col min="11784" max="12027" width="9.140625" style="353"/>
    <col min="12028" max="12028" width="6.140625" style="353" customWidth="1"/>
    <col min="12029" max="12029" width="31.7109375" style="353" customWidth="1"/>
    <col min="12030" max="12031" width="11.85546875" style="353" customWidth="1"/>
    <col min="12032" max="12034" width="11.140625" style="353" customWidth="1"/>
    <col min="12035" max="12035" width="11.5703125" style="353" customWidth="1"/>
    <col min="12036" max="12036" width="10.5703125" style="353" customWidth="1"/>
    <col min="12037" max="12037" width="9.7109375" style="353" customWidth="1"/>
    <col min="12038" max="12038" width="36.5703125" style="353" customWidth="1"/>
    <col min="12039" max="12039" width="17.42578125" style="353" customWidth="1"/>
    <col min="12040" max="12283" width="9.140625" style="353"/>
    <col min="12284" max="12284" width="6.140625" style="353" customWidth="1"/>
    <col min="12285" max="12285" width="31.7109375" style="353" customWidth="1"/>
    <col min="12286" max="12287" width="11.85546875" style="353" customWidth="1"/>
    <col min="12288" max="12290" width="11.140625" style="353" customWidth="1"/>
    <col min="12291" max="12291" width="11.5703125" style="353" customWidth="1"/>
    <col min="12292" max="12292" width="10.5703125" style="353" customWidth="1"/>
    <col min="12293" max="12293" width="9.7109375" style="353" customWidth="1"/>
    <col min="12294" max="12294" width="36.5703125" style="353" customWidth="1"/>
    <col min="12295" max="12295" width="17.42578125" style="353" customWidth="1"/>
    <col min="12296" max="12539" width="9.140625" style="353"/>
    <col min="12540" max="12540" width="6.140625" style="353" customWidth="1"/>
    <col min="12541" max="12541" width="31.7109375" style="353" customWidth="1"/>
    <col min="12542" max="12543" width="11.85546875" style="353" customWidth="1"/>
    <col min="12544" max="12546" width="11.140625" style="353" customWidth="1"/>
    <col min="12547" max="12547" width="11.5703125" style="353" customWidth="1"/>
    <col min="12548" max="12548" width="10.5703125" style="353" customWidth="1"/>
    <col min="12549" max="12549" width="9.7109375" style="353" customWidth="1"/>
    <col min="12550" max="12550" width="36.5703125" style="353" customWidth="1"/>
    <col min="12551" max="12551" width="17.42578125" style="353" customWidth="1"/>
    <col min="12552" max="12795" width="9.140625" style="353"/>
    <col min="12796" max="12796" width="6.140625" style="353" customWidth="1"/>
    <col min="12797" max="12797" width="31.7109375" style="353" customWidth="1"/>
    <col min="12798" max="12799" width="11.85546875" style="353" customWidth="1"/>
    <col min="12800" max="12802" width="11.140625" style="353" customWidth="1"/>
    <col min="12803" max="12803" width="11.5703125" style="353" customWidth="1"/>
    <col min="12804" max="12804" width="10.5703125" style="353" customWidth="1"/>
    <col min="12805" max="12805" width="9.7109375" style="353" customWidth="1"/>
    <col min="12806" max="12806" width="36.5703125" style="353" customWidth="1"/>
    <col min="12807" max="12807" width="17.42578125" style="353" customWidth="1"/>
    <col min="12808" max="13051" width="9.140625" style="353"/>
    <col min="13052" max="13052" width="6.140625" style="353" customWidth="1"/>
    <col min="13053" max="13053" width="31.7109375" style="353" customWidth="1"/>
    <col min="13054" max="13055" width="11.85546875" style="353" customWidth="1"/>
    <col min="13056" max="13058" width="11.140625" style="353" customWidth="1"/>
    <col min="13059" max="13059" width="11.5703125" style="353" customWidth="1"/>
    <col min="13060" max="13060" width="10.5703125" style="353" customWidth="1"/>
    <col min="13061" max="13061" width="9.7109375" style="353" customWidth="1"/>
    <col min="13062" max="13062" width="36.5703125" style="353" customWidth="1"/>
    <col min="13063" max="13063" width="17.42578125" style="353" customWidth="1"/>
    <col min="13064" max="13307" width="9.140625" style="353"/>
    <col min="13308" max="13308" width="6.140625" style="353" customWidth="1"/>
    <col min="13309" max="13309" width="31.7109375" style="353" customWidth="1"/>
    <col min="13310" max="13311" width="11.85546875" style="353" customWidth="1"/>
    <col min="13312" max="13314" width="11.140625" style="353" customWidth="1"/>
    <col min="13315" max="13315" width="11.5703125" style="353" customWidth="1"/>
    <col min="13316" max="13316" width="10.5703125" style="353" customWidth="1"/>
    <col min="13317" max="13317" width="9.7109375" style="353" customWidth="1"/>
    <col min="13318" max="13318" width="36.5703125" style="353" customWidth="1"/>
    <col min="13319" max="13319" width="17.42578125" style="353" customWidth="1"/>
    <col min="13320" max="13563" width="9.140625" style="353"/>
    <col min="13564" max="13564" width="6.140625" style="353" customWidth="1"/>
    <col min="13565" max="13565" width="31.7109375" style="353" customWidth="1"/>
    <col min="13566" max="13567" width="11.85546875" style="353" customWidth="1"/>
    <col min="13568" max="13570" width="11.140625" style="353" customWidth="1"/>
    <col min="13571" max="13571" width="11.5703125" style="353" customWidth="1"/>
    <col min="13572" max="13572" width="10.5703125" style="353" customWidth="1"/>
    <col min="13573" max="13573" width="9.7109375" style="353" customWidth="1"/>
    <col min="13574" max="13574" width="36.5703125" style="353" customWidth="1"/>
    <col min="13575" max="13575" width="17.42578125" style="353" customWidth="1"/>
    <col min="13576" max="13819" width="9.140625" style="353"/>
    <col min="13820" max="13820" width="6.140625" style="353" customWidth="1"/>
    <col min="13821" max="13821" width="31.7109375" style="353" customWidth="1"/>
    <col min="13822" max="13823" width="11.85546875" style="353" customWidth="1"/>
    <col min="13824" max="13826" width="11.140625" style="353" customWidth="1"/>
    <col min="13827" max="13827" width="11.5703125" style="353" customWidth="1"/>
    <col min="13828" max="13828" width="10.5703125" style="353" customWidth="1"/>
    <col min="13829" max="13829" width="9.7109375" style="353" customWidth="1"/>
    <col min="13830" max="13830" width="36.5703125" style="353" customWidth="1"/>
    <col min="13831" max="13831" width="17.42578125" style="353" customWidth="1"/>
    <col min="13832" max="14075" width="9.140625" style="353"/>
    <col min="14076" max="14076" width="6.140625" style="353" customWidth="1"/>
    <col min="14077" max="14077" width="31.7109375" style="353" customWidth="1"/>
    <col min="14078" max="14079" width="11.85546875" style="353" customWidth="1"/>
    <col min="14080" max="14082" width="11.140625" style="353" customWidth="1"/>
    <col min="14083" max="14083" width="11.5703125" style="353" customWidth="1"/>
    <col min="14084" max="14084" width="10.5703125" style="353" customWidth="1"/>
    <col min="14085" max="14085" width="9.7109375" style="353" customWidth="1"/>
    <col min="14086" max="14086" width="36.5703125" style="353" customWidth="1"/>
    <col min="14087" max="14087" width="17.42578125" style="353" customWidth="1"/>
    <col min="14088" max="14331" width="9.140625" style="353"/>
    <col min="14332" max="14332" width="6.140625" style="353" customWidth="1"/>
    <col min="14333" max="14333" width="31.7109375" style="353" customWidth="1"/>
    <col min="14334" max="14335" width="11.85546875" style="353" customWidth="1"/>
    <col min="14336" max="14338" width="11.140625" style="353" customWidth="1"/>
    <col min="14339" max="14339" width="11.5703125" style="353" customWidth="1"/>
    <col min="14340" max="14340" width="10.5703125" style="353" customWidth="1"/>
    <col min="14341" max="14341" width="9.7109375" style="353" customWidth="1"/>
    <col min="14342" max="14342" width="36.5703125" style="353" customWidth="1"/>
    <col min="14343" max="14343" width="17.42578125" style="353" customWidth="1"/>
    <col min="14344" max="14587" width="9.140625" style="353"/>
    <col min="14588" max="14588" width="6.140625" style="353" customWidth="1"/>
    <col min="14589" max="14589" width="31.7109375" style="353" customWidth="1"/>
    <col min="14590" max="14591" width="11.85546875" style="353" customWidth="1"/>
    <col min="14592" max="14594" width="11.140625" style="353" customWidth="1"/>
    <col min="14595" max="14595" width="11.5703125" style="353" customWidth="1"/>
    <col min="14596" max="14596" width="10.5703125" style="353" customWidth="1"/>
    <col min="14597" max="14597" width="9.7109375" style="353" customWidth="1"/>
    <col min="14598" max="14598" width="36.5703125" style="353" customWidth="1"/>
    <col min="14599" max="14599" width="17.42578125" style="353" customWidth="1"/>
    <col min="14600" max="14843" width="9.140625" style="353"/>
    <col min="14844" max="14844" width="6.140625" style="353" customWidth="1"/>
    <col min="14845" max="14845" width="31.7109375" style="353" customWidth="1"/>
    <col min="14846" max="14847" width="11.85546875" style="353" customWidth="1"/>
    <col min="14848" max="14850" width="11.140625" style="353" customWidth="1"/>
    <col min="14851" max="14851" width="11.5703125" style="353" customWidth="1"/>
    <col min="14852" max="14852" width="10.5703125" style="353" customWidth="1"/>
    <col min="14853" max="14853" width="9.7109375" style="353" customWidth="1"/>
    <col min="14854" max="14854" width="36.5703125" style="353" customWidth="1"/>
    <col min="14855" max="14855" width="17.42578125" style="353" customWidth="1"/>
    <col min="14856" max="15099" width="9.140625" style="353"/>
    <col min="15100" max="15100" width="6.140625" style="353" customWidth="1"/>
    <col min="15101" max="15101" width="31.7109375" style="353" customWidth="1"/>
    <col min="15102" max="15103" width="11.85546875" style="353" customWidth="1"/>
    <col min="15104" max="15106" width="11.140625" style="353" customWidth="1"/>
    <col min="15107" max="15107" width="11.5703125" style="353" customWidth="1"/>
    <col min="15108" max="15108" width="10.5703125" style="353" customWidth="1"/>
    <col min="15109" max="15109" width="9.7109375" style="353" customWidth="1"/>
    <col min="15110" max="15110" width="36.5703125" style="353" customWidth="1"/>
    <col min="15111" max="15111" width="17.42578125" style="353" customWidth="1"/>
    <col min="15112" max="15355" width="9.140625" style="353"/>
    <col min="15356" max="15356" width="6.140625" style="353" customWidth="1"/>
    <col min="15357" max="15357" width="31.7109375" style="353" customWidth="1"/>
    <col min="15358" max="15359" width="11.85546875" style="353" customWidth="1"/>
    <col min="15360" max="15362" width="11.140625" style="353" customWidth="1"/>
    <col min="15363" max="15363" width="11.5703125" style="353" customWidth="1"/>
    <col min="15364" max="15364" width="10.5703125" style="353" customWidth="1"/>
    <col min="15365" max="15365" width="9.7109375" style="353" customWidth="1"/>
    <col min="15366" max="15366" width="36.5703125" style="353" customWidth="1"/>
    <col min="15367" max="15367" width="17.42578125" style="353" customWidth="1"/>
    <col min="15368" max="15611" width="9.140625" style="353"/>
    <col min="15612" max="15612" width="6.140625" style="353" customWidth="1"/>
    <col min="15613" max="15613" width="31.7109375" style="353" customWidth="1"/>
    <col min="15614" max="15615" width="11.85546875" style="353" customWidth="1"/>
    <col min="15616" max="15618" width="11.140625" style="353" customWidth="1"/>
    <col min="15619" max="15619" width="11.5703125" style="353" customWidth="1"/>
    <col min="15620" max="15620" width="10.5703125" style="353" customWidth="1"/>
    <col min="15621" max="15621" width="9.7109375" style="353" customWidth="1"/>
    <col min="15622" max="15622" width="36.5703125" style="353" customWidth="1"/>
    <col min="15623" max="15623" width="17.42578125" style="353" customWidth="1"/>
    <col min="15624" max="15867" width="9.140625" style="353"/>
    <col min="15868" max="15868" width="6.140625" style="353" customWidth="1"/>
    <col min="15869" max="15869" width="31.7109375" style="353" customWidth="1"/>
    <col min="15870" max="15871" width="11.85546875" style="353" customWidth="1"/>
    <col min="15872" max="15874" width="11.140625" style="353" customWidth="1"/>
    <col min="15875" max="15875" width="11.5703125" style="353" customWidth="1"/>
    <col min="15876" max="15876" width="10.5703125" style="353" customWidth="1"/>
    <col min="15877" max="15877" width="9.7109375" style="353" customWidth="1"/>
    <col min="15878" max="15878" width="36.5703125" style="353" customWidth="1"/>
    <col min="15879" max="15879" width="17.42578125" style="353" customWidth="1"/>
    <col min="15880" max="16123" width="9.140625" style="353"/>
    <col min="16124" max="16124" width="6.140625" style="353" customWidth="1"/>
    <col min="16125" max="16125" width="31.7109375" style="353" customWidth="1"/>
    <col min="16126" max="16127" width="11.85546875" style="353" customWidth="1"/>
    <col min="16128" max="16130" width="11.140625" style="353" customWidth="1"/>
    <col min="16131" max="16131" width="11.5703125" style="353" customWidth="1"/>
    <col min="16132" max="16132" width="10.5703125" style="353" customWidth="1"/>
    <col min="16133" max="16133" width="9.7109375" style="353" customWidth="1"/>
    <col min="16134" max="16134" width="36.5703125" style="353" customWidth="1"/>
    <col min="16135" max="16135" width="17.42578125" style="353" customWidth="1"/>
    <col min="16136" max="16384" width="9.140625" style="353"/>
  </cols>
  <sheetData>
    <row r="1" spans="1:11" ht="16.5" customHeight="1" x14ac:dyDescent="0.25">
      <c r="B1" s="1034" t="s">
        <v>1254</v>
      </c>
      <c r="C1" s="1034"/>
      <c r="D1" s="1034"/>
      <c r="E1" s="1034"/>
      <c r="F1" s="1034"/>
      <c r="G1" s="1034"/>
      <c r="H1" s="1034"/>
      <c r="I1" s="1034"/>
      <c r="J1" s="1034"/>
      <c r="K1" s="1034"/>
    </row>
    <row r="2" spans="1:11" ht="16.5" x14ac:dyDescent="0.25">
      <c r="F2" s="1"/>
      <c r="G2" s="950"/>
      <c r="H2" s="950"/>
      <c r="I2" s="950"/>
      <c r="J2" s="950"/>
      <c r="K2" s="951" t="s">
        <v>1184</v>
      </c>
    </row>
    <row r="3" spans="1:11" ht="16.5" x14ac:dyDescent="0.25">
      <c r="F3" s="1"/>
      <c r="G3" s="950"/>
      <c r="H3" s="950"/>
      <c r="I3" s="950"/>
      <c r="J3" s="950"/>
      <c r="K3" s="951" t="s">
        <v>1185</v>
      </c>
    </row>
    <row r="6" spans="1:11" x14ac:dyDescent="0.25">
      <c r="A6" s="353" t="s">
        <v>298</v>
      </c>
      <c r="D6" s="353"/>
      <c r="G6" s="353"/>
      <c r="H6" s="353"/>
    </row>
    <row r="7" spans="1:11" x14ac:dyDescent="0.25">
      <c r="C7" s="354"/>
      <c r="D7" s="242"/>
      <c r="E7" s="354"/>
      <c r="F7" s="354"/>
      <c r="G7" s="354"/>
      <c r="H7" s="354"/>
      <c r="I7" s="354"/>
      <c r="J7" s="354"/>
      <c r="K7" s="425"/>
    </row>
    <row r="8" spans="1:11" ht="15.75" x14ac:dyDescent="0.25">
      <c r="A8" s="1126" t="s">
        <v>291</v>
      </c>
      <c r="B8" s="1126"/>
      <c r="C8" s="1126"/>
      <c r="D8" s="1126"/>
      <c r="E8" s="1126"/>
      <c r="F8" s="1126"/>
      <c r="G8" s="1126"/>
      <c r="H8" s="1126"/>
      <c r="I8" s="1126"/>
      <c r="J8" s="1126"/>
      <c r="K8" s="1126"/>
    </row>
    <row r="9" spans="1:11" ht="15.75" x14ac:dyDescent="0.25">
      <c r="A9" s="355"/>
      <c r="B9" s="355"/>
      <c r="C9" s="355"/>
      <c r="D9" s="356"/>
      <c r="E9" s="355"/>
      <c r="F9" s="355"/>
      <c r="G9" s="355"/>
      <c r="H9" s="355"/>
      <c r="I9" s="355"/>
      <c r="J9" s="355"/>
      <c r="K9" s="426"/>
    </row>
    <row r="10" spans="1:11" ht="15.75" x14ac:dyDescent="0.25">
      <c r="A10" s="353" t="s">
        <v>1252</v>
      </c>
      <c r="C10" s="959"/>
      <c r="D10" s="959"/>
      <c r="E10" s="959"/>
      <c r="F10" s="959"/>
      <c r="G10" s="959"/>
      <c r="H10" s="959"/>
      <c r="I10" s="959"/>
      <c r="J10" s="959"/>
      <c r="K10" s="959"/>
    </row>
    <row r="11" spans="1:11" ht="15.75" x14ac:dyDescent="0.25">
      <c r="C11" s="895"/>
      <c r="D11" s="895"/>
      <c r="E11" s="895"/>
      <c r="F11" s="895"/>
      <c r="G11" s="895"/>
      <c r="H11" s="895"/>
      <c r="I11" s="895"/>
      <c r="J11" s="895"/>
      <c r="K11" s="895"/>
    </row>
    <row r="12" spans="1:11" x14ac:dyDescent="0.25">
      <c r="A12" s="353" t="s">
        <v>1253</v>
      </c>
      <c r="C12" s="357"/>
      <c r="D12" s="357"/>
      <c r="E12" s="357"/>
      <c r="F12" s="357"/>
      <c r="G12" s="357"/>
      <c r="H12" s="357"/>
      <c r="I12" s="357"/>
      <c r="J12" s="357"/>
      <c r="K12" s="357"/>
    </row>
    <row r="13" spans="1:11" ht="12.75" x14ac:dyDescent="0.25">
      <c r="A13" s="353" t="s">
        <v>1197</v>
      </c>
      <c r="C13" s="960"/>
      <c r="D13" s="960"/>
      <c r="E13" s="960"/>
      <c r="F13" s="960"/>
      <c r="G13" s="960"/>
      <c r="H13" s="960"/>
      <c r="I13" s="960"/>
      <c r="J13" s="960"/>
      <c r="K13" s="960"/>
    </row>
    <row r="14" spans="1:11" ht="24.75" customHeight="1" x14ac:dyDescent="0.25">
      <c r="A14" s="1071" t="s">
        <v>1</v>
      </c>
      <c r="B14" s="1071" t="s">
        <v>2</v>
      </c>
      <c r="C14" s="1071" t="s">
        <v>26</v>
      </c>
      <c r="D14" s="961"/>
      <c r="E14" s="1071" t="s">
        <v>27</v>
      </c>
      <c r="F14" s="961"/>
      <c r="G14" s="1127" t="s">
        <v>28</v>
      </c>
      <c r="H14" s="961"/>
      <c r="I14" s="1071" t="s">
        <v>6</v>
      </c>
      <c r="J14" s="1071" t="s">
        <v>1190</v>
      </c>
    </row>
    <row r="15" spans="1:11" x14ac:dyDescent="0.25">
      <c r="A15" s="1071"/>
      <c r="B15" s="1071"/>
      <c r="C15" s="1071"/>
      <c r="D15" s="961"/>
      <c r="E15" s="1071"/>
      <c r="F15" s="961"/>
      <c r="G15" s="1127"/>
      <c r="H15" s="961"/>
      <c r="I15" s="1071"/>
      <c r="J15" s="1071"/>
    </row>
    <row r="16" spans="1:11" ht="12.75" customHeight="1" x14ac:dyDescent="0.25">
      <c r="A16" s="1075" t="s">
        <v>300</v>
      </c>
      <c r="B16" s="1075"/>
      <c r="C16" s="303">
        <f>SUM(C17:C18)</f>
        <v>3820861</v>
      </c>
      <c r="D16" s="961"/>
      <c r="E16" s="303">
        <f>SUM(E17:E18)</f>
        <v>3466</v>
      </c>
      <c r="F16" s="961"/>
      <c r="G16" s="303">
        <f>SUM(G17:G18)</f>
        <v>204217</v>
      </c>
      <c r="H16" s="961"/>
      <c r="I16" s="303"/>
      <c r="J16" s="303">
        <f>SUM(J17:J18)</f>
        <v>99789</v>
      </c>
      <c r="K16" s="425"/>
    </row>
    <row r="17" spans="1:11" ht="12.75" customHeight="1" x14ac:dyDescent="0.25">
      <c r="A17" s="962">
        <v>1</v>
      </c>
      <c r="B17" s="893" t="s">
        <v>952</v>
      </c>
      <c r="C17" s="358">
        <f>244833+3531093</f>
        <v>3775926</v>
      </c>
      <c r="D17" s="961"/>
      <c r="E17" s="59">
        <v>0</v>
      </c>
      <c r="F17" s="961"/>
      <c r="G17" s="358">
        <v>200212</v>
      </c>
      <c r="H17" s="961"/>
      <c r="I17" s="438">
        <v>5219</v>
      </c>
      <c r="J17" s="359">
        <v>97789</v>
      </c>
      <c r="K17" s="425"/>
    </row>
    <row r="18" spans="1:11" ht="12.75" x14ac:dyDescent="0.25">
      <c r="A18" s="962">
        <v>2</v>
      </c>
      <c r="B18" s="894" t="s">
        <v>953</v>
      </c>
      <c r="C18" s="358">
        <v>44935</v>
      </c>
      <c r="D18" s="961"/>
      <c r="E18" s="59">
        <v>3466</v>
      </c>
      <c r="F18" s="961"/>
      <c r="G18" s="358">
        <v>4005</v>
      </c>
      <c r="H18" s="961"/>
      <c r="I18" s="438">
        <v>2519</v>
      </c>
      <c r="J18" s="359">
        <v>2000</v>
      </c>
      <c r="K18" s="425"/>
    </row>
    <row r="19" spans="1:11" x14ac:dyDescent="0.25">
      <c r="A19" s="360"/>
      <c r="B19" s="360"/>
      <c r="C19" s="360"/>
      <c r="D19" s="339"/>
      <c r="E19" s="360"/>
      <c r="F19" s="360"/>
      <c r="G19" s="361"/>
      <c r="H19" s="361"/>
      <c r="I19" s="360"/>
      <c r="J19" s="339"/>
      <c r="K19" s="360"/>
    </row>
    <row r="20" spans="1:11" x14ac:dyDescent="0.25">
      <c r="A20" s="353" t="s">
        <v>1249</v>
      </c>
      <c r="C20" s="357"/>
      <c r="D20" s="357"/>
      <c r="E20" s="357"/>
      <c r="F20" s="357"/>
      <c r="G20" s="357"/>
      <c r="H20" s="363"/>
    </row>
    <row r="21" spans="1:11" ht="12.75" x14ac:dyDescent="0.25">
      <c r="A21" s="353" t="s">
        <v>1250</v>
      </c>
      <c r="C21" s="960"/>
      <c r="D21" s="960"/>
      <c r="E21" s="960"/>
      <c r="F21" s="960"/>
      <c r="G21" s="960"/>
      <c r="H21" s="364"/>
      <c r="J21" s="357"/>
      <c r="K21" s="357"/>
    </row>
    <row r="22" spans="1:11" ht="12" customHeight="1" x14ac:dyDescent="0.25">
      <c r="A22" s="1071" t="s">
        <v>1</v>
      </c>
      <c r="B22" s="1071" t="s">
        <v>2</v>
      </c>
      <c r="C22" s="1071" t="s">
        <v>60</v>
      </c>
      <c r="D22" s="1071"/>
      <c r="E22" s="1071" t="s">
        <v>61</v>
      </c>
      <c r="F22" s="1071"/>
      <c r="G22" s="1071" t="s">
        <v>28</v>
      </c>
      <c r="H22" s="1071"/>
      <c r="I22" s="1071" t="s">
        <v>6</v>
      </c>
      <c r="J22" s="1102" t="s">
        <v>1190</v>
      </c>
      <c r="K22" s="1102"/>
    </row>
    <row r="23" spans="1:11" ht="3" customHeight="1" x14ac:dyDescent="0.25">
      <c r="A23" s="1071"/>
      <c r="B23" s="1071"/>
      <c r="C23" s="1071"/>
      <c r="D23" s="1071"/>
      <c r="E23" s="1071"/>
      <c r="F23" s="1071"/>
      <c r="G23" s="1071"/>
      <c r="H23" s="1071"/>
      <c r="I23" s="1071"/>
      <c r="J23" s="1102"/>
      <c r="K23" s="1102"/>
    </row>
    <row r="24" spans="1:11" ht="24" x14ac:dyDescent="0.2">
      <c r="A24" s="1071"/>
      <c r="B24" s="1071"/>
      <c r="C24" s="887" t="s">
        <v>7</v>
      </c>
      <c r="D24" s="887" t="s">
        <v>8</v>
      </c>
      <c r="E24" s="887" t="s">
        <v>7</v>
      </c>
      <c r="F24" s="887" t="s">
        <v>8</v>
      </c>
      <c r="G24" s="887" t="s">
        <v>7</v>
      </c>
      <c r="H24" s="887" t="s">
        <v>8</v>
      </c>
      <c r="I24" s="1071"/>
      <c r="J24" s="892" t="s">
        <v>7</v>
      </c>
      <c r="K24" s="3" t="s">
        <v>8</v>
      </c>
    </row>
    <row r="25" spans="1:11" ht="12.75" customHeight="1" x14ac:dyDescent="0.25">
      <c r="A25" s="1075" t="s">
        <v>300</v>
      </c>
      <c r="B25" s="1075"/>
      <c r="C25" s="963">
        <f t="shared" ref="C25:H25" si="0">SUM(C26:C44)</f>
        <v>290922</v>
      </c>
      <c r="D25" s="963">
        <f t="shared" si="0"/>
        <v>38328</v>
      </c>
      <c r="E25" s="963">
        <f t="shared" si="0"/>
        <v>221661</v>
      </c>
      <c r="F25" s="963">
        <f t="shared" si="0"/>
        <v>38306</v>
      </c>
      <c r="G25" s="963">
        <f t="shared" si="0"/>
        <v>1608675</v>
      </c>
      <c r="H25" s="963">
        <f t="shared" si="0"/>
        <v>38328</v>
      </c>
      <c r="I25" s="963"/>
      <c r="J25" s="964">
        <f>SUM(J26:J44)</f>
        <v>563954</v>
      </c>
      <c r="K25" s="964">
        <f>SUM(K26:K44)</f>
        <v>38329</v>
      </c>
    </row>
    <row r="26" spans="1:11" ht="38.25" x14ac:dyDescent="0.25">
      <c r="A26" s="962">
        <v>1</v>
      </c>
      <c r="B26" s="894" t="s">
        <v>954</v>
      </c>
      <c r="C26" s="365">
        <v>10692</v>
      </c>
      <c r="D26" s="365">
        <v>0</v>
      </c>
      <c r="E26" s="59">
        <v>10692</v>
      </c>
      <c r="F26" s="59">
        <v>0</v>
      </c>
      <c r="G26" s="85">
        <v>15000</v>
      </c>
      <c r="H26" s="502">
        <v>0</v>
      </c>
      <c r="I26" s="436">
        <v>2279</v>
      </c>
      <c r="J26" s="85">
        <v>10700</v>
      </c>
      <c r="K26" s="85"/>
    </row>
    <row r="27" spans="1:11" ht="12.75" x14ac:dyDescent="0.25">
      <c r="A27" s="962">
        <v>2</v>
      </c>
      <c r="B27" s="894" t="s">
        <v>955</v>
      </c>
      <c r="C27" s="365">
        <v>12075</v>
      </c>
      <c r="D27" s="365">
        <v>0</v>
      </c>
      <c r="E27" s="365">
        <v>2000</v>
      </c>
      <c r="F27" s="365">
        <v>0</v>
      </c>
      <c r="G27" s="85">
        <v>15400</v>
      </c>
      <c r="H27" s="502">
        <v>0</v>
      </c>
      <c r="I27" s="436">
        <v>2239</v>
      </c>
      <c r="J27" s="85">
        <v>15400</v>
      </c>
      <c r="K27" s="85"/>
    </row>
    <row r="28" spans="1:11" x14ac:dyDescent="0.25">
      <c r="A28" s="1124">
        <v>3</v>
      </c>
      <c r="B28" s="1125" t="s">
        <v>956</v>
      </c>
      <c r="C28" s="365">
        <v>1423</v>
      </c>
      <c r="D28" s="365">
        <v>0</v>
      </c>
      <c r="E28" s="59">
        <v>233</v>
      </c>
      <c r="F28" s="59">
        <v>0</v>
      </c>
      <c r="G28" s="85">
        <v>7000</v>
      </c>
      <c r="H28" s="502">
        <v>0</v>
      </c>
      <c r="I28" s="436">
        <v>2312</v>
      </c>
      <c r="J28" s="85">
        <v>7000</v>
      </c>
      <c r="K28" s="85"/>
    </row>
    <row r="29" spans="1:11" x14ac:dyDescent="0.25">
      <c r="A29" s="1124"/>
      <c r="B29" s="1125"/>
      <c r="C29" s="365">
        <v>143</v>
      </c>
      <c r="D29" s="365">
        <v>0</v>
      </c>
      <c r="E29" s="358">
        <v>0</v>
      </c>
      <c r="F29" s="358">
        <v>0</v>
      </c>
      <c r="G29" s="85">
        <v>1400</v>
      </c>
      <c r="H29" s="502">
        <v>0</v>
      </c>
      <c r="I29" s="436">
        <v>2244</v>
      </c>
      <c r="J29" s="85">
        <v>1400</v>
      </c>
      <c r="K29" s="85"/>
    </row>
    <row r="30" spans="1:11" ht="12.75" x14ac:dyDescent="0.25">
      <c r="A30" s="962">
        <v>4</v>
      </c>
      <c r="B30" s="894" t="s">
        <v>957</v>
      </c>
      <c r="C30" s="365">
        <v>38328</v>
      </c>
      <c r="D30" s="365">
        <v>0</v>
      </c>
      <c r="E30" s="358">
        <v>37518</v>
      </c>
      <c r="F30" s="358">
        <v>0</v>
      </c>
      <c r="G30" s="85">
        <v>31257</v>
      </c>
      <c r="H30" s="502">
        <v>0</v>
      </c>
      <c r="I30" s="436">
        <v>2263</v>
      </c>
      <c r="J30" s="85">
        <v>31257</v>
      </c>
      <c r="K30" s="85"/>
    </row>
    <row r="31" spans="1:11" ht="12.75" x14ac:dyDescent="0.25">
      <c r="A31" s="962">
        <v>5</v>
      </c>
      <c r="B31" s="894" t="s">
        <v>958</v>
      </c>
      <c r="C31" s="365">
        <v>3008</v>
      </c>
      <c r="D31" s="365">
        <v>0</v>
      </c>
      <c r="E31" s="358">
        <v>3008</v>
      </c>
      <c r="F31" s="358">
        <v>0</v>
      </c>
      <c r="G31" s="85">
        <f>4822+1800</f>
        <v>6622</v>
      </c>
      <c r="H31" s="502">
        <v>0</v>
      </c>
      <c r="I31" s="436">
        <v>2263</v>
      </c>
      <c r="J31" s="85">
        <v>6622</v>
      </c>
      <c r="K31" s="85"/>
    </row>
    <row r="32" spans="1:11" ht="12.75" x14ac:dyDescent="0.25">
      <c r="A32" s="962">
        <v>6</v>
      </c>
      <c r="B32" s="894" t="s">
        <v>147</v>
      </c>
      <c r="C32" s="365">
        <v>68196</v>
      </c>
      <c r="D32" s="365">
        <v>38328</v>
      </c>
      <c r="E32" s="358">
        <v>57000</v>
      </c>
      <c r="F32" s="358">
        <v>38306</v>
      </c>
      <c r="G32" s="85">
        <v>56846</v>
      </c>
      <c r="H32" s="502">
        <v>38328</v>
      </c>
      <c r="I32" s="436">
        <v>2261</v>
      </c>
      <c r="J32" s="85">
        <v>56846</v>
      </c>
      <c r="K32" s="85">
        <v>38329</v>
      </c>
    </row>
    <row r="33" spans="1:11" x14ac:dyDescent="0.25">
      <c r="A33" s="1124">
        <v>7</v>
      </c>
      <c r="B33" s="1128" t="s">
        <v>959</v>
      </c>
      <c r="C33" s="365">
        <v>0</v>
      </c>
      <c r="D33" s="365">
        <v>0</v>
      </c>
      <c r="E33" s="59">
        <v>0</v>
      </c>
      <c r="F33" s="59">
        <v>0</v>
      </c>
      <c r="G33" s="85">
        <v>700</v>
      </c>
      <c r="H33" s="502">
        <v>0</v>
      </c>
      <c r="I33" s="436">
        <v>2223</v>
      </c>
      <c r="J33" s="85">
        <v>700</v>
      </c>
      <c r="K33" s="85"/>
    </row>
    <row r="34" spans="1:11" x14ac:dyDescent="0.25">
      <c r="A34" s="1124"/>
      <c r="B34" s="1128"/>
      <c r="C34" s="365">
        <v>0</v>
      </c>
      <c r="D34" s="365">
        <v>0</v>
      </c>
      <c r="E34" s="59">
        <v>0</v>
      </c>
      <c r="F34" s="59">
        <v>0</v>
      </c>
      <c r="G34" s="85">
        <v>167951</v>
      </c>
      <c r="H34" s="502">
        <v>0</v>
      </c>
      <c r="I34" s="436">
        <v>2244</v>
      </c>
      <c r="J34" s="85">
        <f>10000+528+408+30445+30445+3151+19571+2212+52000</f>
        <v>148760</v>
      </c>
      <c r="K34" s="85"/>
    </row>
    <row r="35" spans="1:11" ht="25.5" x14ac:dyDescent="0.25">
      <c r="A35" s="962">
        <v>8</v>
      </c>
      <c r="B35" s="894" t="s">
        <v>1028</v>
      </c>
      <c r="C35" s="365">
        <v>31561</v>
      </c>
      <c r="D35" s="365">
        <v>0</v>
      </c>
      <c r="E35" s="59">
        <v>0</v>
      </c>
      <c r="F35" s="59">
        <v>0</v>
      </c>
      <c r="G35" s="502">
        <v>86036</v>
      </c>
      <c r="H35" s="502">
        <v>0</v>
      </c>
      <c r="I35" s="436">
        <v>2244</v>
      </c>
      <c r="J35" s="85">
        <v>86036</v>
      </c>
      <c r="K35" s="85"/>
    </row>
    <row r="36" spans="1:11" ht="25.5" x14ac:dyDescent="0.25">
      <c r="A36" s="962">
        <v>9</v>
      </c>
      <c r="B36" s="894" t="s">
        <v>1029</v>
      </c>
      <c r="C36" s="365">
        <v>0</v>
      </c>
      <c r="D36" s="365">
        <v>0</v>
      </c>
      <c r="E36" s="59">
        <v>0</v>
      </c>
      <c r="F36" s="59">
        <v>0</v>
      </c>
      <c r="G36" s="85">
        <v>1069750</v>
      </c>
      <c r="H36" s="502">
        <v>0</v>
      </c>
      <c r="I36" s="436">
        <v>2244</v>
      </c>
      <c r="J36" s="85">
        <v>60000</v>
      </c>
      <c r="K36" s="85"/>
    </row>
    <row r="37" spans="1:11" ht="12.75" x14ac:dyDescent="0.25">
      <c r="A37" s="962">
        <v>10</v>
      </c>
      <c r="B37" s="894" t="s">
        <v>960</v>
      </c>
      <c r="C37" s="365">
        <v>18245</v>
      </c>
      <c r="D37" s="365">
        <v>0</v>
      </c>
      <c r="E37" s="59">
        <v>11300</v>
      </c>
      <c r="F37" s="59">
        <v>0</v>
      </c>
      <c r="G37" s="85">
        <v>16428</v>
      </c>
      <c r="H37" s="502">
        <v>0</v>
      </c>
      <c r="I37" s="436">
        <v>2247</v>
      </c>
      <c r="J37" s="85">
        <v>16248</v>
      </c>
      <c r="K37" s="85"/>
    </row>
    <row r="38" spans="1:11" ht="12.75" x14ac:dyDescent="0.25">
      <c r="A38" s="962">
        <v>11</v>
      </c>
      <c r="B38" s="894" t="s">
        <v>961</v>
      </c>
      <c r="C38" s="365">
        <v>27035</v>
      </c>
      <c r="D38" s="365">
        <v>0</v>
      </c>
      <c r="E38" s="59">
        <v>20000</v>
      </c>
      <c r="F38" s="59">
        <v>0</v>
      </c>
      <c r="G38" s="85">
        <v>26000</v>
      </c>
      <c r="H38" s="502">
        <v>0</v>
      </c>
      <c r="I38" s="436">
        <v>2279</v>
      </c>
      <c r="J38" s="85">
        <v>15000</v>
      </c>
      <c r="K38" s="85"/>
    </row>
    <row r="39" spans="1:11" ht="12.75" x14ac:dyDescent="0.25">
      <c r="A39" s="962">
        <v>12</v>
      </c>
      <c r="B39" s="893" t="s">
        <v>962</v>
      </c>
      <c r="C39" s="365">
        <v>0</v>
      </c>
      <c r="D39" s="365">
        <v>0</v>
      </c>
      <c r="E39" s="365">
        <v>0</v>
      </c>
      <c r="F39" s="365">
        <v>0</v>
      </c>
      <c r="G39" s="85">
        <v>1500</v>
      </c>
      <c r="H39" s="502">
        <v>0</v>
      </c>
      <c r="I39" s="436">
        <v>2279</v>
      </c>
      <c r="J39" s="85">
        <v>1500</v>
      </c>
      <c r="K39" s="85"/>
    </row>
    <row r="40" spans="1:11" ht="25.5" x14ac:dyDescent="0.25">
      <c r="A40" s="962">
        <v>13</v>
      </c>
      <c r="B40" s="893" t="s">
        <v>963</v>
      </c>
      <c r="C40" s="365">
        <v>0</v>
      </c>
      <c r="D40" s="365">
        <v>0</v>
      </c>
      <c r="E40" s="365">
        <v>0</v>
      </c>
      <c r="F40" s="365">
        <v>0</v>
      </c>
      <c r="G40" s="85">
        <v>29573</v>
      </c>
      <c r="H40" s="502">
        <v>0</v>
      </c>
      <c r="I40" s="436">
        <v>2232</v>
      </c>
      <c r="J40" s="85">
        <v>29573</v>
      </c>
      <c r="K40" s="85"/>
    </row>
    <row r="41" spans="1:11" ht="25.5" x14ac:dyDescent="0.25">
      <c r="A41" s="962">
        <v>14</v>
      </c>
      <c r="B41" s="894" t="s">
        <v>964</v>
      </c>
      <c r="C41" s="365">
        <v>69958</v>
      </c>
      <c r="D41" s="365">
        <v>0</v>
      </c>
      <c r="E41" s="59">
        <v>69958</v>
      </c>
      <c r="F41" s="59">
        <v>0</v>
      </c>
      <c r="G41" s="85">
        <v>67000</v>
      </c>
      <c r="H41" s="502">
        <v>0</v>
      </c>
      <c r="I41" s="436">
        <v>2279</v>
      </c>
      <c r="J41" s="85">
        <v>67000</v>
      </c>
      <c r="K41" s="85"/>
    </row>
    <row r="42" spans="1:11" ht="38.25" x14ac:dyDescent="0.25">
      <c r="A42" s="962">
        <v>15</v>
      </c>
      <c r="B42" s="894" t="s">
        <v>965</v>
      </c>
      <c r="C42" s="365">
        <v>3712</v>
      </c>
      <c r="D42" s="365">
        <v>0</v>
      </c>
      <c r="E42" s="59">
        <v>3712</v>
      </c>
      <c r="F42" s="59">
        <v>0</v>
      </c>
      <c r="G42" s="85">
        <v>3712</v>
      </c>
      <c r="H42" s="502">
        <v>0</v>
      </c>
      <c r="I42" s="436">
        <v>2279</v>
      </c>
      <c r="J42" s="85">
        <v>3712</v>
      </c>
      <c r="K42" s="85"/>
    </row>
    <row r="43" spans="1:11" ht="12.75" x14ac:dyDescent="0.25">
      <c r="A43" s="962">
        <v>16</v>
      </c>
      <c r="B43" s="894" t="s">
        <v>966</v>
      </c>
      <c r="C43" s="365">
        <v>6119</v>
      </c>
      <c r="D43" s="365">
        <v>0</v>
      </c>
      <c r="E43" s="59">
        <v>6119</v>
      </c>
      <c r="F43" s="59">
        <v>0</v>
      </c>
      <c r="G43" s="85">
        <v>6000</v>
      </c>
      <c r="H43" s="502">
        <v>0</v>
      </c>
      <c r="I43" s="436">
        <v>2519</v>
      </c>
      <c r="J43" s="85">
        <v>6000</v>
      </c>
      <c r="K43" s="85"/>
    </row>
    <row r="44" spans="1:11" ht="25.5" x14ac:dyDescent="0.25">
      <c r="A44" s="962">
        <v>17</v>
      </c>
      <c r="B44" s="894" t="s">
        <v>967</v>
      </c>
      <c r="C44" s="365">
        <v>427</v>
      </c>
      <c r="D44" s="365">
        <v>0</v>
      </c>
      <c r="E44" s="59">
        <v>121</v>
      </c>
      <c r="F44" s="59">
        <v>0</v>
      </c>
      <c r="G44" s="85">
        <v>500</v>
      </c>
      <c r="H44" s="502">
        <v>0</v>
      </c>
      <c r="I44" s="436">
        <v>2276</v>
      </c>
      <c r="J44" s="85">
        <v>200</v>
      </c>
      <c r="K44" s="85"/>
    </row>
    <row r="45" spans="1:11" ht="12.75" x14ac:dyDescent="0.25">
      <c r="A45" s="402"/>
      <c r="B45" s="133"/>
      <c r="C45" s="403"/>
      <c r="D45" s="403"/>
      <c r="E45" s="404"/>
      <c r="F45" s="404"/>
      <c r="G45" s="403"/>
      <c r="H45" s="403"/>
      <c r="I45" s="405"/>
      <c r="J45" s="455"/>
      <c r="K45" s="455"/>
    </row>
    <row r="46" spans="1:11" s="95" customFormat="1" x14ac:dyDescent="0.2"/>
  </sheetData>
  <sortState ref="C47:I49">
    <sortCondition ref="I47:I49"/>
  </sortState>
  <mergeCells count="22">
    <mergeCell ref="A33:A34"/>
    <mergeCell ref="B33:B34"/>
    <mergeCell ref="J22:K23"/>
    <mergeCell ref="A22:A24"/>
    <mergeCell ref="B22:B24"/>
    <mergeCell ref="C22:D23"/>
    <mergeCell ref="E22:F23"/>
    <mergeCell ref="G22:H23"/>
    <mergeCell ref="B1:K1"/>
    <mergeCell ref="I22:I24"/>
    <mergeCell ref="A25:B25"/>
    <mergeCell ref="A28:A29"/>
    <mergeCell ref="B28:B29"/>
    <mergeCell ref="A16:B16"/>
    <mergeCell ref="A8:K8"/>
    <mergeCell ref="A14:A15"/>
    <mergeCell ref="B14:B15"/>
    <mergeCell ref="C14:C15"/>
    <mergeCell ref="E14:E15"/>
    <mergeCell ref="G14:G15"/>
    <mergeCell ref="I14:I15"/>
    <mergeCell ref="J14:J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99"/>
  </sheetPr>
  <dimension ref="A1:P377"/>
  <sheetViews>
    <sheetView zoomScaleNormal="100" workbookViewId="0">
      <selection activeCell="B2" sqref="B2"/>
    </sheetView>
  </sheetViews>
  <sheetFormatPr defaultRowHeight="12" x14ac:dyDescent="0.25"/>
  <cols>
    <col min="1" max="1" width="6.140625" style="240" customWidth="1"/>
    <col min="2" max="2" width="62" style="240" customWidth="1"/>
    <col min="3" max="3" width="10.140625" style="240" hidden="1" customWidth="1"/>
    <col min="4" max="4" width="10.42578125" style="240" hidden="1" customWidth="1"/>
    <col min="5" max="5" width="10.28515625" style="240" hidden="1" customWidth="1"/>
    <col min="6" max="6" width="10.5703125" style="240" customWidth="1"/>
    <col min="7" max="7" width="9.7109375" style="240" customWidth="1"/>
    <col min="8" max="10" width="9.140625" style="240" customWidth="1"/>
    <col min="11" max="11" width="9.42578125" style="240" customWidth="1"/>
    <col min="12" max="251" width="9.140625" style="240"/>
    <col min="252" max="252" width="6.140625" style="240" customWidth="1"/>
    <col min="253" max="253" width="44.85546875" style="240" customWidth="1"/>
    <col min="254" max="254" width="11.85546875" style="240" customWidth="1"/>
    <col min="255" max="255" width="11.140625" style="240" customWidth="1"/>
    <col min="256" max="256" width="10.28515625" style="240" customWidth="1"/>
    <col min="257" max="257" width="10.5703125" style="240" customWidth="1"/>
    <col min="258" max="258" width="9.7109375" style="240" customWidth="1"/>
    <col min="259" max="259" width="25.140625" style="240" customWidth="1"/>
    <col min="260" max="260" width="9.140625" style="240"/>
    <col min="261" max="266" width="9.140625" style="240" customWidth="1"/>
    <col min="267" max="267" width="9.42578125" style="240" customWidth="1"/>
    <col min="268" max="507" width="9.140625" style="240"/>
    <col min="508" max="508" width="6.140625" style="240" customWidth="1"/>
    <col min="509" max="509" width="44.85546875" style="240" customWidth="1"/>
    <col min="510" max="510" width="11.85546875" style="240" customWidth="1"/>
    <col min="511" max="511" width="11.140625" style="240" customWidth="1"/>
    <col min="512" max="512" width="10.28515625" style="240" customWidth="1"/>
    <col min="513" max="513" width="10.5703125" style="240" customWidth="1"/>
    <col min="514" max="514" width="9.7109375" style="240" customWidth="1"/>
    <col min="515" max="515" width="25.140625" style="240" customWidth="1"/>
    <col min="516" max="516" width="9.140625" style="240"/>
    <col min="517" max="522" width="9.140625" style="240" customWidth="1"/>
    <col min="523" max="523" width="9.42578125" style="240" customWidth="1"/>
    <col min="524" max="763" width="9.140625" style="240"/>
    <col min="764" max="764" width="6.140625" style="240" customWidth="1"/>
    <col min="765" max="765" width="44.85546875" style="240" customWidth="1"/>
    <col min="766" max="766" width="11.85546875" style="240" customWidth="1"/>
    <col min="767" max="767" width="11.140625" style="240" customWidth="1"/>
    <col min="768" max="768" width="10.28515625" style="240" customWidth="1"/>
    <col min="769" max="769" width="10.5703125" style="240" customWidth="1"/>
    <col min="770" max="770" width="9.7109375" style="240" customWidth="1"/>
    <col min="771" max="771" width="25.140625" style="240" customWidth="1"/>
    <col min="772" max="772" width="9.140625" style="240"/>
    <col min="773" max="778" width="9.140625" style="240" customWidth="1"/>
    <col min="779" max="779" width="9.42578125" style="240" customWidth="1"/>
    <col min="780" max="1019" width="9.140625" style="240"/>
    <col min="1020" max="1020" width="6.140625" style="240" customWidth="1"/>
    <col min="1021" max="1021" width="44.85546875" style="240" customWidth="1"/>
    <col min="1022" max="1022" width="11.85546875" style="240" customWidth="1"/>
    <col min="1023" max="1023" width="11.140625" style="240" customWidth="1"/>
    <col min="1024" max="1024" width="10.28515625" style="240" customWidth="1"/>
    <col min="1025" max="1025" width="10.5703125" style="240" customWidth="1"/>
    <col min="1026" max="1026" width="9.7109375" style="240" customWidth="1"/>
    <col min="1027" max="1027" width="25.140625" style="240" customWidth="1"/>
    <col min="1028" max="1028" width="9.140625" style="240"/>
    <col min="1029" max="1034" width="9.140625" style="240" customWidth="1"/>
    <col min="1035" max="1035" width="9.42578125" style="240" customWidth="1"/>
    <col min="1036" max="1275" width="9.140625" style="240"/>
    <col min="1276" max="1276" width="6.140625" style="240" customWidth="1"/>
    <col min="1277" max="1277" width="44.85546875" style="240" customWidth="1"/>
    <col min="1278" max="1278" width="11.85546875" style="240" customWidth="1"/>
    <col min="1279" max="1279" width="11.140625" style="240" customWidth="1"/>
    <col min="1280" max="1280" width="10.28515625" style="240" customWidth="1"/>
    <col min="1281" max="1281" width="10.5703125" style="240" customWidth="1"/>
    <col min="1282" max="1282" width="9.7109375" style="240" customWidth="1"/>
    <col min="1283" max="1283" width="25.140625" style="240" customWidth="1"/>
    <col min="1284" max="1284" width="9.140625" style="240"/>
    <col min="1285" max="1290" width="9.140625" style="240" customWidth="1"/>
    <col min="1291" max="1291" width="9.42578125" style="240" customWidth="1"/>
    <col min="1292" max="1531" width="9.140625" style="240"/>
    <col min="1532" max="1532" width="6.140625" style="240" customWidth="1"/>
    <col min="1533" max="1533" width="44.85546875" style="240" customWidth="1"/>
    <col min="1534" max="1534" width="11.85546875" style="240" customWidth="1"/>
    <col min="1535" max="1535" width="11.140625" style="240" customWidth="1"/>
    <col min="1536" max="1536" width="10.28515625" style="240" customWidth="1"/>
    <col min="1537" max="1537" width="10.5703125" style="240" customWidth="1"/>
    <col min="1538" max="1538" width="9.7109375" style="240" customWidth="1"/>
    <col min="1539" max="1539" width="25.140625" style="240" customWidth="1"/>
    <col min="1540" max="1540" width="9.140625" style="240"/>
    <col min="1541" max="1546" width="9.140625" style="240" customWidth="1"/>
    <col min="1547" max="1547" width="9.42578125" style="240" customWidth="1"/>
    <col min="1548" max="1787" width="9.140625" style="240"/>
    <col min="1788" max="1788" width="6.140625" style="240" customWidth="1"/>
    <col min="1789" max="1789" width="44.85546875" style="240" customWidth="1"/>
    <col min="1790" max="1790" width="11.85546875" style="240" customWidth="1"/>
    <col min="1791" max="1791" width="11.140625" style="240" customWidth="1"/>
    <col min="1792" max="1792" width="10.28515625" style="240" customWidth="1"/>
    <col min="1793" max="1793" width="10.5703125" style="240" customWidth="1"/>
    <col min="1794" max="1794" width="9.7109375" style="240" customWidth="1"/>
    <col min="1795" max="1795" width="25.140625" style="240" customWidth="1"/>
    <col min="1796" max="1796" width="9.140625" style="240"/>
    <col min="1797" max="1802" width="9.140625" style="240" customWidth="1"/>
    <col min="1803" max="1803" width="9.42578125" style="240" customWidth="1"/>
    <col min="1804" max="2043" width="9.140625" style="240"/>
    <col min="2044" max="2044" width="6.140625" style="240" customWidth="1"/>
    <col min="2045" max="2045" width="44.85546875" style="240" customWidth="1"/>
    <col min="2046" max="2046" width="11.85546875" style="240" customWidth="1"/>
    <col min="2047" max="2047" width="11.140625" style="240" customWidth="1"/>
    <col min="2048" max="2048" width="10.28515625" style="240" customWidth="1"/>
    <col min="2049" max="2049" width="10.5703125" style="240" customWidth="1"/>
    <col min="2050" max="2050" width="9.7109375" style="240" customWidth="1"/>
    <col min="2051" max="2051" width="25.140625" style="240" customWidth="1"/>
    <col min="2052" max="2052" width="9.140625" style="240"/>
    <col min="2053" max="2058" width="9.140625" style="240" customWidth="1"/>
    <col min="2059" max="2059" width="9.42578125" style="240" customWidth="1"/>
    <col min="2060" max="2299" width="9.140625" style="240"/>
    <col min="2300" max="2300" width="6.140625" style="240" customWidth="1"/>
    <col min="2301" max="2301" width="44.85546875" style="240" customWidth="1"/>
    <col min="2302" max="2302" width="11.85546875" style="240" customWidth="1"/>
    <col min="2303" max="2303" width="11.140625" style="240" customWidth="1"/>
    <col min="2304" max="2304" width="10.28515625" style="240" customWidth="1"/>
    <col min="2305" max="2305" width="10.5703125" style="240" customWidth="1"/>
    <col min="2306" max="2306" width="9.7109375" style="240" customWidth="1"/>
    <col min="2307" max="2307" width="25.140625" style="240" customWidth="1"/>
    <col min="2308" max="2308" width="9.140625" style="240"/>
    <col min="2309" max="2314" width="9.140625" style="240" customWidth="1"/>
    <col min="2315" max="2315" width="9.42578125" style="240" customWidth="1"/>
    <col min="2316" max="2555" width="9.140625" style="240"/>
    <col min="2556" max="2556" width="6.140625" style="240" customWidth="1"/>
    <col min="2557" max="2557" width="44.85546875" style="240" customWidth="1"/>
    <col min="2558" max="2558" width="11.85546875" style="240" customWidth="1"/>
    <col min="2559" max="2559" width="11.140625" style="240" customWidth="1"/>
    <col min="2560" max="2560" width="10.28515625" style="240" customWidth="1"/>
    <col min="2561" max="2561" width="10.5703125" style="240" customWidth="1"/>
    <col min="2562" max="2562" width="9.7109375" style="240" customWidth="1"/>
    <col min="2563" max="2563" width="25.140625" style="240" customWidth="1"/>
    <col min="2564" max="2564" width="9.140625" style="240"/>
    <col min="2565" max="2570" width="9.140625" style="240" customWidth="1"/>
    <col min="2571" max="2571" width="9.42578125" style="240" customWidth="1"/>
    <col min="2572" max="2811" width="9.140625" style="240"/>
    <col min="2812" max="2812" width="6.140625" style="240" customWidth="1"/>
    <col min="2813" max="2813" width="44.85546875" style="240" customWidth="1"/>
    <col min="2814" max="2814" width="11.85546875" style="240" customWidth="1"/>
    <col min="2815" max="2815" width="11.140625" style="240" customWidth="1"/>
    <col min="2816" max="2816" width="10.28515625" style="240" customWidth="1"/>
    <col min="2817" max="2817" width="10.5703125" style="240" customWidth="1"/>
    <col min="2818" max="2818" width="9.7109375" style="240" customWidth="1"/>
    <col min="2819" max="2819" width="25.140625" style="240" customWidth="1"/>
    <col min="2820" max="2820" width="9.140625" style="240"/>
    <col min="2821" max="2826" width="9.140625" style="240" customWidth="1"/>
    <col min="2827" max="2827" width="9.42578125" style="240" customWidth="1"/>
    <col min="2828" max="3067" width="9.140625" style="240"/>
    <col min="3068" max="3068" width="6.140625" style="240" customWidth="1"/>
    <col min="3069" max="3069" width="44.85546875" style="240" customWidth="1"/>
    <col min="3070" max="3070" width="11.85546875" style="240" customWidth="1"/>
    <col min="3071" max="3071" width="11.140625" style="240" customWidth="1"/>
    <col min="3072" max="3072" width="10.28515625" style="240" customWidth="1"/>
    <col min="3073" max="3073" width="10.5703125" style="240" customWidth="1"/>
    <col min="3074" max="3074" width="9.7109375" style="240" customWidth="1"/>
    <col min="3075" max="3075" width="25.140625" style="240" customWidth="1"/>
    <col min="3076" max="3076" width="9.140625" style="240"/>
    <col min="3077" max="3082" width="9.140625" style="240" customWidth="1"/>
    <col min="3083" max="3083" width="9.42578125" style="240" customWidth="1"/>
    <col min="3084" max="3323" width="9.140625" style="240"/>
    <col min="3324" max="3324" width="6.140625" style="240" customWidth="1"/>
    <col min="3325" max="3325" width="44.85546875" style="240" customWidth="1"/>
    <col min="3326" max="3326" width="11.85546875" style="240" customWidth="1"/>
    <col min="3327" max="3327" width="11.140625" style="240" customWidth="1"/>
    <col min="3328" max="3328" width="10.28515625" style="240" customWidth="1"/>
    <col min="3329" max="3329" width="10.5703125" style="240" customWidth="1"/>
    <col min="3330" max="3330" width="9.7109375" style="240" customWidth="1"/>
    <col min="3331" max="3331" width="25.140625" style="240" customWidth="1"/>
    <col min="3332" max="3332" width="9.140625" style="240"/>
    <col min="3333" max="3338" width="9.140625" style="240" customWidth="1"/>
    <col min="3339" max="3339" width="9.42578125" style="240" customWidth="1"/>
    <col min="3340" max="3579" width="9.140625" style="240"/>
    <col min="3580" max="3580" width="6.140625" style="240" customWidth="1"/>
    <col min="3581" max="3581" width="44.85546875" style="240" customWidth="1"/>
    <col min="3582" max="3582" width="11.85546875" style="240" customWidth="1"/>
    <col min="3583" max="3583" width="11.140625" style="240" customWidth="1"/>
    <col min="3584" max="3584" width="10.28515625" style="240" customWidth="1"/>
    <col min="3585" max="3585" width="10.5703125" style="240" customWidth="1"/>
    <col min="3586" max="3586" width="9.7109375" style="240" customWidth="1"/>
    <col min="3587" max="3587" width="25.140625" style="240" customWidth="1"/>
    <col min="3588" max="3588" width="9.140625" style="240"/>
    <col min="3589" max="3594" width="9.140625" style="240" customWidth="1"/>
    <col min="3595" max="3595" width="9.42578125" style="240" customWidth="1"/>
    <col min="3596" max="3835" width="9.140625" style="240"/>
    <col min="3836" max="3836" width="6.140625" style="240" customWidth="1"/>
    <col min="3837" max="3837" width="44.85546875" style="240" customWidth="1"/>
    <col min="3838" max="3838" width="11.85546875" style="240" customWidth="1"/>
    <col min="3839" max="3839" width="11.140625" style="240" customWidth="1"/>
    <col min="3840" max="3840" width="10.28515625" style="240" customWidth="1"/>
    <col min="3841" max="3841" width="10.5703125" style="240" customWidth="1"/>
    <col min="3842" max="3842" width="9.7109375" style="240" customWidth="1"/>
    <col min="3843" max="3843" width="25.140625" style="240" customWidth="1"/>
    <col min="3844" max="3844" width="9.140625" style="240"/>
    <col min="3845" max="3850" width="9.140625" style="240" customWidth="1"/>
    <col min="3851" max="3851" width="9.42578125" style="240" customWidth="1"/>
    <col min="3852" max="4091" width="9.140625" style="240"/>
    <col min="4092" max="4092" width="6.140625" style="240" customWidth="1"/>
    <col min="4093" max="4093" width="44.85546875" style="240" customWidth="1"/>
    <col min="4094" max="4094" width="11.85546875" style="240" customWidth="1"/>
    <col min="4095" max="4095" width="11.140625" style="240" customWidth="1"/>
    <col min="4096" max="4096" width="10.28515625" style="240" customWidth="1"/>
    <col min="4097" max="4097" width="10.5703125" style="240" customWidth="1"/>
    <col min="4098" max="4098" width="9.7109375" style="240" customWidth="1"/>
    <col min="4099" max="4099" width="25.140625" style="240" customWidth="1"/>
    <col min="4100" max="4100" width="9.140625" style="240"/>
    <col min="4101" max="4106" width="9.140625" style="240" customWidth="1"/>
    <col min="4107" max="4107" width="9.42578125" style="240" customWidth="1"/>
    <col min="4108" max="4347" width="9.140625" style="240"/>
    <col min="4348" max="4348" width="6.140625" style="240" customWidth="1"/>
    <col min="4349" max="4349" width="44.85546875" style="240" customWidth="1"/>
    <col min="4350" max="4350" width="11.85546875" style="240" customWidth="1"/>
    <col min="4351" max="4351" width="11.140625" style="240" customWidth="1"/>
    <col min="4352" max="4352" width="10.28515625" style="240" customWidth="1"/>
    <col min="4353" max="4353" width="10.5703125" style="240" customWidth="1"/>
    <col min="4354" max="4354" width="9.7109375" style="240" customWidth="1"/>
    <col min="4355" max="4355" width="25.140625" style="240" customWidth="1"/>
    <col min="4356" max="4356" width="9.140625" style="240"/>
    <col min="4357" max="4362" width="9.140625" style="240" customWidth="1"/>
    <col min="4363" max="4363" width="9.42578125" style="240" customWidth="1"/>
    <col min="4364" max="4603" width="9.140625" style="240"/>
    <col min="4604" max="4604" width="6.140625" style="240" customWidth="1"/>
    <col min="4605" max="4605" width="44.85546875" style="240" customWidth="1"/>
    <col min="4606" max="4606" width="11.85546875" style="240" customWidth="1"/>
    <col min="4607" max="4607" width="11.140625" style="240" customWidth="1"/>
    <col min="4608" max="4608" width="10.28515625" style="240" customWidth="1"/>
    <col min="4609" max="4609" width="10.5703125" style="240" customWidth="1"/>
    <col min="4610" max="4610" width="9.7109375" style="240" customWidth="1"/>
    <col min="4611" max="4611" width="25.140625" style="240" customWidth="1"/>
    <col min="4612" max="4612" width="9.140625" style="240"/>
    <col min="4613" max="4618" width="9.140625" style="240" customWidth="1"/>
    <col min="4619" max="4619" width="9.42578125" style="240" customWidth="1"/>
    <col min="4620" max="4859" width="9.140625" style="240"/>
    <col min="4860" max="4860" width="6.140625" style="240" customWidth="1"/>
    <col min="4861" max="4861" width="44.85546875" style="240" customWidth="1"/>
    <col min="4862" max="4862" width="11.85546875" style="240" customWidth="1"/>
    <col min="4863" max="4863" width="11.140625" style="240" customWidth="1"/>
    <col min="4864" max="4864" width="10.28515625" style="240" customWidth="1"/>
    <col min="4865" max="4865" width="10.5703125" style="240" customWidth="1"/>
    <col min="4866" max="4866" width="9.7109375" style="240" customWidth="1"/>
    <col min="4867" max="4867" width="25.140625" style="240" customWidth="1"/>
    <col min="4868" max="4868" width="9.140625" style="240"/>
    <col min="4869" max="4874" width="9.140625" style="240" customWidth="1"/>
    <col min="4875" max="4875" width="9.42578125" style="240" customWidth="1"/>
    <col min="4876" max="5115" width="9.140625" style="240"/>
    <col min="5116" max="5116" width="6.140625" style="240" customWidth="1"/>
    <col min="5117" max="5117" width="44.85546875" style="240" customWidth="1"/>
    <col min="5118" max="5118" width="11.85546875" style="240" customWidth="1"/>
    <col min="5119" max="5119" width="11.140625" style="240" customWidth="1"/>
    <col min="5120" max="5120" width="10.28515625" style="240" customWidth="1"/>
    <col min="5121" max="5121" width="10.5703125" style="240" customWidth="1"/>
    <col min="5122" max="5122" width="9.7109375" style="240" customWidth="1"/>
    <col min="5123" max="5123" width="25.140625" style="240" customWidth="1"/>
    <col min="5124" max="5124" width="9.140625" style="240"/>
    <col min="5125" max="5130" width="9.140625" style="240" customWidth="1"/>
    <col min="5131" max="5131" width="9.42578125" style="240" customWidth="1"/>
    <col min="5132" max="5371" width="9.140625" style="240"/>
    <col min="5372" max="5372" width="6.140625" style="240" customWidth="1"/>
    <col min="5373" max="5373" width="44.85546875" style="240" customWidth="1"/>
    <col min="5374" max="5374" width="11.85546875" style="240" customWidth="1"/>
    <col min="5375" max="5375" width="11.140625" style="240" customWidth="1"/>
    <col min="5376" max="5376" width="10.28515625" style="240" customWidth="1"/>
    <col min="5377" max="5377" width="10.5703125" style="240" customWidth="1"/>
    <col min="5378" max="5378" width="9.7109375" style="240" customWidth="1"/>
    <col min="5379" max="5379" width="25.140625" style="240" customWidth="1"/>
    <col min="5380" max="5380" width="9.140625" style="240"/>
    <col min="5381" max="5386" width="9.140625" style="240" customWidth="1"/>
    <col min="5387" max="5387" width="9.42578125" style="240" customWidth="1"/>
    <col min="5388" max="5627" width="9.140625" style="240"/>
    <col min="5628" max="5628" width="6.140625" style="240" customWidth="1"/>
    <col min="5629" max="5629" width="44.85546875" style="240" customWidth="1"/>
    <col min="5630" max="5630" width="11.85546875" style="240" customWidth="1"/>
    <col min="5631" max="5631" width="11.140625" style="240" customWidth="1"/>
    <col min="5632" max="5632" width="10.28515625" style="240" customWidth="1"/>
    <col min="5633" max="5633" width="10.5703125" style="240" customWidth="1"/>
    <col min="5634" max="5634" width="9.7109375" style="240" customWidth="1"/>
    <col min="5635" max="5635" width="25.140625" style="240" customWidth="1"/>
    <col min="5636" max="5636" width="9.140625" style="240"/>
    <col min="5637" max="5642" width="9.140625" style="240" customWidth="1"/>
    <col min="5643" max="5643" width="9.42578125" style="240" customWidth="1"/>
    <col min="5644" max="5883" width="9.140625" style="240"/>
    <col min="5884" max="5884" width="6.140625" style="240" customWidth="1"/>
    <col min="5885" max="5885" width="44.85546875" style="240" customWidth="1"/>
    <col min="5886" max="5886" width="11.85546875" style="240" customWidth="1"/>
    <col min="5887" max="5887" width="11.140625" style="240" customWidth="1"/>
    <col min="5888" max="5888" width="10.28515625" style="240" customWidth="1"/>
    <col min="5889" max="5889" width="10.5703125" style="240" customWidth="1"/>
    <col min="5890" max="5890" width="9.7109375" style="240" customWidth="1"/>
    <col min="5891" max="5891" width="25.140625" style="240" customWidth="1"/>
    <col min="5892" max="5892" width="9.140625" style="240"/>
    <col min="5893" max="5898" width="9.140625" style="240" customWidth="1"/>
    <col min="5899" max="5899" width="9.42578125" style="240" customWidth="1"/>
    <col min="5900" max="6139" width="9.140625" style="240"/>
    <col min="6140" max="6140" width="6.140625" style="240" customWidth="1"/>
    <col min="6141" max="6141" width="44.85546875" style="240" customWidth="1"/>
    <col min="6142" max="6142" width="11.85546875" style="240" customWidth="1"/>
    <col min="6143" max="6143" width="11.140625" style="240" customWidth="1"/>
    <col min="6144" max="6144" width="10.28515625" style="240" customWidth="1"/>
    <col min="6145" max="6145" width="10.5703125" style="240" customWidth="1"/>
    <col min="6146" max="6146" width="9.7109375" style="240" customWidth="1"/>
    <col min="6147" max="6147" width="25.140625" style="240" customWidth="1"/>
    <col min="6148" max="6148" width="9.140625" style="240"/>
    <col min="6149" max="6154" width="9.140625" style="240" customWidth="1"/>
    <col min="6155" max="6155" width="9.42578125" style="240" customWidth="1"/>
    <col min="6156" max="6395" width="9.140625" style="240"/>
    <col min="6396" max="6396" width="6.140625" style="240" customWidth="1"/>
    <col min="6397" max="6397" width="44.85546875" style="240" customWidth="1"/>
    <col min="6398" max="6398" width="11.85546875" style="240" customWidth="1"/>
    <col min="6399" max="6399" width="11.140625" style="240" customWidth="1"/>
    <col min="6400" max="6400" width="10.28515625" style="240" customWidth="1"/>
    <col min="6401" max="6401" width="10.5703125" style="240" customWidth="1"/>
    <col min="6402" max="6402" width="9.7109375" style="240" customWidth="1"/>
    <col min="6403" max="6403" width="25.140625" style="240" customWidth="1"/>
    <col min="6404" max="6404" width="9.140625" style="240"/>
    <col min="6405" max="6410" width="9.140625" style="240" customWidth="1"/>
    <col min="6411" max="6411" width="9.42578125" style="240" customWidth="1"/>
    <col min="6412" max="6651" width="9.140625" style="240"/>
    <col min="6652" max="6652" width="6.140625" style="240" customWidth="1"/>
    <col min="6653" max="6653" width="44.85546875" style="240" customWidth="1"/>
    <col min="6654" max="6654" width="11.85546875" style="240" customWidth="1"/>
    <col min="6655" max="6655" width="11.140625" style="240" customWidth="1"/>
    <col min="6656" max="6656" width="10.28515625" style="240" customWidth="1"/>
    <col min="6657" max="6657" width="10.5703125" style="240" customWidth="1"/>
    <col min="6658" max="6658" width="9.7109375" style="240" customWidth="1"/>
    <col min="6659" max="6659" width="25.140625" style="240" customWidth="1"/>
    <col min="6660" max="6660" width="9.140625" style="240"/>
    <col min="6661" max="6666" width="9.140625" style="240" customWidth="1"/>
    <col min="6667" max="6667" width="9.42578125" style="240" customWidth="1"/>
    <col min="6668" max="6907" width="9.140625" style="240"/>
    <col min="6908" max="6908" width="6.140625" style="240" customWidth="1"/>
    <col min="6909" max="6909" width="44.85546875" style="240" customWidth="1"/>
    <col min="6910" max="6910" width="11.85546875" style="240" customWidth="1"/>
    <col min="6911" max="6911" width="11.140625" style="240" customWidth="1"/>
    <col min="6912" max="6912" width="10.28515625" style="240" customWidth="1"/>
    <col min="6913" max="6913" width="10.5703125" style="240" customWidth="1"/>
    <col min="6914" max="6914" width="9.7109375" style="240" customWidth="1"/>
    <col min="6915" max="6915" width="25.140625" style="240" customWidth="1"/>
    <col min="6916" max="6916" width="9.140625" style="240"/>
    <col min="6917" max="6922" width="9.140625" style="240" customWidth="1"/>
    <col min="6923" max="6923" width="9.42578125" style="240" customWidth="1"/>
    <col min="6924" max="7163" width="9.140625" style="240"/>
    <col min="7164" max="7164" width="6.140625" style="240" customWidth="1"/>
    <col min="7165" max="7165" width="44.85546875" style="240" customWidth="1"/>
    <col min="7166" max="7166" width="11.85546875" style="240" customWidth="1"/>
    <col min="7167" max="7167" width="11.140625" style="240" customWidth="1"/>
    <col min="7168" max="7168" width="10.28515625" style="240" customWidth="1"/>
    <col min="7169" max="7169" width="10.5703125" style="240" customWidth="1"/>
    <col min="7170" max="7170" width="9.7109375" style="240" customWidth="1"/>
    <col min="7171" max="7171" width="25.140625" style="240" customWidth="1"/>
    <col min="7172" max="7172" width="9.140625" style="240"/>
    <col min="7173" max="7178" width="9.140625" style="240" customWidth="1"/>
    <col min="7179" max="7179" width="9.42578125" style="240" customWidth="1"/>
    <col min="7180" max="7419" width="9.140625" style="240"/>
    <col min="7420" max="7420" width="6.140625" style="240" customWidth="1"/>
    <col min="7421" max="7421" width="44.85546875" style="240" customWidth="1"/>
    <col min="7422" max="7422" width="11.85546875" style="240" customWidth="1"/>
    <col min="7423" max="7423" width="11.140625" style="240" customWidth="1"/>
    <col min="7424" max="7424" width="10.28515625" style="240" customWidth="1"/>
    <col min="7425" max="7425" width="10.5703125" style="240" customWidth="1"/>
    <col min="7426" max="7426" width="9.7109375" style="240" customWidth="1"/>
    <col min="7427" max="7427" width="25.140625" style="240" customWidth="1"/>
    <col min="7428" max="7428" width="9.140625" style="240"/>
    <col min="7429" max="7434" width="9.140625" style="240" customWidth="1"/>
    <col min="7435" max="7435" width="9.42578125" style="240" customWidth="1"/>
    <col min="7436" max="7675" width="9.140625" style="240"/>
    <col min="7676" max="7676" width="6.140625" style="240" customWidth="1"/>
    <col min="7677" max="7677" width="44.85546875" style="240" customWidth="1"/>
    <col min="7678" max="7678" width="11.85546875" style="240" customWidth="1"/>
    <col min="7679" max="7679" width="11.140625" style="240" customWidth="1"/>
    <col min="7680" max="7680" width="10.28515625" style="240" customWidth="1"/>
    <col min="7681" max="7681" width="10.5703125" style="240" customWidth="1"/>
    <col min="7682" max="7682" width="9.7109375" style="240" customWidth="1"/>
    <col min="7683" max="7683" width="25.140625" style="240" customWidth="1"/>
    <col min="7684" max="7684" width="9.140625" style="240"/>
    <col min="7685" max="7690" width="9.140625" style="240" customWidth="1"/>
    <col min="7691" max="7691" width="9.42578125" style="240" customWidth="1"/>
    <col min="7692" max="7931" width="9.140625" style="240"/>
    <col min="7932" max="7932" width="6.140625" style="240" customWidth="1"/>
    <col min="7933" max="7933" width="44.85546875" style="240" customWidth="1"/>
    <col min="7934" max="7934" width="11.85546875" style="240" customWidth="1"/>
    <col min="7935" max="7935" width="11.140625" style="240" customWidth="1"/>
    <col min="7936" max="7936" width="10.28515625" style="240" customWidth="1"/>
    <col min="7937" max="7937" width="10.5703125" style="240" customWidth="1"/>
    <col min="7938" max="7938" width="9.7109375" style="240" customWidth="1"/>
    <col min="7939" max="7939" width="25.140625" style="240" customWidth="1"/>
    <col min="7940" max="7940" width="9.140625" style="240"/>
    <col min="7941" max="7946" width="9.140625" style="240" customWidth="1"/>
    <col min="7947" max="7947" width="9.42578125" style="240" customWidth="1"/>
    <col min="7948" max="8187" width="9.140625" style="240"/>
    <col min="8188" max="8188" width="6.140625" style="240" customWidth="1"/>
    <col min="8189" max="8189" width="44.85546875" style="240" customWidth="1"/>
    <col min="8190" max="8190" width="11.85546875" style="240" customWidth="1"/>
    <col min="8191" max="8191" width="11.140625" style="240" customWidth="1"/>
    <col min="8192" max="8192" width="10.28515625" style="240" customWidth="1"/>
    <col min="8193" max="8193" width="10.5703125" style="240" customWidth="1"/>
    <col min="8194" max="8194" width="9.7109375" style="240" customWidth="1"/>
    <col min="8195" max="8195" width="25.140625" style="240" customWidth="1"/>
    <col min="8196" max="8196" width="9.140625" style="240"/>
    <col min="8197" max="8202" width="9.140625" style="240" customWidth="1"/>
    <col min="8203" max="8203" width="9.42578125" style="240" customWidth="1"/>
    <col min="8204" max="8443" width="9.140625" style="240"/>
    <col min="8444" max="8444" width="6.140625" style="240" customWidth="1"/>
    <col min="8445" max="8445" width="44.85546875" style="240" customWidth="1"/>
    <col min="8446" max="8446" width="11.85546875" style="240" customWidth="1"/>
    <col min="8447" max="8447" width="11.140625" style="240" customWidth="1"/>
    <col min="8448" max="8448" width="10.28515625" style="240" customWidth="1"/>
    <col min="8449" max="8449" width="10.5703125" style="240" customWidth="1"/>
    <col min="8450" max="8450" width="9.7109375" style="240" customWidth="1"/>
    <col min="8451" max="8451" width="25.140625" style="240" customWidth="1"/>
    <col min="8452" max="8452" width="9.140625" style="240"/>
    <col min="8453" max="8458" width="9.140625" style="240" customWidth="1"/>
    <col min="8459" max="8459" width="9.42578125" style="240" customWidth="1"/>
    <col min="8460" max="8699" width="9.140625" style="240"/>
    <col min="8700" max="8700" width="6.140625" style="240" customWidth="1"/>
    <col min="8701" max="8701" width="44.85546875" style="240" customWidth="1"/>
    <col min="8702" max="8702" width="11.85546875" style="240" customWidth="1"/>
    <col min="8703" max="8703" width="11.140625" style="240" customWidth="1"/>
    <col min="8704" max="8704" width="10.28515625" style="240" customWidth="1"/>
    <col min="8705" max="8705" width="10.5703125" style="240" customWidth="1"/>
    <col min="8706" max="8706" width="9.7109375" style="240" customWidth="1"/>
    <col min="8707" max="8707" width="25.140625" style="240" customWidth="1"/>
    <col min="8708" max="8708" width="9.140625" style="240"/>
    <col min="8709" max="8714" width="9.140625" style="240" customWidth="1"/>
    <col min="8715" max="8715" width="9.42578125" style="240" customWidth="1"/>
    <col min="8716" max="8955" width="9.140625" style="240"/>
    <col min="8956" max="8956" width="6.140625" style="240" customWidth="1"/>
    <col min="8957" max="8957" width="44.85546875" style="240" customWidth="1"/>
    <col min="8958" max="8958" width="11.85546875" style="240" customWidth="1"/>
    <col min="8959" max="8959" width="11.140625" style="240" customWidth="1"/>
    <col min="8960" max="8960" width="10.28515625" style="240" customWidth="1"/>
    <col min="8961" max="8961" width="10.5703125" style="240" customWidth="1"/>
    <col min="8962" max="8962" width="9.7109375" style="240" customWidth="1"/>
    <col min="8963" max="8963" width="25.140625" style="240" customWidth="1"/>
    <col min="8964" max="8964" width="9.140625" style="240"/>
    <col min="8965" max="8970" width="9.140625" style="240" customWidth="1"/>
    <col min="8971" max="8971" width="9.42578125" style="240" customWidth="1"/>
    <col min="8972" max="9211" width="9.140625" style="240"/>
    <col min="9212" max="9212" width="6.140625" style="240" customWidth="1"/>
    <col min="9213" max="9213" width="44.85546875" style="240" customWidth="1"/>
    <col min="9214" max="9214" width="11.85546875" style="240" customWidth="1"/>
    <col min="9215" max="9215" width="11.140625" style="240" customWidth="1"/>
    <col min="9216" max="9216" width="10.28515625" style="240" customWidth="1"/>
    <col min="9217" max="9217" width="10.5703125" style="240" customWidth="1"/>
    <col min="9218" max="9218" width="9.7109375" style="240" customWidth="1"/>
    <col min="9219" max="9219" width="25.140625" style="240" customWidth="1"/>
    <col min="9220" max="9220" width="9.140625" style="240"/>
    <col min="9221" max="9226" width="9.140625" style="240" customWidth="1"/>
    <col min="9227" max="9227" width="9.42578125" style="240" customWidth="1"/>
    <col min="9228" max="9467" width="9.140625" style="240"/>
    <col min="9468" max="9468" width="6.140625" style="240" customWidth="1"/>
    <col min="9469" max="9469" width="44.85546875" style="240" customWidth="1"/>
    <col min="9470" max="9470" width="11.85546875" style="240" customWidth="1"/>
    <col min="9471" max="9471" width="11.140625" style="240" customWidth="1"/>
    <col min="9472" max="9472" width="10.28515625" style="240" customWidth="1"/>
    <col min="9473" max="9473" width="10.5703125" style="240" customWidth="1"/>
    <col min="9474" max="9474" width="9.7109375" style="240" customWidth="1"/>
    <col min="9475" max="9475" width="25.140625" style="240" customWidth="1"/>
    <col min="9476" max="9476" width="9.140625" style="240"/>
    <col min="9477" max="9482" width="9.140625" style="240" customWidth="1"/>
    <col min="9483" max="9483" width="9.42578125" style="240" customWidth="1"/>
    <col min="9484" max="9723" width="9.140625" style="240"/>
    <col min="9724" max="9724" width="6.140625" style="240" customWidth="1"/>
    <col min="9725" max="9725" width="44.85546875" style="240" customWidth="1"/>
    <col min="9726" max="9726" width="11.85546875" style="240" customWidth="1"/>
    <col min="9727" max="9727" width="11.140625" style="240" customWidth="1"/>
    <col min="9728" max="9728" width="10.28515625" style="240" customWidth="1"/>
    <col min="9729" max="9729" width="10.5703125" style="240" customWidth="1"/>
    <col min="9730" max="9730" width="9.7109375" style="240" customWidth="1"/>
    <col min="9731" max="9731" width="25.140625" style="240" customWidth="1"/>
    <col min="9732" max="9732" width="9.140625" style="240"/>
    <col min="9733" max="9738" width="9.140625" style="240" customWidth="1"/>
    <col min="9739" max="9739" width="9.42578125" style="240" customWidth="1"/>
    <col min="9740" max="9979" width="9.140625" style="240"/>
    <col min="9980" max="9980" width="6.140625" style="240" customWidth="1"/>
    <col min="9981" max="9981" width="44.85546875" style="240" customWidth="1"/>
    <col min="9982" max="9982" width="11.85546875" style="240" customWidth="1"/>
    <col min="9983" max="9983" width="11.140625" style="240" customWidth="1"/>
    <col min="9984" max="9984" width="10.28515625" style="240" customWidth="1"/>
    <col min="9985" max="9985" width="10.5703125" style="240" customWidth="1"/>
    <col min="9986" max="9986" width="9.7109375" style="240" customWidth="1"/>
    <col min="9987" max="9987" width="25.140625" style="240" customWidth="1"/>
    <col min="9988" max="9988" width="9.140625" style="240"/>
    <col min="9989" max="9994" width="9.140625" style="240" customWidth="1"/>
    <col min="9995" max="9995" width="9.42578125" style="240" customWidth="1"/>
    <col min="9996" max="10235" width="9.140625" style="240"/>
    <col min="10236" max="10236" width="6.140625" style="240" customWidth="1"/>
    <col min="10237" max="10237" width="44.85546875" style="240" customWidth="1"/>
    <col min="10238" max="10238" width="11.85546875" style="240" customWidth="1"/>
    <col min="10239" max="10239" width="11.140625" style="240" customWidth="1"/>
    <col min="10240" max="10240" width="10.28515625" style="240" customWidth="1"/>
    <col min="10241" max="10241" width="10.5703125" style="240" customWidth="1"/>
    <col min="10242" max="10242" width="9.7109375" style="240" customWidth="1"/>
    <col min="10243" max="10243" width="25.140625" style="240" customWidth="1"/>
    <col min="10244" max="10244" width="9.140625" style="240"/>
    <col min="10245" max="10250" width="9.140625" style="240" customWidth="1"/>
    <col min="10251" max="10251" width="9.42578125" style="240" customWidth="1"/>
    <col min="10252" max="10491" width="9.140625" style="240"/>
    <col min="10492" max="10492" width="6.140625" style="240" customWidth="1"/>
    <col min="10493" max="10493" width="44.85546875" style="240" customWidth="1"/>
    <col min="10494" max="10494" width="11.85546875" style="240" customWidth="1"/>
    <col min="10495" max="10495" width="11.140625" style="240" customWidth="1"/>
    <col min="10496" max="10496" width="10.28515625" style="240" customWidth="1"/>
    <col min="10497" max="10497" width="10.5703125" style="240" customWidth="1"/>
    <col min="10498" max="10498" width="9.7109375" style="240" customWidth="1"/>
    <col min="10499" max="10499" width="25.140625" style="240" customWidth="1"/>
    <col min="10500" max="10500" width="9.140625" style="240"/>
    <col min="10501" max="10506" width="9.140625" style="240" customWidth="1"/>
    <col min="10507" max="10507" width="9.42578125" style="240" customWidth="1"/>
    <col min="10508" max="10747" width="9.140625" style="240"/>
    <col min="10748" max="10748" width="6.140625" style="240" customWidth="1"/>
    <col min="10749" max="10749" width="44.85546875" style="240" customWidth="1"/>
    <col min="10750" max="10750" width="11.85546875" style="240" customWidth="1"/>
    <col min="10751" max="10751" width="11.140625" style="240" customWidth="1"/>
    <col min="10752" max="10752" width="10.28515625" style="240" customWidth="1"/>
    <col min="10753" max="10753" width="10.5703125" style="240" customWidth="1"/>
    <col min="10754" max="10754" width="9.7109375" style="240" customWidth="1"/>
    <col min="10755" max="10755" width="25.140625" style="240" customWidth="1"/>
    <col min="10756" max="10756" width="9.140625" style="240"/>
    <col min="10757" max="10762" width="9.140625" style="240" customWidth="1"/>
    <col min="10763" max="10763" width="9.42578125" style="240" customWidth="1"/>
    <col min="10764" max="11003" width="9.140625" style="240"/>
    <col min="11004" max="11004" width="6.140625" style="240" customWidth="1"/>
    <col min="11005" max="11005" width="44.85546875" style="240" customWidth="1"/>
    <col min="11006" max="11006" width="11.85546875" style="240" customWidth="1"/>
    <col min="11007" max="11007" width="11.140625" style="240" customWidth="1"/>
    <col min="11008" max="11008" width="10.28515625" style="240" customWidth="1"/>
    <col min="11009" max="11009" width="10.5703125" style="240" customWidth="1"/>
    <col min="11010" max="11010" width="9.7109375" style="240" customWidth="1"/>
    <col min="11011" max="11011" width="25.140625" style="240" customWidth="1"/>
    <col min="11012" max="11012" width="9.140625" style="240"/>
    <col min="11013" max="11018" width="9.140625" style="240" customWidth="1"/>
    <col min="11019" max="11019" width="9.42578125" style="240" customWidth="1"/>
    <col min="11020" max="11259" width="9.140625" style="240"/>
    <col min="11260" max="11260" width="6.140625" style="240" customWidth="1"/>
    <col min="11261" max="11261" width="44.85546875" style="240" customWidth="1"/>
    <col min="11262" max="11262" width="11.85546875" style="240" customWidth="1"/>
    <col min="11263" max="11263" width="11.140625" style="240" customWidth="1"/>
    <col min="11264" max="11264" width="10.28515625" style="240" customWidth="1"/>
    <col min="11265" max="11265" width="10.5703125" style="240" customWidth="1"/>
    <col min="11266" max="11266" width="9.7109375" style="240" customWidth="1"/>
    <col min="11267" max="11267" width="25.140625" style="240" customWidth="1"/>
    <col min="11268" max="11268" width="9.140625" style="240"/>
    <col min="11269" max="11274" width="9.140625" style="240" customWidth="1"/>
    <col min="11275" max="11275" width="9.42578125" style="240" customWidth="1"/>
    <col min="11276" max="11515" width="9.140625" style="240"/>
    <col min="11516" max="11516" width="6.140625" style="240" customWidth="1"/>
    <col min="11517" max="11517" width="44.85546875" style="240" customWidth="1"/>
    <col min="11518" max="11518" width="11.85546875" style="240" customWidth="1"/>
    <col min="11519" max="11519" width="11.140625" style="240" customWidth="1"/>
    <col min="11520" max="11520" width="10.28515625" style="240" customWidth="1"/>
    <col min="11521" max="11521" width="10.5703125" style="240" customWidth="1"/>
    <col min="11522" max="11522" width="9.7109375" style="240" customWidth="1"/>
    <col min="11523" max="11523" width="25.140625" style="240" customWidth="1"/>
    <col min="11524" max="11524" width="9.140625" style="240"/>
    <col min="11525" max="11530" width="9.140625" style="240" customWidth="1"/>
    <col min="11531" max="11531" width="9.42578125" style="240" customWidth="1"/>
    <col min="11532" max="11771" width="9.140625" style="240"/>
    <col min="11772" max="11772" width="6.140625" style="240" customWidth="1"/>
    <col min="11773" max="11773" width="44.85546875" style="240" customWidth="1"/>
    <col min="11774" max="11774" width="11.85546875" style="240" customWidth="1"/>
    <col min="11775" max="11775" width="11.140625" style="240" customWidth="1"/>
    <col min="11776" max="11776" width="10.28515625" style="240" customWidth="1"/>
    <col min="11777" max="11777" width="10.5703125" style="240" customWidth="1"/>
    <col min="11778" max="11778" width="9.7109375" style="240" customWidth="1"/>
    <col min="11779" max="11779" width="25.140625" style="240" customWidth="1"/>
    <col min="11780" max="11780" width="9.140625" style="240"/>
    <col min="11781" max="11786" width="9.140625" style="240" customWidth="1"/>
    <col min="11787" max="11787" width="9.42578125" style="240" customWidth="1"/>
    <col min="11788" max="12027" width="9.140625" style="240"/>
    <col min="12028" max="12028" width="6.140625" style="240" customWidth="1"/>
    <col min="12029" max="12029" width="44.85546875" style="240" customWidth="1"/>
    <col min="12030" max="12030" width="11.85546875" style="240" customWidth="1"/>
    <col min="12031" max="12031" width="11.140625" style="240" customWidth="1"/>
    <col min="12032" max="12032" width="10.28515625" style="240" customWidth="1"/>
    <col min="12033" max="12033" width="10.5703125" style="240" customWidth="1"/>
    <col min="12034" max="12034" width="9.7109375" style="240" customWidth="1"/>
    <col min="12035" max="12035" width="25.140625" style="240" customWidth="1"/>
    <col min="12036" max="12036" width="9.140625" style="240"/>
    <col min="12037" max="12042" width="9.140625" style="240" customWidth="1"/>
    <col min="12043" max="12043" width="9.42578125" style="240" customWidth="1"/>
    <col min="12044" max="12283" width="9.140625" style="240"/>
    <col min="12284" max="12284" width="6.140625" style="240" customWidth="1"/>
    <col min="12285" max="12285" width="44.85546875" style="240" customWidth="1"/>
    <col min="12286" max="12286" width="11.85546875" style="240" customWidth="1"/>
    <col min="12287" max="12287" width="11.140625" style="240" customWidth="1"/>
    <col min="12288" max="12288" width="10.28515625" style="240" customWidth="1"/>
    <col min="12289" max="12289" width="10.5703125" style="240" customWidth="1"/>
    <col min="12290" max="12290" width="9.7109375" style="240" customWidth="1"/>
    <col min="12291" max="12291" width="25.140625" style="240" customWidth="1"/>
    <col min="12292" max="12292" width="9.140625" style="240"/>
    <col min="12293" max="12298" width="9.140625" style="240" customWidth="1"/>
    <col min="12299" max="12299" width="9.42578125" style="240" customWidth="1"/>
    <col min="12300" max="12539" width="9.140625" style="240"/>
    <col min="12540" max="12540" width="6.140625" style="240" customWidth="1"/>
    <col min="12541" max="12541" width="44.85546875" style="240" customWidth="1"/>
    <col min="12542" max="12542" width="11.85546875" style="240" customWidth="1"/>
    <col min="12543" max="12543" width="11.140625" style="240" customWidth="1"/>
    <col min="12544" max="12544" width="10.28515625" style="240" customWidth="1"/>
    <col min="12545" max="12545" width="10.5703125" style="240" customWidth="1"/>
    <col min="12546" max="12546" width="9.7109375" style="240" customWidth="1"/>
    <col min="12547" max="12547" width="25.140625" style="240" customWidth="1"/>
    <col min="12548" max="12548" width="9.140625" style="240"/>
    <col min="12549" max="12554" width="9.140625" style="240" customWidth="1"/>
    <col min="12555" max="12555" width="9.42578125" style="240" customWidth="1"/>
    <col min="12556" max="12795" width="9.140625" style="240"/>
    <col min="12796" max="12796" width="6.140625" style="240" customWidth="1"/>
    <col min="12797" max="12797" width="44.85546875" style="240" customWidth="1"/>
    <col min="12798" max="12798" width="11.85546875" style="240" customWidth="1"/>
    <col min="12799" max="12799" width="11.140625" style="240" customWidth="1"/>
    <col min="12800" max="12800" width="10.28515625" style="240" customWidth="1"/>
    <col min="12801" max="12801" width="10.5703125" style="240" customWidth="1"/>
    <col min="12802" max="12802" width="9.7109375" style="240" customWidth="1"/>
    <col min="12803" max="12803" width="25.140625" style="240" customWidth="1"/>
    <col min="12804" max="12804" width="9.140625" style="240"/>
    <col min="12805" max="12810" width="9.140625" style="240" customWidth="1"/>
    <col min="12811" max="12811" width="9.42578125" style="240" customWidth="1"/>
    <col min="12812" max="13051" width="9.140625" style="240"/>
    <col min="13052" max="13052" width="6.140625" style="240" customWidth="1"/>
    <col min="13053" max="13053" width="44.85546875" style="240" customWidth="1"/>
    <col min="13054" max="13054" width="11.85546875" style="240" customWidth="1"/>
    <col min="13055" max="13055" width="11.140625" style="240" customWidth="1"/>
    <col min="13056" max="13056" width="10.28515625" style="240" customWidth="1"/>
    <col min="13057" max="13057" width="10.5703125" style="240" customWidth="1"/>
    <col min="13058" max="13058" width="9.7109375" style="240" customWidth="1"/>
    <col min="13059" max="13059" width="25.140625" style="240" customWidth="1"/>
    <col min="13060" max="13060" width="9.140625" style="240"/>
    <col min="13061" max="13066" width="9.140625" style="240" customWidth="1"/>
    <col min="13067" max="13067" width="9.42578125" style="240" customWidth="1"/>
    <col min="13068" max="13307" width="9.140625" style="240"/>
    <col min="13308" max="13308" width="6.140625" style="240" customWidth="1"/>
    <col min="13309" max="13309" width="44.85546875" style="240" customWidth="1"/>
    <col min="13310" max="13310" width="11.85546875" style="240" customWidth="1"/>
    <col min="13311" max="13311" width="11.140625" style="240" customWidth="1"/>
    <col min="13312" max="13312" width="10.28515625" style="240" customWidth="1"/>
    <col min="13313" max="13313" width="10.5703125" style="240" customWidth="1"/>
    <col min="13314" max="13314" width="9.7109375" style="240" customWidth="1"/>
    <col min="13315" max="13315" width="25.140625" style="240" customWidth="1"/>
    <col min="13316" max="13316" width="9.140625" style="240"/>
    <col min="13317" max="13322" width="9.140625" style="240" customWidth="1"/>
    <col min="13323" max="13323" width="9.42578125" style="240" customWidth="1"/>
    <col min="13324" max="13563" width="9.140625" style="240"/>
    <col min="13564" max="13564" width="6.140625" style="240" customWidth="1"/>
    <col min="13565" max="13565" width="44.85546875" style="240" customWidth="1"/>
    <col min="13566" max="13566" width="11.85546875" style="240" customWidth="1"/>
    <col min="13567" max="13567" width="11.140625" style="240" customWidth="1"/>
    <col min="13568" max="13568" width="10.28515625" style="240" customWidth="1"/>
    <col min="13569" max="13569" width="10.5703125" style="240" customWidth="1"/>
    <col min="13570" max="13570" width="9.7109375" style="240" customWidth="1"/>
    <col min="13571" max="13571" width="25.140625" style="240" customWidth="1"/>
    <col min="13572" max="13572" width="9.140625" style="240"/>
    <col min="13573" max="13578" width="9.140625" style="240" customWidth="1"/>
    <col min="13579" max="13579" width="9.42578125" style="240" customWidth="1"/>
    <col min="13580" max="13819" width="9.140625" style="240"/>
    <col min="13820" max="13820" width="6.140625" style="240" customWidth="1"/>
    <col min="13821" max="13821" width="44.85546875" style="240" customWidth="1"/>
    <col min="13822" max="13822" width="11.85546875" style="240" customWidth="1"/>
    <col min="13823" max="13823" width="11.140625" style="240" customWidth="1"/>
    <col min="13824" max="13824" width="10.28515625" style="240" customWidth="1"/>
    <col min="13825" max="13825" width="10.5703125" style="240" customWidth="1"/>
    <col min="13826" max="13826" width="9.7109375" style="240" customWidth="1"/>
    <col min="13827" max="13827" width="25.140625" style="240" customWidth="1"/>
    <col min="13828" max="13828" width="9.140625" style="240"/>
    <col min="13829" max="13834" width="9.140625" style="240" customWidth="1"/>
    <col min="13835" max="13835" width="9.42578125" style="240" customWidth="1"/>
    <col min="13836" max="14075" width="9.140625" style="240"/>
    <col min="14076" max="14076" width="6.140625" style="240" customWidth="1"/>
    <col min="14077" max="14077" width="44.85546875" style="240" customWidth="1"/>
    <col min="14078" max="14078" width="11.85546875" style="240" customWidth="1"/>
    <col min="14079" max="14079" width="11.140625" style="240" customWidth="1"/>
    <col min="14080" max="14080" width="10.28515625" style="240" customWidth="1"/>
    <col min="14081" max="14081" width="10.5703125" style="240" customWidth="1"/>
    <col min="14082" max="14082" width="9.7109375" style="240" customWidth="1"/>
    <col min="14083" max="14083" width="25.140625" style="240" customWidth="1"/>
    <col min="14084" max="14084" width="9.140625" style="240"/>
    <col min="14085" max="14090" width="9.140625" style="240" customWidth="1"/>
    <col min="14091" max="14091" width="9.42578125" style="240" customWidth="1"/>
    <col min="14092" max="14331" width="9.140625" style="240"/>
    <col min="14332" max="14332" width="6.140625" style="240" customWidth="1"/>
    <col min="14333" max="14333" width="44.85546875" style="240" customWidth="1"/>
    <col min="14334" max="14334" width="11.85546875" style="240" customWidth="1"/>
    <col min="14335" max="14335" width="11.140625" style="240" customWidth="1"/>
    <col min="14336" max="14336" width="10.28515625" style="240" customWidth="1"/>
    <col min="14337" max="14337" width="10.5703125" style="240" customWidth="1"/>
    <col min="14338" max="14338" width="9.7109375" style="240" customWidth="1"/>
    <col min="14339" max="14339" width="25.140625" style="240" customWidth="1"/>
    <col min="14340" max="14340" width="9.140625" style="240"/>
    <col min="14341" max="14346" width="9.140625" style="240" customWidth="1"/>
    <col min="14347" max="14347" width="9.42578125" style="240" customWidth="1"/>
    <col min="14348" max="14587" width="9.140625" style="240"/>
    <col min="14588" max="14588" width="6.140625" style="240" customWidth="1"/>
    <col min="14589" max="14589" width="44.85546875" style="240" customWidth="1"/>
    <col min="14590" max="14590" width="11.85546875" style="240" customWidth="1"/>
    <col min="14591" max="14591" width="11.140625" style="240" customWidth="1"/>
    <col min="14592" max="14592" width="10.28515625" style="240" customWidth="1"/>
    <col min="14593" max="14593" width="10.5703125" style="240" customWidth="1"/>
    <col min="14594" max="14594" width="9.7109375" style="240" customWidth="1"/>
    <col min="14595" max="14595" width="25.140625" style="240" customWidth="1"/>
    <col min="14596" max="14596" width="9.140625" style="240"/>
    <col min="14597" max="14602" width="9.140625" style="240" customWidth="1"/>
    <col min="14603" max="14603" width="9.42578125" style="240" customWidth="1"/>
    <col min="14604" max="14843" width="9.140625" style="240"/>
    <col min="14844" max="14844" width="6.140625" style="240" customWidth="1"/>
    <col min="14845" max="14845" width="44.85546875" style="240" customWidth="1"/>
    <col min="14846" max="14846" width="11.85546875" style="240" customWidth="1"/>
    <col min="14847" max="14847" width="11.140625" style="240" customWidth="1"/>
    <col min="14848" max="14848" width="10.28515625" style="240" customWidth="1"/>
    <col min="14849" max="14849" width="10.5703125" style="240" customWidth="1"/>
    <col min="14850" max="14850" width="9.7109375" style="240" customWidth="1"/>
    <col min="14851" max="14851" width="25.140625" style="240" customWidth="1"/>
    <col min="14852" max="14852" width="9.140625" style="240"/>
    <col min="14853" max="14858" width="9.140625" style="240" customWidth="1"/>
    <col min="14859" max="14859" width="9.42578125" style="240" customWidth="1"/>
    <col min="14860" max="15099" width="9.140625" style="240"/>
    <col min="15100" max="15100" width="6.140625" style="240" customWidth="1"/>
    <col min="15101" max="15101" width="44.85546875" style="240" customWidth="1"/>
    <col min="15102" max="15102" width="11.85546875" style="240" customWidth="1"/>
    <col min="15103" max="15103" width="11.140625" style="240" customWidth="1"/>
    <col min="15104" max="15104" width="10.28515625" style="240" customWidth="1"/>
    <col min="15105" max="15105" width="10.5703125" style="240" customWidth="1"/>
    <col min="15106" max="15106" width="9.7109375" style="240" customWidth="1"/>
    <col min="15107" max="15107" width="25.140625" style="240" customWidth="1"/>
    <col min="15108" max="15108" width="9.140625" style="240"/>
    <col min="15109" max="15114" width="9.140625" style="240" customWidth="1"/>
    <col min="15115" max="15115" width="9.42578125" style="240" customWidth="1"/>
    <col min="15116" max="15355" width="9.140625" style="240"/>
    <col min="15356" max="15356" width="6.140625" style="240" customWidth="1"/>
    <col min="15357" max="15357" width="44.85546875" style="240" customWidth="1"/>
    <col min="15358" max="15358" width="11.85546875" style="240" customWidth="1"/>
    <col min="15359" max="15359" width="11.140625" style="240" customWidth="1"/>
    <col min="15360" max="15360" width="10.28515625" style="240" customWidth="1"/>
    <col min="15361" max="15361" width="10.5703125" style="240" customWidth="1"/>
    <col min="15362" max="15362" width="9.7109375" style="240" customWidth="1"/>
    <col min="15363" max="15363" width="25.140625" style="240" customWidth="1"/>
    <col min="15364" max="15364" width="9.140625" style="240"/>
    <col min="15365" max="15370" width="9.140625" style="240" customWidth="1"/>
    <col min="15371" max="15371" width="9.42578125" style="240" customWidth="1"/>
    <col min="15372" max="15611" width="9.140625" style="240"/>
    <col min="15612" max="15612" width="6.140625" style="240" customWidth="1"/>
    <col min="15613" max="15613" width="44.85546875" style="240" customWidth="1"/>
    <col min="15614" max="15614" width="11.85546875" style="240" customWidth="1"/>
    <col min="15615" max="15615" width="11.140625" style="240" customWidth="1"/>
    <col min="15616" max="15616" width="10.28515625" style="240" customWidth="1"/>
    <col min="15617" max="15617" width="10.5703125" style="240" customWidth="1"/>
    <col min="15618" max="15618" width="9.7109375" style="240" customWidth="1"/>
    <col min="15619" max="15619" width="25.140625" style="240" customWidth="1"/>
    <col min="15620" max="15620" width="9.140625" style="240"/>
    <col min="15621" max="15626" width="9.140625" style="240" customWidth="1"/>
    <col min="15627" max="15627" width="9.42578125" style="240" customWidth="1"/>
    <col min="15628" max="15867" width="9.140625" style="240"/>
    <col min="15868" max="15868" width="6.140625" style="240" customWidth="1"/>
    <col min="15869" max="15869" width="44.85546875" style="240" customWidth="1"/>
    <col min="15870" max="15870" width="11.85546875" style="240" customWidth="1"/>
    <col min="15871" max="15871" width="11.140625" style="240" customWidth="1"/>
    <col min="15872" max="15872" width="10.28515625" style="240" customWidth="1"/>
    <col min="15873" max="15873" width="10.5703125" style="240" customWidth="1"/>
    <col min="15874" max="15874" width="9.7109375" style="240" customWidth="1"/>
    <col min="15875" max="15875" width="25.140625" style="240" customWidth="1"/>
    <col min="15876" max="15876" width="9.140625" style="240"/>
    <col min="15877" max="15882" width="9.140625" style="240" customWidth="1"/>
    <col min="15883" max="15883" width="9.42578125" style="240" customWidth="1"/>
    <col min="15884" max="16123" width="9.140625" style="240"/>
    <col min="16124" max="16124" width="6.140625" style="240" customWidth="1"/>
    <col min="16125" max="16125" width="44.85546875" style="240" customWidth="1"/>
    <col min="16126" max="16126" width="11.85546875" style="240" customWidth="1"/>
    <col min="16127" max="16127" width="11.140625" style="240" customWidth="1"/>
    <col min="16128" max="16128" width="10.28515625" style="240" customWidth="1"/>
    <col min="16129" max="16129" width="10.5703125" style="240" customWidth="1"/>
    <col min="16130" max="16130" width="9.7109375" style="240" customWidth="1"/>
    <col min="16131" max="16131" width="25.140625" style="240" customWidth="1"/>
    <col min="16132" max="16132" width="9.140625" style="240"/>
    <col min="16133" max="16138" width="9.140625" style="240" customWidth="1"/>
    <col min="16139" max="16139" width="9.42578125" style="240" customWidth="1"/>
    <col min="16140" max="16384" width="9.140625" style="240"/>
  </cols>
  <sheetData>
    <row r="1" spans="1:7" ht="16.5" x14ac:dyDescent="0.25">
      <c r="B1" s="1034" t="s">
        <v>1264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5">
      <c r="A6" s="240" t="s">
        <v>298</v>
      </c>
      <c r="C6" s="1149"/>
      <c r="D6" s="1149"/>
      <c r="E6" s="1149"/>
      <c r="F6" s="1149"/>
      <c r="G6" s="1149"/>
    </row>
    <row r="7" spans="1:7" x14ac:dyDescent="0.25">
      <c r="C7" s="897"/>
      <c r="D7" s="897"/>
      <c r="E7" s="897"/>
      <c r="F7" s="897"/>
      <c r="G7" s="897"/>
    </row>
    <row r="8" spans="1:7" ht="15.75" x14ac:dyDescent="0.25">
      <c r="A8" s="1150" t="s">
        <v>291</v>
      </c>
      <c r="B8" s="1150"/>
      <c r="C8" s="1150"/>
      <c r="D8" s="1150"/>
      <c r="E8" s="1150"/>
      <c r="F8" s="1150"/>
      <c r="G8" s="1150"/>
    </row>
    <row r="9" spans="1:7" ht="16.5" customHeight="1" x14ac:dyDescent="0.25">
      <c r="A9" s="241"/>
      <c r="B9" s="241"/>
      <c r="C9" s="241"/>
      <c r="D9" s="241"/>
      <c r="E9" s="241"/>
      <c r="F9" s="241"/>
      <c r="G9" s="241"/>
    </row>
    <row r="10" spans="1:7" ht="15.75" x14ac:dyDescent="0.25">
      <c r="A10" s="240" t="s">
        <v>1255</v>
      </c>
      <c r="C10" s="955"/>
      <c r="D10" s="955"/>
      <c r="E10" s="955"/>
      <c r="F10" s="955"/>
      <c r="G10" s="955"/>
    </row>
    <row r="11" spans="1:7" x14ac:dyDescent="0.25">
      <c r="C11" s="242"/>
      <c r="D11" s="242"/>
      <c r="E11" s="242"/>
      <c r="F11" s="242"/>
      <c r="G11" s="242"/>
    </row>
    <row r="12" spans="1:7" x14ac:dyDescent="0.25">
      <c r="A12" s="240" t="s">
        <v>1256</v>
      </c>
      <c r="C12" s="342"/>
      <c r="D12" s="342"/>
      <c r="E12" s="342"/>
      <c r="F12" s="342"/>
      <c r="G12" s="342"/>
    </row>
    <row r="13" spans="1:7" x14ac:dyDescent="0.25">
      <c r="A13" s="240" t="s">
        <v>1257</v>
      </c>
      <c r="C13" s="1130"/>
      <c r="D13" s="1130"/>
      <c r="E13" s="1130"/>
      <c r="F13" s="1130"/>
      <c r="G13" s="1130"/>
    </row>
    <row r="14" spans="1:7" ht="24.75" customHeight="1" x14ac:dyDescent="0.25">
      <c r="A14" s="1102" t="s">
        <v>1</v>
      </c>
      <c r="B14" s="1102" t="s">
        <v>2</v>
      </c>
      <c r="C14" s="1045" t="s">
        <v>26</v>
      </c>
      <c r="D14" s="1045" t="s">
        <v>27</v>
      </c>
      <c r="E14" s="1045" t="s">
        <v>299</v>
      </c>
      <c r="F14" s="1046" t="s">
        <v>6</v>
      </c>
      <c r="G14" s="1046" t="s">
        <v>1190</v>
      </c>
    </row>
    <row r="15" spans="1:7" ht="12.75" customHeight="1" x14ac:dyDescent="0.25">
      <c r="A15" s="1102"/>
      <c r="B15" s="1102"/>
      <c r="C15" s="1045"/>
      <c r="D15" s="1045"/>
      <c r="E15" s="1045"/>
      <c r="F15" s="1048"/>
      <c r="G15" s="1048"/>
    </row>
    <row r="16" spans="1:7" ht="12" customHeight="1" x14ac:dyDescent="0.25">
      <c r="A16" s="1091" t="s">
        <v>300</v>
      </c>
      <c r="B16" s="1091"/>
      <c r="C16" s="243">
        <f>SUM(C17:C23)</f>
        <v>87660</v>
      </c>
      <c r="D16" s="243">
        <f>SUM(D17:D23)</f>
        <v>87145</v>
      </c>
      <c r="E16" s="243">
        <f>SUM(E17:E23)</f>
        <v>111300</v>
      </c>
      <c r="F16" s="243"/>
      <c r="G16" s="243">
        <f>SUM(G17:G23)</f>
        <v>101300</v>
      </c>
    </row>
    <row r="17" spans="1:16" ht="24" x14ac:dyDescent="0.25">
      <c r="A17" s="244">
        <v>1</v>
      </c>
      <c r="B17" s="158" t="s">
        <v>557</v>
      </c>
      <c r="C17" s="155">
        <v>42687</v>
      </c>
      <c r="D17" s="155">
        <v>42687</v>
      </c>
      <c r="E17" s="89">
        <v>45000</v>
      </c>
      <c r="F17" s="243">
        <v>2244</v>
      </c>
      <c r="G17" s="89">
        <v>35000</v>
      </c>
    </row>
    <row r="18" spans="1:16" x14ac:dyDescent="0.25">
      <c r="A18" s="244">
        <v>2</v>
      </c>
      <c r="B18" s="158" t="s">
        <v>558</v>
      </c>
      <c r="C18" s="155">
        <v>21344</v>
      </c>
      <c r="D18" s="89">
        <v>21344</v>
      </c>
      <c r="E18" s="89">
        <v>22000</v>
      </c>
      <c r="F18" s="243">
        <v>2244</v>
      </c>
      <c r="G18" s="89">
        <v>22000</v>
      </c>
    </row>
    <row r="19" spans="1:16" x14ac:dyDescent="0.25">
      <c r="A19" s="244">
        <v>3</v>
      </c>
      <c r="B19" s="158" t="s">
        <v>559</v>
      </c>
      <c r="C19" s="155">
        <v>7115</v>
      </c>
      <c r="D19" s="89">
        <v>7115</v>
      </c>
      <c r="E19" s="89">
        <v>8000</v>
      </c>
      <c r="F19" s="243">
        <v>2244</v>
      </c>
      <c r="G19" s="89">
        <v>8000</v>
      </c>
    </row>
    <row r="20" spans="1:16" x14ac:dyDescent="0.25">
      <c r="A20" s="245">
        <v>4</v>
      </c>
      <c r="B20" s="158" t="s">
        <v>560</v>
      </c>
      <c r="C20" s="155">
        <v>14229</v>
      </c>
      <c r="D20" s="246">
        <v>14229</v>
      </c>
      <c r="E20" s="246">
        <v>15000</v>
      </c>
      <c r="F20" s="243">
        <v>2244</v>
      </c>
      <c r="G20" s="246">
        <v>15000</v>
      </c>
    </row>
    <row r="21" spans="1:16" x14ac:dyDescent="0.25">
      <c r="A21" s="245">
        <v>5</v>
      </c>
      <c r="B21" s="53" t="s">
        <v>561</v>
      </c>
      <c r="C21" s="155">
        <v>0</v>
      </c>
      <c r="D21" s="246">
        <v>0</v>
      </c>
      <c r="E21" s="246">
        <v>20000</v>
      </c>
      <c r="F21" s="243">
        <v>2244</v>
      </c>
      <c r="G21" s="246">
        <v>20000</v>
      </c>
    </row>
    <row r="22" spans="1:16" x14ac:dyDescent="0.25">
      <c r="A22" s="245">
        <v>6</v>
      </c>
      <c r="B22" s="158" t="s">
        <v>562</v>
      </c>
      <c r="C22" s="155">
        <v>285</v>
      </c>
      <c r="D22" s="89">
        <v>270</v>
      </c>
      <c r="E22" s="246">
        <v>300</v>
      </c>
      <c r="F22" s="243">
        <v>5269</v>
      </c>
      <c r="G22" s="246">
        <v>300</v>
      </c>
    </row>
    <row r="23" spans="1:16" x14ac:dyDescent="0.25">
      <c r="A23" s="244">
        <v>7</v>
      </c>
      <c r="B23" s="158" t="s">
        <v>563</v>
      </c>
      <c r="C23" s="155">
        <v>2000</v>
      </c>
      <c r="D23" s="89">
        <v>1500</v>
      </c>
      <c r="E23" s="89">
        <v>1000</v>
      </c>
      <c r="F23" s="243">
        <v>2279</v>
      </c>
      <c r="G23" s="475">
        <v>1000</v>
      </c>
      <c r="P23" s="247"/>
    </row>
    <row r="24" spans="1:16" x14ac:dyDescent="0.25">
      <c r="A24" s="248"/>
      <c r="B24" s="248"/>
      <c r="C24" s="486"/>
      <c r="D24" s="486"/>
      <c r="E24" s="487"/>
      <c r="F24" s="488"/>
      <c r="G24" s="486"/>
    </row>
    <row r="25" spans="1:16" x14ac:dyDescent="0.25">
      <c r="A25" s="240" t="s">
        <v>1258</v>
      </c>
      <c r="C25" s="342"/>
      <c r="D25" s="342"/>
      <c r="E25" s="342"/>
      <c r="F25" s="342"/>
      <c r="G25" s="342"/>
    </row>
    <row r="26" spans="1:16" x14ac:dyDescent="0.25">
      <c r="A26" s="240" t="s">
        <v>1259</v>
      </c>
      <c r="C26" s="1131"/>
      <c r="D26" s="1131"/>
      <c r="E26" s="1131"/>
      <c r="F26" s="1131"/>
      <c r="G26" s="1131"/>
    </row>
    <row r="27" spans="1:16" ht="24" customHeight="1" x14ac:dyDescent="0.25">
      <c r="A27" s="1102" t="s">
        <v>1</v>
      </c>
      <c r="B27" s="1102" t="s">
        <v>2</v>
      </c>
      <c r="C27" s="1045" t="s">
        <v>26</v>
      </c>
      <c r="D27" s="1045" t="s">
        <v>27</v>
      </c>
      <c r="E27" s="1045" t="s">
        <v>299</v>
      </c>
      <c r="F27" s="1046" t="s">
        <v>6</v>
      </c>
      <c r="G27" s="1046" t="s">
        <v>1190</v>
      </c>
    </row>
    <row r="28" spans="1:16" ht="12.75" customHeight="1" x14ac:dyDescent="0.25">
      <c r="A28" s="1102"/>
      <c r="B28" s="1102"/>
      <c r="C28" s="1045"/>
      <c r="D28" s="1045"/>
      <c r="E28" s="1045"/>
      <c r="F28" s="1048"/>
      <c r="G28" s="1048"/>
    </row>
    <row r="29" spans="1:16" x14ac:dyDescent="0.25">
      <c r="A29" s="1091" t="s">
        <v>300</v>
      </c>
      <c r="B29" s="1091"/>
      <c r="C29" s="243">
        <f>SUM(C30:C43)</f>
        <v>1568525</v>
      </c>
      <c r="D29" s="243">
        <f>SUM(D30:D43)</f>
        <v>1568525</v>
      </c>
      <c r="E29" s="243">
        <f>SUM(E30:E43)</f>
        <v>1879690</v>
      </c>
      <c r="F29" s="243"/>
      <c r="G29" s="243">
        <f>SUM(G30:G43)</f>
        <v>1759079</v>
      </c>
    </row>
    <row r="30" spans="1:16" x14ac:dyDescent="0.25">
      <c r="A30" s="890">
        <v>1</v>
      </c>
      <c r="B30" s="896" t="s">
        <v>564</v>
      </c>
      <c r="C30" s="155">
        <v>459804</v>
      </c>
      <c r="D30" s="155">
        <v>459804</v>
      </c>
      <c r="E30" s="89">
        <f>519239+2950</f>
        <v>522189</v>
      </c>
      <c r="F30" s="243">
        <v>2244</v>
      </c>
      <c r="G30" s="475">
        <v>522189</v>
      </c>
    </row>
    <row r="31" spans="1:16" ht="12" customHeight="1" x14ac:dyDescent="0.25">
      <c r="A31" s="1078">
        <v>2</v>
      </c>
      <c r="B31" s="1143" t="s">
        <v>565</v>
      </c>
      <c r="C31" s="155">
        <v>16632</v>
      </c>
      <c r="D31" s="89">
        <v>16632</v>
      </c>
      <c r="E31" s="89">
        <v>6018</v>
      </c>
      <c r="F31" s="243">
        <v>5239</v>
      </c>
      <c r="G31" s="475">
        <v>6018</v>
      </c>
    </row>
    <row r="32" spans="1:16" x14ac:dyDescent="0.25">
      <c r="A32" s="1079"/>
      <c r="B32" s="1144"/>
      <c r="C32" s="155">
        <v>16806</v>
      </c>
      <c r="D32" s="89">
        <v>16806</v>
      </c>
      <c r="E32" s="89">
        <v>84442</v>
      </c>
      <c r="F32" s="243">
        <v>2244</v>
      </c>
      <c r="G32" s="475">
        <v>42172</v>
      </c>
      <c r="J32" s="439"/>
    </row>
    <row r="33" spans="1:9" x14ac:dyDescent="0.25">
      <c r="A33" s="250">
        <v>3</v>
      </c>
      <c r="B33" s="251" t="s">
        <v>566</v>
      </c>
      <c r="C33" s="155">
        <v>0</v>
      </c>
      <c r="D33" s="89">
        <v>0</v>
      </c>
      <c r="E33" s="89">
        <v>7868</v>
      </c>
      <c r="F33" s="252">
        <v>2244</v>
      </c>
      <c r="G33" s="475">
        <v>7868</v>
      </c>
    </row>
    <row r="34" spans="1:9" x14ac:dyDescent="0.25">
      <c r="A34" s="1147">
        <v>4</v>
      </c>
      <c r="B34" s="1113" t="s">
        <v>567</v>
      </c>
      <c r="C34" s="155">
        <v>167899</v>
      </c>
      <c r="D34" s="246">
        <v>167899</v>
      </c>
      <c r="E34" s="246">
        <v>179391</v>
      </c>
      <c r="F34" s="243">
        <v>2244</v>
      </c>
      <c r="G34" s="246">
        <v>179391</v>
      </c>
    </row>
    <row r="35" spans="1:9" x14ac:dyDescent="0.25">
      <c r="A35" s="1148"/>
      <c r="B35" s="1115"/>
      <c r="C35" s="155">
        <v>0</v>
      </c>
      <c r="D35" s="246">
        <v>0</v>
      </c>
      <c r="E35" s="246">
        <v>12650</v>
      </c>
      <c r="F35" s="243">
        <v>5239</v>
      </c>
      <c r="G35" s="246">
        <v>12650</v>
      </c>
    </row>
    <row r="36" spans="1:9" x14ac:dyDescent="0.25">
      <c r="A36" s="370">
        <v>5</v>
      </c>
      <c r="B36" s="369" t="s">
        <v>968</v>
      </c>
      <c r="C36" s="155">
        <v>127428</v>
      </c>
      <c r="D36" s="155">
        <v>127428</v>
      </c>
      <c r="E36" s="155">
        <v>127428</v>
      </c>
      <c r="F36" s="243">
        <v>2244</v>
      </c>
      <c r="G36" s="475">
        <v>127428</v>
      </c>
      <c r="H36" s="247"/>
      <c r="I36" s="247"/>
    </row>
    <row r="37" spans="1:9" ht="24" x14ac:dyDescent="0.25">
      <c r="A37" s="370">
        <v>6</v>
      </c>
      <c r="B37" s="369" t="s">
        <v>568</v>
      </c>
      <c r="C37" s="155">
        <v>78970</v>
      </c>
      <c r="D37" s="89">
        <v>78970</v>
      </c>
      <c r="E37" s="89">
        <v>105030</v>
      </c>
      <c r="F37" s="243">
        <v>2244</v>
      </c>
      <c r="G37" s="475">
        <v>105030</v>
      </c>
    </row>
    <row r="38" spans="1:9" x14ac:dyDescent="0.25">
      <c r="A38" s="1122">
        <v>7</v>
      </c>
      <c r="B38" s="1145" t="s">
        <v>569</v>
      </c>
      <c r="C38" s="157">
        <f>83567+316299+5123</f>
        <v>404989</v>
      </c>
      <c r="D38" s="157">
        <f>83567+316299+5123</f>
        <v>404989</v>
      </c>
      <c r="E38" s="157">
        <f>41521+46987+379662+7965</f>
        <v>476135</v>
      </c>
      <c r="F38" s="151">
        <v>2244</v>
      </c>
      <c r="G38" s="155">
        <v>450000</v>
      </c>
    </row>
    <row r="39" spans="1:9" x14ac:dyDescent="0.25">
      <c r="A39" s="1123"/>
      <c r="B39" s="1146"/>
      <c r="C39" s="489">
        <v>1921</v>
      </c>
      <c r="D39" s="152">
        <v>1921</v>
      </c>
      <c r="E39" s="490">
        <v>2000</v>
      </c>
      <c r="F39" s="151">
        <v>2223</v>
      </c>
      <c r="G39" s="491">
        <v>2000</v>
      </c>
    </row>
    <row r="40" spans="1:9" x14ac:dyDescent="0.25">
      <c r="A40" s="143">
        <v>8</v>
      </c>
      <c r="B40" s="368" t="s">
        <v>570</v>
      </c>
      <c r="C40" s="155">
        <f>134355+38198+17075</f>
        <v>189628</v>
      </c>
      <c r="D40" s="155">
        <f>134355+38198+17075</f>
        <v>189628</v>
      </c>
      <c r="E40" s="155">
        <f>178692+50804+22710</f>
        <v>252206</v>
      </c>
      <c r="F40" s="156">
        <v>2244</v>
      </c>
      <c r="G40" s="155">
        <v>200000</v>
      </c>
    </row>
    <row r="41" spans="1:9" x14ac:dyDescent="0.25">
      <c r="A41" s="370">
        <v>9</v>
      </c>
      <c r="B41" s="383" t="s">
        <v>571</v>
      </c>
      <c r="C41" s="89">
        <v>78258</v>
      </c>
      <c r="D41" s="89">
        <v>78258</v>
      </c>
      <c r="E41" s="89">
        <v>78258</v>
      </c>
      <c r="F41" s="243">
        <v>2244</v>
      </c>
      <c r="G41" s="475">
        <v>78258</v>
      </c>
    </row>
    <row r="42" spans="1:9" x14ac:dyDescent="0.25">
      <c r="A42" s="370">
        <v>10</v>
      </c>
      <c r="B42" s="369" t="s">
        <v>572</v>
      </c>
      <c r="C42" s="155">
        <v>17075</v>
      </c>
      <c r="D42" s="155">
        <v>17075</v>
      </c>
      <c r="E42" s="155">
        <v>17075</v>
      </c>
      <c r="F42" s="243">
        <v>2279</v>
      </c>
      <c r="G42" s="475">
        <v>17075</v>
      </c>
    </row>
    <row r="43" spans="1:9" x14ac:dyDescent="0.25">
      <c r="A43" s="245">
        <v>11</v>
      </c>
      <c r="B43" s="225" t="s">
        <v>573</v>
      </c>
      <c r="C43" s="155">
        <v>9115</v>
      </c>
      <c r="D43" s="155">
        <v>9115</v>
      </c>
      <c r="E43" s="89">
        <v>9000</v>
      </c>
      <c r="F43" s="243">
        <v>2244</v>
      </c>
      <c r="G43" s="475">
        <v>9000</v>
      </c>
    </row>
    <row r="44" spans="1:9" x14ac:dyDescent="0.25">
      <c r="A44" s="261"/>
      <c r="B44" s="255"/>
      <c r="C44" s="400"/>
      <c r="D44" s="400"/>
      <c r="E44" s="400"/>
      <c r="F44" s="400"/>
      <c r="G44" s="173"/>
    </row>
    <row r="45" spans="1:9" x14ac:dyDescent="0.25">
      <c r="A45" s="240" t="s">
        <v>1260</v>
      </c>
      <c r="C45" s="1129"/>
      <c r="D45" s="1129"/>
      <c r="E45" s="1129"/>
      <c r="F45" s="1129"/>
      <c r="G45" s="1129"/>
    </row>
    <row r="46" spans="1:9" x14ac:dyDescent="0.25">
      <c r="A46" s="240" t="s">
        <v>1227</v>
      </c>
      <c r="C46" s="1131"/>
      <c r="D46" s="1131"/>
      <c r="E46" s="1131"/>
      <c r="F46" s="1131"/>
      <c r="G46" s="1131"/>
    </row>
    <row r="47" spans="1:9" ht="23.25" customHeight="1" x14ac:dyDescent="0.25">
      <c r="A47" s="1102" t="s">
        <v>1</v>
      </c>
      <c r="B47" s="1102" t="s">
        <v>2</v>
      </c>
      <c r="C47" s="1045" t="s">
        <v>26</v>
      </c>
      <c r="D47" s="1045" t="s">
        <v>27</v>
      </c>
      <c r="E47" s="1045" t="s">
        <v>299</v>
      </c>
      <c r="F47" s="1046" t="s">
        <v>6</v>
      </c>
      <c r="G47" s="1046" t="s">
        <v>1190</v>
      </c>
    </row>
    <row r="48" spans="1:9" ht="12.75" customHeight="1" x14ac:dyDescent="0.25">
      <c r="A48" s="1102"/>
      <c r="B48" s="1102"/>
      <c r="C48" s="1045"/>
      <c r="D48" s="1045"/>
      <c r="E48" s="1045"/>
      <c r="F48" s="1048"/>
      <c r="G48" s="1048"/>
    </row>
    <row r="49" spans="1:7" x14ac:dyDescent="0.25">
      <c r="A49" s="1091" t="s">
        <v>300</v>
      </c>
      <c r="B49" s="1091"/>
      <c r="C49" s="243">
        <f>SUM(C50:C66)</f>
        <v>165569</v>
      </c>
      <c r="D49" s="243">
        <f>SUM(D50:D66)</f>
        <v>162488</v>
      </c>
      <c r="E49" s="243">
        <f>SUM(E50:E66)</f>
        <v>705972</v>
      </c>
      <c r="F49" s="243"/>
      <c r="G49" s="243">
        <f>SUM(G50:G66)</f>
        <v>199021</v>
      </c>
    </row>
    <row r="50" spans="1:7" ht="12" customHeight="1" x14ac:dyDescent="0.25">
      <c r="A50" s="1133">
        <v>1</v>
      </c>
      <c r="B50" s="1114" t="s">
        <v>574</v>
      </c>
      <c r="C50" s="155">
        <v>5692</v>
      </c>
      <c r="D50" s="89">
        <v>5692</v>
      </c>
      <c r="E50" s="89">
        <v>6000</v>
      </c>
      <c r="F50" s="243">
        <v>2243</v>
      </c>
      <c r="G50" s="475">
        <v>6000</v>
      </c>
    </row>
    <row r="51" spans="1:7" x14ac:dyDescent="0.25">
      <c r="A51" s="1136"/>
      <c r="B51" s="1115"/>
      <c r="C51" s="155">
        <v>7115</v>
      </c>
      <c r="D51" s="89">
        <v>7106</v>
      </c>
      <c r="E51" s="89">
        <v>7115</v>
      </c>
      <c r="F51" s="243">
        <v>2312</v>
      </c>
      <c r="G51" s="475">
        <v>2312</v>
      </c>
    </row>
    <row r="52" spans="1:7" x14ac:dyDescent="0.25">
      <c r="A52" s="245">
        <v>2</v>
      </c>
      <c r="B52" s="386" t="s">
        <v>575</v>
      </c>
      <c r="C52" s="155">
        <v>10712</v>
      </c>
      <c r="D52" s="246">
        <v>10707</v>
      </c>
      <c r="E52" s="246">
        <v>10712</v>
      </c>
      <c r="F52" s="243">
        <v>2243</v>
      </c>
      <c r="G52" s="246">
        <v>10712</v>
      </c>
    </row>
    <row r="53" spans="1:7" x14ac:dyDescent="0.25">
      <c r="A53" s="245">
        <v>3</v>
      </c>
      <c r="B53" s="386" t="s">
        <v>576</v>
      </c>
      <c r="C53" s="155">
        <v>21344</v>
      </c>
      <c r="D53" s="246">
        <v>21310</v>
      </c>
      <c r="E53" s="246">
        <v>21310</v>
      </c>
      <c r="F53" s="243">
        <v>5239</v>
      </c>
      <c r="G53" s="246">
        <v>21310</v>
      </c>
    </row>
    <row r="54" spans="1:7" x14ac:dyDescent="0.25">
      <c r="A54" s="1078">
        <v>4</v>
      </c>
      <c r="B54" s="1140" t="s">
        <v>577</v>
      </c>
      <c r="C54" s="89">
        <v>56762</v>
      </c>
      <c r="D54" s="89">
        <v>56762</v>
      </c>
      <c r="E54" s="89">
        <f>284574+284574</f>
        <v>569148</v>
      </c>
      <c r="F54" s="156">
        <v>5240</v>
      </c>
      <c r="G54" s="475">
        <v>70000</v>
      </c>
    </row>
    <row r="55" spans="1:7" x14ac:dyDescent="0.25">
      <c r="A55" s="1088"/>
      <c r="B55" s="1141"/>
      <c r="C55" s="155">
        <v>22055</v>
      </c>
      <c r="D55" s="155">
        <v>22055</v>
      </c>
      <c r="E55" s="155">
        <v>22055</v>
      </c>
      <c r="F55" s="156">
        <v>2243</v>
      </c>
      <c r="G55" s="155">
        <v>22055</v>
      </c>
    </row>
    <row r="56" spans="1:7" x14ac:dyDescent="0.25">
      <c r="A56" s="1079"/>
      <c r="B56" s="1142"/>
      <c r="C56" s="155">
        <v>0</v>
      </c>
      <c r="D56" s="492">
        <v>0</v>
      </c>
      <c r="E56" s="155">
        <v>1000</v>
      </c>
      <c r="F56" s="156">
        <v>2244</v>
      </c>
      <c r="G56" s="155">
        <v>1000</v>
      </c>
    </row>
    <row r="57" spans="1:7" x14ac:dyDescent="0.25">
      <c r="A57" s="385">
        <v>5</v>
      </c>
      <c r="B57" s="384" t="s">
        <v>578</v>
      </c>
      <c r="C57" s="492">
        <v>14229</v>
      </c>
      <c r="D57" s="492">
        <v>14079</v>
      </c>
      <c r="E57" s="492">
        <v>20000</v>
      </c>
      <c r="F57" s="156">
        <v>5239</v>
      </c>
      <c r="G57" s="155">
        <v>20000</v>
      </c>
    </row>
    <row r="58" spans="1:7" x14ac:dyDescent="0.25">
      <c r="A58" s="385">
        <v>6</v>
      </c>
      <c r="B58" s="388" t="s">
        <v>579</v>
      </c>
      <c r="C58" s="492">
        <v>997</v>
      </c>
      <c r="D58" s="492">
        <v>976</v>
      </c>
      <c r="E58" s="492">
        <v>1000</v>
      </c>
      <c r="F58" s="440">
        <v>2314</v>
      </c>
      <c r="G58" s="155">
        <v>1000</v>
      </c>
    </row>
    <row r="59" spans="1:7" ht="12.75" customHeight="1" x14ac:dyDescent="0.25">
      <c r="A59" s="1137">
        <v>7</v>
      </c>
      <c r="B59" s="1138" t="s">
        <v>580</v>
      </c>
      <c r="C59" s="493">
        <v>2846</v>
      </c>
      <c r="D59" s="493">
        <v>2846</v>
      </c>
      <c r="E59" s="493">
        <v>4000</v>
      </c>
      <c r="F59" s="441">
        <v>2244</v>
      </c>
      <c r="G59" s="492">
        <v>3000</v>
      </c>
    </row>
    <row r="60" spans="1:7" ht="12.75" customHeight="1" x14ac:dyDescent="0.25">
      <c r="A60" s="1137"/>
      <c r="B60" s="1138"/>
      <c r="C60" s="493">
        <v>2562</v>
      </c>
      <c r="D60" s="493">
        <v>866</v>
      </c>
      <c r="E60" s="493">
        <v>1000</v>
      </c>
      <c r="F60" s="441">
        <v>2312</v>
      </c>
      <c r="G60" s="495">
        <v>1000</v>
      </c>
    </row>
    <row r="61" spans="1:7" ht="12.75" customHeight="1" x14ac:dyDescent="0.25">
      <c r="A61" s="1123"/>
      <c r="B61" s="1139"/>
      <c r="C61" s="496">
        <v>954</v>
      </c>
      <c r="D61" s="496">
        <v>954</v>
      </c>
      <c r="E61" s="496">
        <v>900</v>
      </c>
      <c r="F61" s="442">
        <v>2390</v>
      </c>
      <c r="G61" s="173">
        <v>900</v>
      </c>
    </row>
    <row r="62" spans="1:7" x14ac:dyDescent="0.25">
      <c r="A62" s="245">
        <v>8</v>
      </c>
      <c r="B62" s="386" t="s">
        <v>969</v>
      </c>
      <c r="C62" s="155">
        <v>0</v>
      </c>
      <c r="D62" s="246">
        <v>0</v>
      </c>
      <c r="E62" s="246">
        <v>6700</v>
      </c>
      <c r="F62" s="243">
        <v>5240</v>
      </c>
      <c r="G62" s="246">
        <v>6700</v>
      </c>
    </row>
    <row r="63" spans="1:7" x14ac:dyDescent="0.25">
      <c r="A63" s="1078">
        <v>9</v>
      </c>
      <c r="B63" s="1134" t="s">
        <v>583</v>
      </c>
      <c r="C63" s="155">
        <v>17455</v>
      </c>
      <c r="D63" s="155">
        <v>17127</v>
      </c>
      <c r="E63" s="155">
        <v>17086</v>
      </c>
      <c r="F63" s="243">
        <v>2244</v>
      </c>
      <c r="G63" s="475">
        <v>17086</v>
      </c>
    </row>
    <row r="64" spans="1:7" x14ac:dyDescent="0.25">
      <c r="A64" s="1088"/>
      <c r="B64" s="1135"/>
      <c r="C64" s="155">
        <v>2846</v>
      </c>
      <c r="D64" s="155">
        <v>2008</v>
      </c>
      <c r="E64" s="89">
        <v>2846</v>
      </c>
      <c r="F64" s="243">
        <v>2223</v>
      </c>
      <c r="G64" s="475">
        <v>2846</v>
      </c>
    </row>
    <row r="65" spans="1:7" x14ac:dyDescent="0.25">
      <c r="A65" s="245">
        <v>10</v>
      </c>
      <c r="B65" s="270" t="s">
        <v>584</v>
      </c>
      <c r="C65" s="155">
        <v>0</v>
      </c>
      <c r="D65" s="155">
        <v>0</v>
      </c>
      <c r="E65" s="89">
        <v>10300</v>
      </c>
      <c r="F65" s="243">
        <v>2244</v>
      </c>
      <c r="G65" s="475">
        <v>8300</v>
      </c>
    </row>
    <row r="66" spans="1:7" x14ac:dyDescent="0.25">
      <c r="A66" s="385">
        <v>11</v>
      </c>
      <c r="B66" s="201" t="s">
        <v>588</v>
      </c>
      <c r="C66" s="497">
        <v>0</v>
      </c>
      <c r="D66" s="494">
        <v>0</v>
      </c>
      <c r="E66" s="493">
        <v>4800</v>
      </c>
      <c r="F66" s="441">
        <v>5240</v>
      </c>
      <c r="G66" s="498">
        <v>4800</v>
      </c>
    </row>
    <row r="67" spans="1:7" x14ac:dyDescent="0.25">
      <c r="A67" s="266"/>
      <c r="B67" s="267"/>
      <c r="C67" s="499"/>
      <c r="D67" s="500"/>
      <c r="E67" s="500"/>
      <c r="F67" s="500"/>
      <c r="G67" s="500"/>
    </row>
    <row r="68" spans="1:7" x14ac:dyDescent="0.25">
      <c r="A68" s="240" t="s">
        <v>1229</v>
      </c>
      <c r="C68" s="1129"/>
      <c r="D68" s="1129"/>
      <c r="E68" s="1129"/>
      <c r="F68" s="1129"/>
      <c r="G68" s="1129"/>
    </row>
    <row r="69" spans="1:7" x14ac:dyDescent="0.25">
      <c r="A69" s="240" t="s">
        <v>1230</v>
      </c>
      <c r="C69" s="1131"/>
      <c r="D69" s="1131"/>
      <c r="E69" s="1131"/>
      <c r="F69" s="1131"/>
      <c r="G69" s="1131"/>
    </row>
    <row r="70" spans="1:7" ht="24" customHeight="1" x14ac:dyDescent="0.25">
      <c r="A70" s="1102" t="s">
        <v>1</v>
      </c>
      <c r="B70" s="1102" t="s">
        <v>2</v>
      </c>
      <c r="C70" s="1102" t="s">
        <v>26</v>
      </c>
      <c r="D70" s="1102" t="s">
        <v>27</v>
      </c>
      <c r="E70" s="1102" t="s">
        <v>299</v>
      </c>
      <c r="F70" s="1122" t="s">
        <v>6</v>
      </c>
      <c r="G70" s="1122" t="s">
        <v>1190</v>
      </c>
    </row>
    <row r="71" spans="1:7" ht="12.75" customHeight="1" x14ac:dyDescent="0.25">
      <c r="A71" s="1102"/>
      <c r="B71" s="1102"/>
      <c r="C71" s="1102"/>
      <c r="D71" s="1102"/>
      <c r="E71" s="1102"/>
      <c r="F71" s="1123"/>
      <c r="G71" s="1123"/>
    </row>
    <row r="72" spans="1:7" x14ac:dyDescent="0.25">
      <c r="A72" s="1091" t="s">
        <v>300</v>
      </c>
      <c r="B72" s="1091"/>
      <c r="C72" s="243">
        <f>SUM(C73:C82)</f>
        <v>94655</v>
      </c>
      <c r="D72" s="243">
        <f>SUM(D73:D82)</f>
        <v>93831</v>
      </c>
      <c r="E72" s="243">
        <f>SUM(E73:E82)</f>
        <v>173876</v>
      </c>
      <c r="F72" s="243"/>
      <c r="G72" s="243">
        <f>SUM(G73:G82)</f>
        <v>175666</v>
      </c>
    </row>
    <row r="73" spans="1:7" x14ac:dyDescent="0.25">
      <c r="A73" s="1132">
        <v>1</v>
      </c>
      <c r="B73" s="1113" t="s">
        <v>970</v>
      </c>
      <c r="C73" s="155">
        <v>11383</v>
      </c>
      <c r="D73" s="246">
        <v>11383</v>
      </c>
      <c r="E73" s="246">
        <v>11000</v>
      </c>
      <c r="F73" s="243">
        <v>2244</v>
      </c>
      <c r="G73" s="246">
        <v>11000</v>
      </c>
    </row>
    <row r="74" spans="1:7" x14ac:dyDescent="0.25">
      <c r="A74" s="1133"/>
      <c r="B74" s="1114"/>
      <c r="C74" s="155">
        <v>5692</v>
      </c>
      <c r="D74" s="246">
        <v>5234</v>
      </c>
      <c r="E74" s="246">
        <v>5324</v>
      </c>
      <c r="F74" s="243">
        <v>2312</v>
      </c>
      <c r="G74" s="246">
        <v>5324</v>
      </c>
    </row>
    <row r="75" spans="1:7" x14ac:dyDescent="0.25">
      <c r="A75" s="1133"/>
      <c r="B75" s="1114"/>
      <c r="C75" s="155">
        <v>36</v>
      </c>
      <c r="D75" s="155">
        <v>26</v>
      </c>
      <c r="E75" s="155">
        <v>30</v>
      </c>
      <c r="F75" s="243">
        <v>2390</v>
      </c>
      <c r="G75" s="474">
        <v>30</v>
      </c>
    </row>
    <row r="76" spans="1:7" x14ac:dyDescent="0.25">
      <c r="A76" s="385">
        <v>2</v>
      </c>
      <c r="B76" s="265" t="s">
        <v>585</v>
      </c>
      <c r="C76" s="254">
        <v>242</v>
      </c>
      <c r="D76" s="201">
        <v>221</v>
      </c>
      <c r="E76" s="208">
        <v>194</v>
      </c>
      <c r="F76" s="435">
        <v>2261</v>
      </c>
      <c r="G76" s="259">
        <v>194</v>
      </c>
    </row>
    <row r="77" spans="1:7" x14ac:dyDescent="0.25">
      <c r="A77" s="1078">
        <v>3</v>
      </c>
      <c r="B77" s="1113" t="s">
        <v>971</v>
      </c>
      <c r="C77" s="89">
        <v>24132</v>
      </c>
      <c r="D77" s="89">
        <v>24095</v>
      </c>
      <c r="E77" s="89">
        <v>25000</v>
      </c>
      <c r="F77" s="156">
        <v>2312</v>
      </c>
      <c r="G77" s="474">
        <v>25000</v>
      </c>
    </row>
    <row r="78" spans="1:7" x14ac:dyDescent="0.25">
      <c r="A78" s="1088"/>
      <c r="B78" s="1114"/>
      <c r="C78" s="257">
        <v>9287</v>
      </c>
      <c r="D78" s="257">
        <v>9025</v>
      </c>
      <c r="E78" s="257">
        <v>9300</v>
      </c>
      <c r="F78" s="156">
        <v>2244</v>
      </c>
      <c r="G78" s="259">
        <v>9300</v>
      </c>
    </row>
    <row r="79" spans="1:7" x14ac:dyDescent="0.25">
      <c r="A79" s="1088"/>
      <c r="B79" s="1114"/>
      <c r="C79" s="201">
        <v>29655</v>
      </c>
      <c r="D79" s="268">
        <v>29654</v>
      </c>
      <c r="E79" s="208">
        <v>68000</v>
      </c>
      <c r="F79" s="965">
        <v>5250</v>
      </c>
      <c r="G79" s="257">
        <v>68000</v>
      </c>
    </row>
    <row r="80" spans="1:7" x14ac:dyDescent="0.25">
      <c r="A80" s="1079"/>
      <c r="B80" s="1115"/>
      <c r="C80" s="201">
        <v>11000</v>
      </c>
      <c r="D80" s="265">
        <v>10967</v>
      </c>
      <c r="E80" s="264">
        <v>37500</v>
      </c>
      <c r="F80" s="151">
        <v>5239</v>
      </c>
      <c r="G80" s="259">
        <v>37000</v>
      </c>
    </row>
    <row r="81" spans="1:7" ht="24" x14ac:dyDescent="0.25">
      <c r="A81" s="387">
        <v>4</v>
      </c>
      <c r="B81" s="201" t="s">
        <v>586</v>
      </c>
      <c r="C81" s="253">
        <v>928</v>
      </c>
      <c r="D81" s="389">
        <v>926</v>
      </c>
      <c r="E81" s="264">
        <v>17528</v>
      </c>
      <c r="F81" s="435">
        <v>2243</v>
      </c>
      <c r="G81" s="259">
        <v>17528</v>
      </c>
    </row>
    <row r="82" spans="1:7" ht="24" x14ac:dyDescent="0.25">
      <c r="A82" s="385">
        <v>5</v>
      </c>
      <c r="B82" s="388" t="s">
        <v>587</v>
      </c>
      <c r="C82" s="253">
        <v>2300</v>
      </c>
      <c r="D82" s="263">
        <v>2300</v>
      </c>
      <c r="E82" s="260">
        <v>0</v>
      </c>
      <c r="F82" s="435">
        <v>2269</v>
      </c>
      <c r="G82" s="456">
        <v>2290</v>
      </c>
    </row>
    <row r="83" spans="1:7" x14ac:dyDescent="0.25">
      <c r="A83" s="271"/>
      <c r="B83" s="268"/>
      <c r="C83" s="269"/>
      <c r="D83" s="269"/>
      <c r="E83" s="269"/>
      <c r="F83" s="269"/>
      <c r="G83" s="269"/>
    </row>
    <row r="84" spans="1:7" x14ac:dyDescent="0.25">
      <c r="A84" s="247" t="s">
        <v>1262</v>
      </c>
      <c r="B84" s="247"/>
      <c r="C84" s="1129"/>
      <c r="D84" s="1129"/>
      <c r="E84" s="1129"/>
      <c r="F84" s="1129"/>
      <c r="G84" s="1129"/>
    </row>
    <row r="85" spans="1:7" x14ac:dyDescent="0.25">
      <c r="A85" s="249" t="s">
        <v>1263</v>
      </c>
      <c r="B85" s="247"/>
      <c r="C85" s="1130"/>
      <c r="D85" s="1130"/>
      <c r="E85" s="1130"/>
      <c r="F85" s="1130"/>
      <c r="G85" s="1130"/>
    </row>
    <row r="86" spans="1:7" ht="23.25" customHeight="1" x14ac:dyDescent="0.25">
      <c r="A86" s="1102" t="s">
        <v>1</v>
      </c>
      <c r="B86" s="1102"/>
      <c r="C86" s="1102" t="s">
        <v>26</v>
      </c>
      <c r="D86" s="1102" t="s">
        <v>27</v>
      </c>
      <c r="E86" s="1102" t="s">
        <v>299</v>
      </c>
      <c r="F86" s="1122" t="s">
        <v>6</v>
      </c>
      <c r="G86" s="1122" t="s">
        <v>1190</v>
      </c>
    </row>
    <row r="87" spans="1:7" ht="12.75" customHeight="1" x14ac:dyDescent="0.25">
      <c r="A87" s="1102"/>
      <c r="B87" s="1102"/>
      <c r="C87" s="1102"/>
      <c r="D87" s="1102"/>
      <c r="E87" s="1102"/>
      <c r="F87" s="1123"/>
      <c r="G87" s="1123"/>
    </row>
    <row r="88" spans="1:7" ht="12" customHeight="1" x14ac:dyDescent="0.25">
      <c r="A88" s="1091" t="s">
        <v>300</v>
      </c>
      <c r="B88" s="1091"/>
      <c r="C88" s="243">
        <f>C89</f>
        <v>0</v>
      </c>
      <c r="D88" s="243">
        <f>D89</f>
        <v>0</v>
      </c>
      <c r="E88" s="243">
        <f>E89</f>
        <v>384175</v>
      </c>
      <c r="F88" s="243"/>
      <c r="G88" s="243">
        <f>G89</f>
        <v>200000</v>
      </c>
    </row>
    <row r="89" spans="1:7" x14ac:dyDescent="0.25">
      <c r="A89" s="245">
        <v>1</v>
      </c>
      <c r="B89" s="383" t="s">
        <v>589</v>
      </c>
      <c r="C89" s="89">
        <v>0</v>
      </c>
      <c r="D89" s="89">
        <v>0</v>
      </c>
      <c r="E89" s="89">
        <v>384175</v>
      </c>
      <c r="F89" s="243">
        <v>5240</v>
      </c>
      <c r="G89" s="89">
        <v>200000</v>
      </c>
    </row>
    <row r="90" spans="1:7" x14ac:dyDescent="0.25">
      <c r="A90" s="271"/>
      <c r="B90" s="268"/>
      <c r="C90" s="262"/>
      <c r="D90" s="262"/>
      <c r="E90" s="262"/>
      <c r="F90" s="262"/>
      <c r="G90" s="262"/>
    </row>
    <row r="91" spans="1:7" x14ac:dyDescent="0.25">
      <c r="A91" s="247"/>
      <c r="B91" s="247"/>
      <c r="C91" s="247"/>
      <c r="D91" s="247"/>
      <c r="E91" s="247"/>
      <c r="F91" s="247"/>
      <c r="G91" s="247"/>
    </row>
    <row r="92" spans="1:7" x14ac:dyDescent="0.25">
      <c r="A92" s="247"/>
      <c r="B92" s="247"/>
      <c r="C92" s="247"/>
      <c r="D92" s="247"/>
      <c r="E92" s="247"/>
      <c r="F92" s="247"/>
      <c r="G92" s="247"/>
    </row>
    <row r="93" spans="1:7" x14ac:dyDescent="0.25">
      <c r="A93" s="247"/>
      <c r="B93" s="247"/>
      <c r="C93" s="247"/>
      <c r="D93" s="247"/>
      <c r="E93" s="247"/>
      <c r="F93" s="247"/>
      <c r="G93" s="247"/>
    </row>
    <row r="94" spans="1:7" x14ac:dyDescent="0.25">
      <c r="A94" s="247"/>
      <c r="B94" s="247"/>
      <c r="C94" s="247"/>
      <c r="D94" s="247"/>
      <c r="E94" s="247"/>
      <c r="F94" s="247"/>
      <c r="G94" s="247"/>
    </row>
    <row r="95" spans="1:7" x14ac:dyDescent="0.25">
      <c r="A95" s="247"/>
      <c r="B95" s="247"/>
      <c r="C95" s="247"/>
      <c r="D95" s="247"/>
      <c r="E95" s="247"/>
      <c r="F95" s="247"/>
      <c r="G95" s="247"/>
    </row>
    <row r="96" spans="1:7" x14ac:dyDescent="0.25">
      <c r="A96" s="247"/>
      <c r="B96" s="247"/>
      <c r="C96" s="247"/>
      <c r="D96" s="247"/>
      <c r="E96" s="247"/>
      <c r="F96" s="247"/>
      <c r="G96" s="247"/>
    </row>
    <row r="97" spans="1:7" x14ac:dyDescent="0.25">
      <c r="A97" s="247"/>
      <c r="B97" s="247"/>
      <c r="C97" s="247"/>
      <c r="D97" s="247"/>
      <c r="E97" s="247"/>
      <c r="F97" s="247"/>
      <c r="G97" s="247"/>
    </row>
    <row r="98" spans="1:7" x14ac:dyDescent="0.25">
      <c r="A98" s="247"/>
      <c r="B98" s="247"/>
      <c r="C98" s="247"/>
      <c r="D98" s="247"/>
      <c r="E98" s="247"/>
      <c r="F98" s="247"/>
      <c r="G98" s="247"/>
    </row>
    <row r="99" spans="1:7" x14ac:dyDescent="0.25">
      <c r="A99" s="247"/>
      <c r="B99" s="247"/>
      <c r="C99" s="247"/>
      <c r="D99" s="247"/>
      <c r="E99" s="247"/>
      <c r="F99" s="247"/>
    </row>
    <row r="100" spans="1:7" x14ac:dyDescent="0.25">
      <c r="A100" s="247"/>
      <c r="B100" s="247"/>
      <c r="C100" s="247"/>
      <c r="D100" s="247"/>
      <c r="E100" s="247"/>
      <c r="F100" s="247"/>
    </row>
    <row r="101" spans="1:7" x14ac:dyDescent="0.25">
      <c r="A101" s="247"/>
      <c r="B101" s="247"/>
      <c r="C101" s="247"/>
      <c r="D101" s="247"/>
      <c r="E101" s="247"/>
      <c r="F101" s="247"/>
    </row>
    <row r="102" spans="1:7" x14ac:dyDescent="0.25">
      <c r="A102" s="247"/>
      <c r="B102" s="247"/>
      <c r="C102" s="247"/>
      <c r="D102" s="247"/>
      <c r="E102" s="247"/>
      <c r="F102" s="247"/>
    </row>
    <row r="103" spans="1:7" x14ac:dyDescent="0.25">
      <c r="A103" s="247"/>
      <c r="B103" s="247"/>
      <c r="C103" s="247"/>
      <c r="D103" s="247"/>
      <c r="E103" s="247"/>
      <c r="F103" s="247"/>
    </row>
    <row r="104" spans="1:7" x14ac:dyDescent="0.25">
      <c r="A104" s="247"/>
      <c r="B104" s="247"/>
      <c r="C104" s="247"/>
      <c r="D104" s="247"/>
      <c r="E104" s="247"/>
      <c r="F104" s="247"/>
    </row>
    <row r="105" spans="1:7" x14ac:dyDescent="0.25">
      <c r="A105" s="247"/>
      <c r="B105" s="247"/>
      <c r="C105" s="247"/>
      <c r="D105" s="247"/>
      <c r="E105" s="247"/>
      <c r="F105" s="247"/>
    </row>
    <row r="106" spans="1:7" x14ac:dyDescent="0.25">
      <c r="A106" s="247"/>
      <c r="B106" s="247"/>
      <c r="C106" s="247"/>
      <c r="D106" s="247"/>
      <c r="E106" s="247"/>
      <c r="F106" s="247"/>
    </row>
    <row r="107" spans="1:7" x14ac:dyDescent="0.25">
      <c r="A107" s="247"/>
      <c r="B107" s="247"/>
      <c r="C107" s="247"/>
      <c r="D107" s="247"/>
      <c r="E107" s="247"/>
      <c r="F107" s="247"/>
    </row>
    <row r="108" spans="1:7" x14ac:dyDescent="0.25">
      <c r="A108" s="247"/>
      <c r="B108" s="247"/>
      <c r="C108" s="247"/>
      <c r="D108" s="247"/>
      <c r="E108" s="247"/>
      <c r="F108" s="247"/>
      <c r="G108" s="247"/>
    </row>
    <row r="109" spans="1:7" x14ac:dyDescent="0.25">
      <c r="A109" s="247"/>
      <c r="B109" s="247"/>
      <c r="C109" s="247"/>
      <c r="D109" s="247"/>
      <c r="E109" s="247"/>
      <c r="F109" s="247"/>
      <c r="G109" s="247"/>
    </row>
    <row r="110" spans="1:7" x14ac:dyDescent="0.25">
      <c r="A110" s="247"/>
      <c r="B110" s="247"/>
      <c r="C110" s="247"/>
      <c r="D110" s="247"/>
      <c r="E110" s="247"/>
      <c r="F110" s="247"/>
      <c r="G110" s="247"/>
    </row>
    <row r="111" spans="1:7" x14ac:dyDescent="0.25">
      <c r="A111" s="247"/>
      <c r="B111" s="247"/>
      <c r="C111" s="247"/>
      <c r="D111" s="247"/>
      <c r="E111" s="247"/>
      <c r="F111" s="247"/>
      <c r="G111" s="247"/>
    </row>
    <row r="112" spans="1:7" x14ac:dyDescent="0.25">
      <c r="A112" s="247"/>
      <c r="B112" s="247"/>
      <c r="C112" s="247"/>
      <c r="D112" s="247"/>
      <c r="E112" s="247"/>
      <c r="F112" s="247"/>
      <c r="G112" s="247"/>
    </row>
    <row r="113" spans="1:7" x14ac:dyDescent="0.25">
      <c r="A113" s="247"/>
      <c r="B113" s="247"/>
      <c r="C113" s="247"/>
      <c r="D113" s="247"/>
      <c r="E113" s="247"/>
      <c r="F113" s="247"/>
      <c r="G113" s="247"/>
    </row>
    <row r="114" spans="1:7" x14ac:dyDescent="0.25">
      <c r="A114" s="247"/>
      <c r="B114" s="247"/>
      <c r="C114" s="247"/>
      <c r="D114" s="247"/>
      <c r="E114" s="247"/>
      <c r="F114" s="247"/>
      <c r="G114" s="247"/>
    </row>
    <row r="115" spans="1:7" x14ac:dyDescent="0.25">
      <c r="A115" s="247"/>
      <c r="B115" s="247"/>
      <c r="C115" s="247"/>
      <c r="D115" s="247"/>
      <c r="E115" s="247"/>
      <c r="F115" s="247"/>
      <c r="G115" s="247"/>
    </row>
    <row r="116" spans="1:7" x14ac:dyDescent="0.25">
      <c r="A116" s="247"/>
      <c r="B116" s="247"/>
      <c r="C116" s="247"/>
      <c r="D116" s="247"/>
      <c r="E116" s="247"/>
      <c r="F116" s="247"/>
      <c r="G116" s="247"/>
    </row>
    <row r="117" spans="1:7" x14ac:dyDescent="0.25">
      <c r="A117" s="247"/>
      <c r="B117" s="247"/>
      <c r="C117" s="247"/>
      <c r="D117" s="247"/>
      <c r="E117" s="247"/>
      <c r="F117" s="247"/>
      <c r="G117" s="247"/>
    </row>
    <row r="118" spans="1:7" x14ac:dyDescent="0.25">
      <c r="A118" s="247"/>
      <c r="B118" s="247"/>
      <c r="C118" s="247"/>
      <c r="D118" s="247"/>
      <c r="E118" s="247"/>
      <c r="F118" s="247"/>
      <c r="G118" s="247"/>
    </row>
    <row r="119" spans="1:7" x14ac:dyDescent="0.25">
      <c r="A119" s="247"/>
      <c r="B119" s="247"/>
      <c r="C119" s="247"/>
      <c r="D119" s="247"/>
      <c r="E119" s="247"/>
      <c r="F119" s="247"/>
      <c r="G119" s="247"/>
    </row>
    <row r="120" spans="1:7" x14ac:dyDescent="0.25">
      <c r="A120" s="247"/>
      <c r="B120" s="247"/>
      <c r="C120" s="247"/>
      <c r="D120" s="247"/>
      <c r="E120" s="247"/>
      <c r="F120" s="247"/>
      <c r="G120" s="247"/>
    </row>
    <row r="121" spans="1:7" x14ac:dyDescent="0.25">
      <c r="A121" s="247"/>
      <c r="B121" s="247"/>
      <c r="C121" s="247"/>
      <c r="D121" s="247"/>
      <c r="E121" s="247"/>
      <c r="F121" s="247"/>
      <c r="G121" s="247"/>
    </row>
    <row r="122" spans="1:7" x14ac:dyDescent="0.25">
      <c r="A122" s="247"/>
      <c r="B122" s="247"/>
      <c r="C122" s="247"/>
      <c r="D122" s="247"/>
      <c r="E122" s="247"/>
      <c r="F122" s="247"/>
      <c r="G122" s="247"/>
    </row>
    <row r="123" spans="1:7" x14ac:dyDescent="0.25">
      <c r="A123" s="247"/>
      <c r="B123" s="247"/>
      <c r="C123" s="247"/>
      <c r="D123" s="247"/>
      <c r="E123" s="247"/>
      <c r="F123" s="247"/>
      <c r="G123" s="247"/>
    </row>
    <row r="124" spans="1:7" x14ac:dyDescent="0.25">
      <c r="A124" s="247"/>
      <c r="B124" s="247"/>
      <c r="C124" s="247"/>
      <c r="D124" s="247"/>
      <c r="E124" s="247"/>
      <c r="F124" s="247"/>
      <c r="G124" s="247"/>
    </row>
    <row r="125" spans="1:7" x14ac:dyDescent="0.25">
      <c r="A125" s="247"/>
      <c r="B125" s="247"/>
      <c r="C125" s="247"/>
      <c r="D125" s="247"/>
      <c r="E125" s="247"/>
      <c r="F125" s="247"/>
      <c r="G125" s="247"/>
    </row>
    <row r="126" spans="1:7" x14ac:dyDescent="0.25">
      <c r="A126" s="247"/>
      <c r="B126" s="247"/>
      <c r="C126" s="247"/>
      <c r="D126" s="247"/>
      <c r="E126" s="247"/>
      <c r="F126" s="247"/>
      <c r="G126" s="247"/>
    </row>
    <row r="127" spans="1:7" x14ac:dyDescent="0.25">
      <c r="A127" s="247"/>
      <c r="B127" s="247"/>
      <c r="C127" s="247"/>
      <c r="D127" s="247"/>
      <c r="E127" s="247"/>
      <c r="F127" s="247"/>
      <c r="G127" s="247"/>
    </row>
    <row r="128" spans="1:7" x14ac:dyDescent="0.25">
      <c r="A128" s="247"/>
      <c r="B128" s="247"/>
      <c r="C128" s="247"/>
      <c r="D128" s="247"/>
      <c r="E128" s="247"/>
      <c r="F128" s="247"/>
      <c r="G128" s="247"/>
    </row>
    <row r="129" spans="1:7" x14ac:dyDescent="0.25">
      <c r="A129" s="247"/>
      <c r="B129" s="247"/>
      <c r="C129" s="247"/>
      <c r="D129" s="247"/>
      <c r="E129" s="247"/>
      <c r="F129" s="247"/>
      <c r="G129" s="247"/>
    </row>
    <row r="130" spans="1:7" x14ac:dyDescent="0.25">
      <c r="A130" s="247"/>
      <c r="B130" s="247"/>
      <c r="C130" s="247"/>
      <c r="D130" s="247"/>
      <c r="E130" s="247"/>
      <c r="F130" s="247"/>
      <c r="G130" s="247"/>
    </row>
    <row r="131" spans="1:7" x14ac:dyDescent="0.25">
      <c r="A131" s="247"/>
      <c r="B131" s="247"/>
      <c r="C131" s="247"/>
      <c r="D131" s="247"/>
      <c r="E131" s="247"/>
      <c r="F131" s="247"/>
      <c r="G131" s="247"/>
    </row>
    <row r="132" spans="1:7" x14ac:dyDescent="0.25">
      <c r="A132" s="247"/>
      <c r="B132" s="247"/>
      <c r="C132" s="247"/>
      <c r="D132" s="247"/>
      <c r="E132" s="247"/>
      <c r="F132" s="247"/>
      <c r="G132" s="247"/>
    </row>
    <row r="133" spans="1:7" x14ac:dyDescent="0.25">
      <c r="A133" s="247"/>
      <c r="B133" s="247"/>
      <c r="C133" s="247"/>
      <c r="D133" s="247"/>
      <c r="E133" s="247"/>
      <c r="F133" s="247"/>
      <c r="G133" s="247"/>
    </row>
    <row r="134" spans="1:7" x14ac:dyDescent="0.25">
      <c r="A134" s="247"/>
      <c r="B134" s="247"/>
      <c r="C134" s="247"/>
      <c r="D134" s="247"/>
      <c r="E134" s="247"/>
      <c r="F134" s="247"/>
      <c r="G134" s="247"/>
    </row>
    <row r="135" spans="1:7" x14ac:dyDescent="0.25">
      <c r="A135" s="247"/>
      <c r="B135" s="247"/>
      <c r="C135" s="247"/>
      <c r="D135" s="247"/>
      <c r="E135" s="247"/>
      <c r="F135" s="247"/>
      <c r="G135" s="247"/>
    </row>
    <row r="136" spans="1:7" x14ac:dyDescent="0.25">
      <c r="A136" s="247"/>
      <c r="B136" s="247"/>
      <c r="C136" s="247"/>
      <c r="D136" s="247"/>
      <c r="E136" s="247"/>
      <c r="F136" s="247"/>
      <c r="G136" s="247"/>
    </row>
    <row r="137" spans="1:7" x14ac:dyDescent="0.25">
      <c r="A137" s="247"/>
      <c r="B137" s="247"/>
      <c r="C137" s="247"/>
      <c r="D137" s="247"/>
      <c r="E137" s="247"/>
      <c r="F137" s="247"/>
      <c r="G137" s="247"/>
    </row>
    <row r="138" spans="1:7" x14ac:dyDescent="0.25">
      <c r="A138" s="247"/>
      <c r="B138" s="247"/>
      <c r="C138" s="247"/>
      <c r="D138" s="247"/>
      <c r="E138" s="247"/>
      <c r="F138" s="247"/>
      <c r="G138" s="247"/>
    </row>
    <row r="139" spans="1:7" x14ac:dyDescent="0.25">
      <c r="A139" s="247"/>
      <c r="B139" s="247"/>
      <c r="C139" s="247"/>
      <c r="D139" s="247"/>
      <c r="E139" s="247"/>
      <c r="F139" s="247"/>
      <c r="G139" s="247"/>
    </row>
    <row r="140" spans="1:7" x14ac:dyDescent="0.25">
      <c r="A140" s="247"/>
      <c r="B140" s="247"/>
      <c r="C140" s="247"/>
      <c r="D140" s="247"/>
      <c r="E140" s="247"/>
      <c r="F140" s="247"/>
      <c r="G140" s="247"/>
    </row>
    <row r="141" spans="1:7" x14ac:dyDescent="0.25">
      <c r="A141" s="247"/>
      <c r="B141" s="247"/>
      <c r="C141" s="247"/>
      <c r="D141" s="247"/>
      <c r="E141" s="247"/>
      <c r="F141" s="247"/>
      <c r="G141" s="247"/>
    </row>
    <row r="142" spans="1:7" x14ac:dyDescent="0.25">
      <c r="A142" s="247"/>
      <c r="B142" s="247"/>
      <c r="C142" s="247"/>
      <c r="D142" s="247"/>
      <c r="E142" s="247"/>
      <c r="F142" s="247"/>
      <c r="G142" s="247"/>
    </row>
    <row r="143" spans="1:7" x14ac:dyDescent="0.25">
      <c r="A143" s="247"/>
      <c r="B143" s="247"/>
      <c r="C143" s="247"/>
      <c r="D143" s="247"/>
      <c r="E143" s="247"/>
      <c r="F143" s="247"/>
      <c r="G143" s="247"/>
    </row>
    <row r="144" spans="1:7" x14ac:dyDescent="0.25">
      <c r="A144" s="247"/>
      <c r="B144" s="247"/>
      <c r="C144" s="247"/>
      <c r="D144" s="247"/>
      <c r="E144" s="247"/>
      <c r="F144" s="247"/>
      <c r="G144" s="247"/>
    </row>
    <row r="145" spans="1:7" x14ac:dyDescent="0.25">
      <c r="A145" s="247"/>
      <c r="B145" s="247"/>
      <c r="C145" s="247"/>
      <c r="D145" s="247"/>
      <c r="E145" s="247"/>
      <c r="F145" s="247"/>
      <c r="G145" s="247"/>
    </row>
    <row r="146" spans="1:7" x14ac:dyDescent="0.25">
      <c r="A146" s="247"/>
      <c r="B146" s="247"/>
      <c r="C146" s="247"/>
      <c r="D146" s="247"/>
      <c r="E146" s="247"/>
      <c r="F146" s="247"/>
      <c r="G146" s="247"/>
    </row>
    <row r="147" spans="1:7" x14ac:dyDescent="0.25">
      <c r="A147" s="247"/>
      <c r="B147" s="247"/>
      <c r="C147" s="247"/>
      <c r="D147" s="247"/>
      <c r="E147" s="247"/>
      <c r="F147" s="247"/>
      <c r="G147" s="247"/>
    </row>
    <row r="148" spans="1:7" x14ac:dyDescent="0.25">
      <c r="A148" s="247"/>
      <c r="B148" s="247"/>
      <c r="C148" s="247"/>
      <c r="D148" s="247"/>
      <c r="E148" s="247"/>
      <c r="F148" s="247"/>
      <c r="G148" s="247"/>
    </row>
    <row r="149" spans="1:7" x14ac:dyDescent="0.25">
      <c r="A149" s="247"/>
      <c r="B149" s="247"/>
      <c r="C149" s="247"/>
      <c r="D149" s="247"/>
      <c r="E149" s="247"/>
      <c r="F149" s="247"/>
      <c r="G149" s="247"/>
    </row>
    <row r="150" spans="1:7" x14ac:dyDescent="0.25">
      <c r="A150" s="247"/>
      <c r="B150" s="247"/>
      <c r="C150" s="247"/>
      <c r="D150" s="247"/>
      <c r="E150" s="247"/>
      <c r="F150" s="247"/>
      <c r="G150" s="247"/>
    </row>
    <row r="151" spans="1:7" x14ac:dyDescent="0.25">
      <c r="A151" s="247"/>
      <c r="B151" s="247"/>
      <c r="C151" s="247"/>
      <c r="D151" s="247"/>
      <c r="E151" s="247"/>
      <c r="F151" s="247"/>
      <c r="G151" s="247"/>
    </row>
    <row r="152" spans="1:7" x14ac:dyDescent="0.25">
      <c r="A152" s="247"/>
      <c r="B152" s="247"/>
      <c r="C152" s="247"/>
      <c r="D152" s="247"/>
      <c r="E152" s="247"/>
      <c r="F152" s="247"/>
      <c r="G152" s="247"/>
    </row>
    <row r="153" spans="1:7" x14ac:dyDescent="0.25">
      <c r="A153" s="247"/>
      <c r="B153" s="247"/>
      <c r="C153" s="247"/>
      <c r="D153" s="247"/>
      <c r="E153" s="247"/>
      <c r="F153" s="247"/>
      <c r="G153" s="247"/>
    </row>
    <row r="154" spans="1:7" x14ac:dyDescent="0.25">
      <c r="A154" s="247"/>
      <c r="B154" s="247"/>
      <c r="C154" s="247"/>
      <c r="D154" s="247"/>
      <c r="E154" s="247"/>
      <c r="F154" s="247"/>
      <c r="G154" s="247"/>
    </row>
    <row r="155" spans="1:7" x14ac:dyDescent="0.25">
      <c r="A155" s="247"/>
      <c r="B155" s="247"/>
      <c r="C155" s="247"/>
      <c r="D155" s="247"/>
      <c r="E155" s="247"/>
      <c r="F155" s="247"/>
      <c r="G155" s="247"/>
    </row>
    <row r="156" spans="1:7" x14ac:dyDescent="0.25">
      <c r="A156" s="247"/>
      <c r="B156" s="247"/>
      <c r="C156" s="247"/>
      <c r="D156" s="247"/>
      <c r="E156" s="247"/>
      <c r="F156" s="247"/>
      <c r="G156" s="247"/>
    </row>
    <row r="157" spans="1:7" x14ac:dyDescent="0.25">
      <c r="A157" s="247"/>
      <c r="B157" s="247"/>
      <c r="C157" s="247"/>
      <c r="D157" s="247"/>
      <c r="E157" s="247"/>
      <c r="F157" s="247"/>
      <c r="G157" s="247"/>
    </row>
    <row r="158" spans="1:7" x14ac:dyDescent="0.25">
      <c r="A158" s="247"/>
      <c r="B158" s="247"/>
      <c r="C158" s="247"/>
      <c r="D158" s="247"/>
      <c r="E158" s="247"/>
      <c r="F158" s="247"/>
      <c r="G158" s="247"/>
    </row>
    <row r="159" spans="1:7" x14ac:dyDescent="0.25">
      <c r="A159" s="247"/>
      <c r="B159" s="247"/>
      <c r="C159" s="247"/>
      <c r="D159" s="247"/>
      <c r="E159" s="247"/>
      <c r="F159" s="247"/>
      <c r="G159" s="247"/>
    </row>
    <row r="160" spans="1:7" x14ac:dyDescent="0.25">
      <c r="A160" s="247"/>
      <c r="B160" s="247"/>
      <c r="C160" s="247"/>
      <c r="D160" s="247"/>
      <c r="E160" s="247"/>
      <c r="F160" s="247"/>
      <c r="G160" s="247"/>
    </row>
    <row r="161" spans="1:7" x14ac:dyDescent="0.25">
      <c r="A161" s="247"/>
      <c r="B161" s="247"/>
      <c r="C161" s="247"/>
      <c r="D161" s="247"/>
      <c r="E161" s="247"/>
      <c r="F161" s="247"/>
      <c r="G161" s="247"/>
    </row>
    <row r="162" spans="1:7" x14ac:dyDescent="0.25">
      <c r="A162" s="247"/>
      <c r="B162" s="247"/>
      <c r="C162" s="247"/>
      <c r="D162" s="247"/>
      <c r="E162" s="247"/>
      <c r="F162" s="247"/>
      <c r="G162" s="247"/>
    </row>
    <row r="163" spans="1:7" x14ac:dyDescent="0.25">
      <c r="A163" s="247"/>
      <c r="B163" s="247"/>
      <c r="C163" s="247"/>
      <c r="D163" s="247"/>
      <c r="E163" s="247"/>
      <c r="F163" s="247"/>
      <c r="G163" s="247"/>
    </row>
    <row r="164" spans="1:7" x14ac:dyDescent="0.25">
      <c r="A164" s="247"/>
      <c r="B164" s="247"/>
      <c r="C164" s="247"/>
      <c r="D164" s="247"/>
      <c r="E164" s="247"/>
      <c r="F164" s="247"/>
      <c r="G164" s="247"/>
    </row>
    <row r="165" spans="1:7" x14ac:dyDescent="0.25">
      <c r="A165" s="247"/>
      <c r="B165" s="247"/>
      <c r="C165" s="247"/>
      <c r="D165" s="247"/>
      <c r="E165" s="247"/>
      <c r="F165" s="247"/>
      <c r="G165" s="247"/>
    </row>
    <row r="166" spans="1:7" x14ac:dyDescent="0.25">
      <c r="A166" s="247"/>
      <c r="B166" s="247"/>
      <c r="C166" s="247"/>
      <c r="D166" s="247"/>
      <c r="E166" s="247"/>
      <c r="F166" s="247"/>
      <c r="G166" s="247"/>
    </row>
    <row r="167" spans="1:7" x14ac:dyDescent="0.25">
      <c r="A167" s="247"/>
      <c r="B167" s="247"/>
      <c r="C167" s="247"/>
      <c r="D167" s="247"/>
      <c r="E167" s="247"/>
      <c r="F167" s="247"/>
      <c r="G167" s="247"/>
    </row>
    <row r="168" spans="1:7" x14ac:dyDescent="0.25">
      <c r="A168" s="247"/>
      <c r="B168" s="247"/>
      <c r="C168" s="247"/>
      <c r="D168" s="247"/>
      <c r="E168" s="247"/>
      <c r="F168" s="247"/>
      <c r="G168" s="247"/>
    </row>
    <row r="169" spans="1:7" x14ac:dyDescent="0.25">
      <c r="A169" s="247"/>
      <c r="B169" s="247"/>
      <c r="C169" s="247"/>
      <c r="D169" s="247"/>
      <c r="E169" s="247"/>
      <c r="F169" s="247"/>
      <c r="G169" s="247"/>
    </row>
    <row r="170" spans="1:7" x14ac:dyDescent="0.25">
      <c r="A170" s="247"/>
      <c r="B170" s="247"/>
      <c r="C170" s="247"/>
      <c r="D170" s="247"/>
      <c r="E170" s="247"/>
      <c r="F170" s="247"/>
      <c r="G170" s="247"/>
    </row>
    <row r="171" spans="1:7" x14ac:dyDescent="0.25">
      <c r="A171" s="247"/>
      <c r="B171" s="247"/>
      <c r="C171" s="247"/>
      <c r="D171" s="247"/>
      <c r="E171" s="247"/>
      <c r="F171" s="247"/>
      <c r="G171" s="247"/>
    </row>
    <row r="172" spans="1:7" x14ac:dyDescent="0.25">
      <c r="A172" s="247"/>
      <c r="B172" s="247"/>
      <c r="C172" s="247"/>
      <c r="D172" s="247"/>
      <c r="E172" s="247"/>
      <c r="F172" s="247"/>
      <c r="G172" s="247"/>
    </row>
    <row r="173" spans="1:7" x14ac:dyDescent="0.25">
      <c r="A173" s="247"/>
      <c r="B173" s="247"/>
      <c r="C173" s="247"/>
      <c r="D173" s="247"/>
      <c r="E173" s="247"/>
      <c r="F173" s="247"/>
      <c r="G173" s="247"/>
    </row>
    <row r="174" spans="1:7" x14ac:dyDescent="0.25">
      <c r="A174" s="247"/>
      <c r="B174" s="247"/>
      <c r="C174" s="247"/>
      <c r="D174" s="247"/>
      <c r="E174" s="247"/>
      <c r="F174" s="247"/>
      <c r="G174" s="247"/>
    </row>
    <row r="175" spans="1:7" x14ac:dyDescent="0.25">
      <c r="A175" s="247"/>
      <c r="B175" s="247"/>
      <c r="C175" s="247"/>
      <c r="D175" s="247"/>
      <c r="E175" s="247"/>
      <c r="F175" s="247"/>
      <c r="G175" s="247"/>
    </row>
    <row r="176" spans="1:7" x14ac:dyDescent="0.25">
      <c r="A176" s="247"/>
      <c r="B176" s="247"/>
      <c r="C176" s="247"/>
      <c r="D176" s="247"/>
      <c r="E176" s="247"/>
      <c r="F176" s="247"/>
      <c r="G176" s="247"/>
    </row>
    <row r="177" spans="1:7" x14ac:dyDescent="0.25">
      <c r="A177" s="247"/>
      <c r="B177" s="247"/>
      <c r="C177" s="247"/>
      <c r="D177" s="247"/>
      <c r="E177" s="247"/>
      <c r="F177" s="247"/>
      <c r="G177" s="247"/>
    </row>
    <row r="178" spans="1:7" x14ac:dyDescent="0.25">
      <c r="A178" s="247"/>
      <c r="B178" s="247"/>
      <c r="C178" s="247"/>
      <c r="D178" s="247"/>
      <c r="E178" s="247"/>
      <c r="F178" s="247"/>
      <c r="G178" s="247"/>
    </row>
    <row r="179" spans="1:7" x14ac:dyDescent="0.25">
      <c r="A179" s="247"/>
      <c r="B179" s="247"/>
      <c r="C179" s="247"/>
      <c r="D179" s="247"/>
      <c r="E179" s="247"/>
      <c r="F179" s="247"/>
      <c r="G179" s="247"/>
    </row>
    <row r="180" spans="1:7" x14ac:dyDescent="0.25">
      <c r="A180" s="247"/>
      <c r="B180" s="247"/>
      <c r="C180" s="247"/>
      <c r="D180" s="247"/>
      <c r="E180" s="247"/>
      <c r="F180" s="247"/>
      <c r="G180" s="247"/>
    </row>
    <row r="181" spans="1:7" x14ac:dyDescent="0.25">
      <c r="A181" s="247"/>
      <c r="B181" s="247"/>
      <c r="C181" s="247"/>
      <c r="D181" s="247"/>
      <c r="E181" s="247"/>
      <c r="F181" s="247"/>
      <c r="G181" s="247"/>
    </row>
    <row r="182" spans="1:7" x14ac:dyDescent="0.25">
      <c r="A182" s="247"/>
      <c r="B182" s="247"/>
      <c r="C182" s="247"/>
      <c r="D182" s="247"/>
      <c r="E182" s="247"/>
      <c r="F182" s="247"/>
      <c r="G182" s="247"/>
    </row>
    <row r="183" spans="1:7" x14ac:dyDescent="0.25">
      <c r="A183" s="247"/>
      <c r="B183" s="247"/>
      <c r="C183" s="247"/>
      <c r="D183" s="247"/>
      <c r="E183" s="247"/>
      <c r="F183" s="247"/>
      <c r="G183" s="247"/>
    </row>
    <row r="184" spans="1:7" x14ac:dyDescent="0.25">
      <c r="A184" s="247"/>
      <c r="B184" s="247"/>
      <c r="C184" s="247"/>
      <c r="D184" s="247"/>
      <c r="E184" s="247"/>
      <c r="F184" s="247"/>
      <c r="G184" s="247"/>
    </row>
    <row r="185" spans="1:7" x14ac:dyDescent="0.25">
      <c r="A185" s="247"/>
      <c r="B185" s="247"/>
      <c r="C185" s="247"/>
      <c r="D185" s="247"/>
      <c r="E185" s="247"/>
      <c r="F185" s="247"/>
      <c r="G185" s="247"/>
    </row>
    <row r="186" spans="1:7" x14ac:dyDescent="0.25">
      <c r="A186" s="247"/>
      <c r="B186" s="247"/>
      <c r="C186" s="247"/>
      <c r="D186" s="247"/>
      <c r="E186" s="247"/>
      <c r="F186" s="247"/>
      <c r="G186" s="247"/>
    </row>
    <row r="187" spans="1:7" x14ac:dyDescent="0.25">
      <c r="A187" s="247"/>
      <c r="B187" s="247"/>
      <c r="C187" s="247"/>
      <c r="D187" s="247"/>
      <c r="E187" s="247"/>
      <c r="F187" s="247"/>
      <c r="G187" s="247"/>
    </row>
    <row r="188" spans="1:7" x14ac:dyDescent="0.25">
      <c r="A188" s="247"/>
      <c r="B188" s="247"/>
      <c r="C188" s="247"/>
      <c r="D188" s="247"/>
      <c r="E188" s="247"/>
      <c r="F188" s="247"/>
      <c r="G188" s="247"/>
    </row>
    <row r="189" spans="1:7" x14ac:dyDescent="0.25">
      <c r="A189" s="247"/>
      <c r="B189" s="247"/>
      <c r="C189" s="247"/>
      <c r="D189" s="247"/>
      <c r="E189" s="247"/>
      <c r="F189" s="247"/>
      <c r="G189" s="247"/>
    </row>
    <row r="190" spans="1:7" x14ac:dyDescent="0.25">
      <c r="A190" s="247"/>
      <c r="B190" s="247"/>
      <c r="C190" s="247"/>
      <c r="D190" s="247"/>
      <c r="E190" s="247"/>
      <c r="F190" s="247"/>
      <c r="G190" s="247"/>
    </row>
    <row r="191" spans="1:7" x14ac:dyDescent="0.25">
      <c r="A191" s="247"/>
      <c r="B191" s="247"/>
      <c r="C191" s="247"/>
      <c r="D191" s="247"/>
      <c r="E191" s="247"/>
      <c r="F191" s="247"/>
      <c r="G191" s="247"/>
    </row>
    <row r="192" spans="1:7" x14ac:dyDescent="0.25">
      <c r="A192" s="247"/>
      <c r="B192" s="247"/>
      <c r="C192" s="247"/>
      <c r="D192" s="247"/>
      <c r="E192" s="247"/>
      <c r="F192" s="247"/>
      <c r="G192" s="247"/>
    </row>
    <row r="193" spans="1:7" x14ac:dyDescent="0.25">
      <c r="A193" s="247"/>
      <c r="B193" s="247"/>
      <c r="C193" s="247"/>
      <c r="D193" s="247"/>
      <c r="E193" s="247"/>
      <c r="F193" s="247"/>
      <c r="G193" s="247"/>
    </row>
    <row r="194" spans="1:7" x14ac:dyDescent="0.25">
      <c r="A194" s="247"/>
      <c r="B194" s="247"/>
      <c r="C194" s="247"/>
      <c r="D194" s="247"/>
      <c r="E194" s="247"/>
      <c r="F194" s="247"/>
      <c r="G194" s="247"/>
    </row>
    <row r="195" spans="1:7" x14ac:dyDescent="0.25">
      <c r="A195" s="247"/>
      <c r="B195" s="247"/>
      <c r="C195" s="247"/>
      <c r="D195" s="247"/>
      <c r="E195" s="247"/>
      <c r="F195" s="247"/>
      <c r="G195" s="247"/>
    </row>
    <row r="196" spans="1:7" x14ac:dyDescent="0.25">
      <c r="A196" s="247"/>
      <c r="B196" s="247"/>
      <c r="C196" s="247"/>
      <c r="D196" s="247"/>
      <c r="E196" s="247"/>
      <c r="F196" s="247"/>
      <c r="G196" s="247"/>
    </row>
    <row r="197" spans="1:7" x14ac:dyDescent="0.25">
      <c r="A197" s="247"/>
      <c r="B197" s="247"/>
      <c r="C197" s="247"/>
      <c r="D197" s="247"/>
      <c r="E197" s="247"/>
      <c r="F197" s="247"/>
      <c r="G197" s="247"/>
    </row>
    <row r="198" spans="1:7" x14ac:dyDescent="0.25">
      <c r="A198" s="247"/>
      <c r="B198" s="247"/>
      <c r="C198" s="247"/>
      <c r="D198" s="247"/>
      <c r="E198" s="247"/>
      <c r="F198" s="247"/>
      <c r="G198" s="247"/>
    </row>
    <row r="199" spans="1:7" x14ac:dyDescent="0.25">
      <c r="A199" s="247"/>
      <c r="B199" s="247"/>
      <c r="C199" s="247"/>
      <c r="D199" s="247"/>
      <c r="E199" s="247"/>
      <c r="F199" s="247"/>
      <c r="G199" s="247"/>
    </row>
    <row r="200" spans="1:7" x14ac:dyDescent="0.25">
      <c r="A200" s="247"/>
      <c r="B200" s="247"/>
      <c r="C200" s="247"/>
      <c r="D200" s="247"/>
      <c r="E200" s="247"/>
      <c r="F200" s="247"/>
      <c r="G200" s="247"/>
    </row>
    <row r="201" spans="1:7" x14ac:dyDescent="0.25">
      <c r="A201" s="247"/>
      <c r="B201" s="247"/>
      <c r="C201" s="247"/>
      <c r="D201" s="247"/>
      <c r="E201" s="247"/>
      <c r="F201" s="247"/>
      <c r="G201" s="247"/>
    </row>
    <row r="202" spans="1:7" x14ac:dyDescent="0.25">
      <c r="A202" s="247"/>
      <c r="B202" s="247"/>
      <c r="C202" s="247"/>
      <c r="D202" s="247"/>
      <c r="E202" s="247"/>
      <c r="F202" s="247"/>
      <c r="G202" s="247"/>
    </row>
    <row r="203" spans="1:7" x14ac:dyDescent="0.25">
      <c r="A203" s="247"/>
      <c r="B203" s="247"/>
      <c r="C203" s="247"/>
      <c r="D203" s="247"/>
      <c r="E203" s="247"/>
      <c r="F203" s="247"/>
      <c r="G203" s="247"/>
    </row>
    <row r="204" spans="1:7" x14ac:dyDescent="0.25">
      <c r="A204" s="247"/>
      <c r="B204" s="247"/>
      <c r="C204" s="247"/>
      <c r="D204" s="247"/>
      <c r="E204" s="247"/>
      <c r="F204" s="247"/>
      <c r="G204" s="247"/>
    </row>
    <row r="205" spans="1:7" x14ac:dyDescent="0.25">
      <c r="A205" s="247"/>
      <c r="B205" s="247"/>
      <c r="C205" s="247"/>
      <c r="D205" s="247"/>
      <c r="E205" s="247"/>
      <c r="F205" s="247"/>
      <c r="G205" s="247"/>
    </row>
    <row r="206" spans="1:7" x14ac:dyDescent="0.25">
      <c r="A206" s="247"/>
      <c r="B206" s="247"/>
      <c r="C206" s="247"/>
      <c r="D206" s="247"/>
      <c r="E206" s="247"/>
      <c r="F206" s="247"/>
      <c r="G206" s="247"/>
    </row>
    <row r="207" spans="1:7" x14ac:dyDescent="0.25">
      <c r="A207" s="247"/>
      <c r="B207" s="247"/>
      <c r="C207" s="247"/>
      <c r="D207" s="247"/>
      <c r="E207" s="247"/>
      <c r="F207" s="247"/>
      <c r="G207" s="247"/>
    </row>
    <row r="208" spans="1:7" x14ac:dyDescent="0.25">
      <c r="A208" s="247"/>
      <c r="B208" s="247"/>
      <c r="C208" s="247"/>
      <c r="D208" s="247"/>
      <c r="E208" s="247"/>
      <c r="F208" s="247"/>
      <c r="G208" s="247"/>
    </row>
    <row r="209" spans="1:7" x14ac:dyDescent="0.25">
      <c r="A209" s="247"/>
      <c r="B209" s="247"/>
      <c r="C209" s="247"/>
      <c r="D209" s="247"/>
      <c r="E209" s="247"/>
      <c r="F209" s="247"/>
      <c r="G209" s="247"/>
    </row>
    <row r="210" spans="1:7" x14ac:dyDescent="0.25">
      <c r="A210" s="247"/>
      <c r="B210" s="247"/>
      <c r="C210" s="247"/>
      <c r="D210" s="247"/>
      <c r="E210" s="247"/>
      <c r="F210" s="247"/>
      <c r="G210" s="247"/>
    </row>
    <row r="211" spans="1:7" x14ac:dyDescent="0.25">
      <c r="A211" s="247"/>
      <c r="B211" s="247"/>
      <c r="C211" s="247"/>
      <c r="D211" s="247"/>
      <c r="E211" s="247"/>
      <c r="F211" s="247"/>
      <c r="G211" s="247"/>
    </row>
    <row r="212" spans="1:7" x14ac:dyDescent="0.25">
      <c r="A212" s="247"/>
      <c r="B212" s="247"/>
      <c r="C212" s="247"/>
      <c r="D212" s="247"/>
      <c r="E212" s="247"/>
      <c r="F212" s="247"/>
      <c r="G212" s="247"/>
    </row>
    <row r="213" spans="1:7" x14ac:dyDescent="0.25">
      <c r="A213" s="247"/>
      <c r="B213" s="247"/>
      <c r="C213" s="247"/>
      <c r="D213" s="247"/>
      <c r="E213" s="247"/>
      <c r="F213" s="247"/>
      <c r="G213" s="247"/>
    </row>
    <row r="214" spans="1:7" x14ac:dyDescent="0.25">
      <c r="A214" s="247"/>
      <c r="B214" s="247"/>
      <c r="C214" s="247"/>
      <c r="D214" s="247"/>
      <c r="E214" s="247"/>
      <c r="F214" s="247"/>
      <c r="G214" s="247"/>
    </row>
    <row r="215" spans="1:7" x14ac:dyDescent="0.25">
      <c r="A215" s="247"/>
      <c r="B215" s="247"/>
      <c r="C215" s="247"/>
      <c r="D215" s="247"/>
      <c r="E215" s="247"/>
      <c r="F215" s="247"/>
      <c r="G215" s="247"/>
    </row>
    <row r="216" spans="1:7" x14ac:dyDescent="0.25">
      <c r="A216" s="247"/>
      <c r="B216" s="247"/>
      <c r="C216" s="247"/>
      <c r="D216" s="247"/>
      <c r="E216" s="247"/>
      <c r="F216" s="247"/>
      <c r="G216" s="247"/>
    </row>
    <row r="217" spans="1:7" x14ac:dyDescent="0.25">
      <c r="A217" s="247"/>
      <c r="B217" s="247"/>
      <c r="C217" s="247"/>
      <c r="D217" s="247"/>
      <c r="E217" s="247"/>
      <c r="F217" s="247"/>
      <c r="G217" s="247"/>
    </row>
    <row r="218" spans="1:7" x14ac:dyDescent="0.25">
      <c r="A218" s="247"/>
      <c r="B218" s="247"/>
      <c r="C218" s="247"/>
      <c r="D218" s="247"/>
      <c r="E218" s="247"/>
      <c r="F218" s="247"/>
      <c r="G218" s="247"/>
    </row>
    <row r="219" spans="1:7" x14ac:dyDescent="0.25">
      <c r="A219" s="247"/>
      <c r="B219" s="247"/>
      <c r="C219" s="247"/>
      <c r="D219" s="247"/>
      <c r="E219" s="247"/>
      <c r="F219" s="247"/>
      <c r="G219" s="247"/>
    </row>
    <row r="220" spans="1:7" x14ac:dyDescent="0.25">
      <c r="A220" s="247"/>
      <c r="B220" s="247"/>
      <c r="C220" s="247"/>
      <c r="D220" s="247"/>
      <c r="E220" s="247"/>
      <c r="F220" s="247"/>
      <c r="G220" s="247"/>
    </row>
    <row r="221" spans="1:7" x14ac:dyDescent="0.25">
      <c r="A221" s="247"/>
      <c r="B221" s="247"/>
      <c r="C221" s="247"/>
      <c r="D221" s="247"/>
      <c r="E221" s="247"/>
      <c r="F221" s="247"/>
      <c r="G221" s="247"/>
    </row>
    <row r="222" spans="1:7" x14ac:dyDescent="0.25">
      <c r="A222" s="247"/>
      <c r="B222" s="247"/>
      <c r="C222" s="247"/>
      <c r="D222" s="247"/>
      <c r="E222" s="247"/>
      <c r="F222" s="247"/>
      <c r="G222" s="247"/>
    </row>
    <row r="223" spans="1:7" x14ac:dyDescent="0.25">
      <c r="A223" s="247"/>
      <c r="B223" s="247"/>
      <c r="C223" s="247"/>
      <c r="D223" s="247"/>
      <c r="E223" s="247"/>
      <c r="F223" s="247"/>
      <c r="G223" s="247"/>
    </row>
    <row r="224" spans="1:7" x14ac:dyDescent="0.25">
      <c r="A224" s="247"/>
      <c r="B224" s="247"/>
      <c r="C224" s="247"/>
      <c r="D224" s="247"/>
      <c r="E224" s="247"/>
      <c r="F224" s="247"/>
      <c r="G224" s="247"/>
    </row>
    <row r="225" spans="1:7" x14ac:dyDescent="0.25">
      <c r="A225" s="247"/>
      <c r="B225" s="247"/>
      <c r="C225" s="247"/>
      <c r="D225" s="247"/>
      <c r="E225" s="247"/>
      <c r="F225" s="247"/>
      <c r="G225" s="247"/>
    </row>
    <row r="226" spans="1:7" x14ac:dyDescent="0.25">
      <c r="A226" s="247"/>
      <c r="B226" s="247"/>
      <c r="C226" s="247"/>
      <c r="D226" s="247"/>
      <c r="E226" s="247"/>
      <c r="F226" s="247"/>
      <c r="G226" s="247"/>
    </row>
    <row r="227" spans="1:7" x14ac:dyDescent="0.25">
      <c r="A227" s="247"/>
      <c r="B227" s="247"/>
      <c r="C227" s="247"/>
      <c r="D227" s="247"/>
      <c r="E227" s="247"/>
      <c r="F227" s="247"/>
      <c r="G227" s="247"/>
    </row>
    <row r="228" spans="1:7" x14ac:dyDescent="0.25">
      <c r="A228" s="247"/>
      <c r="B228" s="247"/>
      <c r="C228" s="247"/>
      <c r="D228" s="247"/>
      <c r="E228" s="247"/>
      <c r="F228" s="247"/>
      <c r="G228" s="247"/>
    </row>
    <row r="229" spans="1:7" x14ac:dyDescent="0.25">
      <c r="A229" s="247"/>
      <c r="B229" s="247"/>
      <c r="C229" s="247"/>
      <c r="D229" s="247"/>
      <c r="E229" s="247"/>
      <c r="F229" s="247"/>
      <c r="G229" s="247"/>
    </row>
    <row r="230" spans="1:7" x14ac:dyDescent="0.25">
      <c r="A230" s="247"/>
      <c r="B230" s="247"/>
      <c r="C230" s="247"/>
      <c r="D230" s="247"/>
      <c r="E230" s="247"/>
      <c r="F230" s="247"/>
      <c r="G230" s="247"/>
    </row>
    <row r="231" spans="1:7" x14ac:dyDescent="0.25">
      <c r="A231" s="247"/>
      <c r="B231" s="247"/>
      <c r="C231" s="247"/>
      <c r="D231" s="247"/>
      <c r="E231" s="247"/>
      <c r="F231" s="247"/>
      <c r="G231" s="247"/>
    </row>
    <row r="232" spans="1:7" x14ac:dyDescent="0.25">
      <c r="A232" s="247"/>
      <c r="B232" s="247"/>
      <c r="C232" s="247"/>
      <c r="D232" s="247"/>
      <c r="E232" s="247"/>
      <c r="F232" s="247"/>
      <c r="G232" s="247"/>
    </row>
    <row r="233" spans="1:7" x14ac:dyDescent="0.25">
      <c r="A233" s="247"/>
      <c r="B233" s="247"/>
      <c r="C233" s="247"/>
      <c r="D233" s="247"/>
      <c r="E233" s="247"/>
      <c r="F233" s="247"/>
      <c r="G233" s="247"/>
    </row>
    <row r="234" spans="1:7" x14ac:dyDescent="0.25">
      <c r="A234" s="247"/>
      <c r="B234" s="247"/>
      <c r="C234" s="247"/>
      <c r="D234" s="247"/>
      <c r="E234" s="247"/>
      <c r="F234" s="247"/>
      <c r="G234" s="247"/>
    </row>
    <row r="235" spans="1:7" x14ac:dyDescent="0.25">
      <c r="A235" s="247"/>
      <c r="B235" s="247"/>
      <c r="C235" s="247"/>
      <c r="D235" s="247"/>
      <c r="E235" s="247"/>
      <c r="F235" s="247"/>
      <c r="G235" s="247"/>
    </row>
    <row r="236" spans="1:7" x14ac:dyDescent="0.25">
      <c r="A236" s="247"/>
      <c r="B236" s="247"/>
      <c r="C236" s="247"/>
      <c r="D236" s="247"/>
      <c r="E236" s="247"/>
      <c r="F236" s="247"/>
      <c r="G236" s="247"/>
    </row>
    <row r="237" spans="1:7" x14ac:dyDescent="0.25">
      <c r="A237" s="247"/>
      <c r="B237" s="247"/>
      <c r="C237" s="247"/>
      <c r="D237" s="247"/>
      <c r="E237" s="247"/>
      <c r="F237" s="247"/>
      <c r="G237" s="247"/>
    </row>
    <row r="238" spans="1:7" x14ac:dyDescent="0.25">
      <c r="A238" s="247"/>
      <c r="B238" s="247"/>
      <c r="C238" s="247"/>
      <c r="D238" s="247"/>
      <c r="E238" s="247"/>
      <c r="F238" s="247"/>
      <c r="G238" s="247"/>
    </row>
    <row r="239" spans="1:7" x14ac:dyDescent="0.25">
      <c r="A239" s="247"/>
      <c r="B239" s="247"/>
      <c r="C239" s="247"/>
      <c r="D239" s="247"/>
      <c r="E239" s="247"/>
      <c r="F239" s="247"/>
      <c r="G239" s="247"/>
    </row>
    <row r="240" spans="1:7" x14ac:dyDescent="0.25">
      <c r="A240" s="247"/>
      <c r="B240" s="247"/>
      <c r="C240" s="247"/>
      <c r="D240" s="247"/>
      <c r="E240" s="247"/>
      <c r="F240" s="247"/>
      <c r="G240" s="247"/>
    </row>
    <row r="241" spans="1:7" x14ac:dyDescent="0.25">
      <c r="A241" s="247"/>
      <c r="B241" s="247"/>
      <c r="C241" s="247"/>
      <c r="D241" s="247"/>
      <c r="E241" s="247"/>
      <c r="F241" s="247"/>
      <c r="G241" s="247"/>
    </row>
    <row r="242" spans="1:7" x14ac:dyDescent="0.25">
      <c r="A242" s="247"/>
      <c r="B242" s="247"/>
      <c r="C242" s="247"/>
      <c r="D242" s="247"/>
      <c r="E242" s="247"/>
      <c r="F242" s="247"/>
      <c r="G242" s="247"/>
    </row>
    <row r="243" spans="1:7" x14ac:dyDescent="0.25">
      <c r="A243" s="247"/>
      <c r="B243" s="247"/>
      <c r="C243" s="247"/>
      <c r="D243" s="247"/>
      <c r="E243" s="247"/>
      <c r="F243" s="247"/>
      <c r="G243" s="247"/>
    </row>
    <row r="244" spans="1:7" x14ac:dyDescent="0.25">
      <c r="A244" s="247"/>
      <c r="B244" s="247"/>
      <c r="C244" s="247"/>
      <c r="D244" s="247"/>
      <c r="E244" s="247"/>
      <c r="F244" s="247"/>
      <c r="G244" s="247"/>
    </row>
    <row r="245" spans="1:7" x14ac:dyDescent="0.25">
      <c r="A245" s="247"/>
      <c r="B245" s="247"/>
      <c r="C245" s="247"/>
      <c r="D245" s="247"/>
      <c r="E245" s="247"/>
      <c r="F245" s="247"/>
      <c r="G245" s="247"/>
    </row>
    <row r="246" spans="1:7" x14ac:dyDescent="0.25">
      <c r="A246" s="247"/>
      <c r="B246" s="247"/>
      <c r="C246" s="247"/>
      <c r="D246" s="247"/>
      <c r="E246" s="247"/>
      <c r="F246" s="247"/>
      <c r="G246" s="247"/>
    </row>
    <row r="247" spans="1:7" x14ac:dyDescent="0.25">
      <c r="A247" s="247"/>
      <c r="B247" s="247"/>
      <c r="C247" s="247"/>
      <c r="D247" s="247"/>
      <c r="E247" s="247"/>
      <c r="F247" s="247"/>
      <c r="G247" s="247"/>
    </row>
    <row r="248" spans="1:7" x14ac:dyDescent="0.25">
      <c r="A248" s="247"/>
      <c r="B248" s="247"/>
      <c r="C248" s="247"/>
      <c r="D248" s="247"/>
      <c r="E248" s="247"/>
      <c r="F248" s="247"/>
      <c r="G248" s="247"/>
    </row>
    <row r="249" spans="1:7" x14ac:dyDescent="0.25">
      <c r="A249" s="247"/>
      <c r="B249" s="247"/>
      <c r="C249" s="247"/>
      <c r="D249" s="247"/>
      <c r="E249" s="247"/>
      <c r="F249" s="247"/>
      <c r="G249" s="247"/>
    </row>
    <row r="250" spans="1:7" x14ac:dyDescent="0.25">
      <c r="A250" s="247"/>
      <c r="B250" s="247"/>
      <c r="C250" s="247"/>
      <c r="D250" s="247"/>
      <c r="E250" s="247"/>
      <c r="F250" s="247"/>
      <c r="G250" s="247"/>
    </row>
    <row r="251" spans="1:7" x14ac:dyDescent="0.25">
      <c r="A251" s="247"/>
      <c r="B251" s="247"/>
      <c r="C251" s="247"/>
      <c r="D251" s="247"/>
      <c r="E251" s="247"/>
      <c r="F251" s="247"/>
      <c r="G251" s="247"/>
    </row>
    <row r="252" spans="1:7" x14ac:dyDescent="0.25">
      <c r="A252" s="247"/>
      <c r="B252" s="247"/>
      <c r="C252" s="247"/>
      <c r="D252" s="247"/>
      <c r="E252" s="247"/>
      <c r="F252" s="247"/>
      <c r="G252" s="247"/>
    </row>
    <row r="253" spans="1:7" x14ac:dyDescent="0.25">
      <c r="A253" s="247"/>
      <c r="B253" s="247"/>
      <c r="C253" s="247"/>
      <c r="D253" s="247"/>
      <c r="E253" s="247"/>
      <c r="F253" s="247"/>
      <c r="G253" s="247"/>
    </row>
    <row r="254" spans="1:7" x14ac:dyDescent="0.25">
      <c r="A254" s="247"/>
      <c r="B254" s="247"/>
      <c r="C254" s="247"/>
      <c r="D254" s="247"/>
      <c r="E254" s="247"/>
      <c r="F254" s="247"/>
      <c r="G254" s="247"/>
    </row>
    <row r="255" spans="1:7" x14ac:dyDescent="0.25">
      <c r="A255" s="247"/>
      <c r="B255" s="247"/>
      <c r="C255" s="247"/>
      <c r="D255" s="247"/>
      <c r="E255" s="247"/>
      <c r="F255" s="247"/>
    </row>
    <row r="256" spans="1:7" x14ac:dyDescent="0.25">
      <c r="A256" s="247"/>
      <c r="B256" s="247"/>
      <c r="C256" s="247"/>
      <c r="D256" s="247"/>
      <c r="E256" s="247"/>
      <c r="F256" s="247"/>
    </row>
    <row r="257" spans="1:6" x14ac:dyDescent="0.25">
      <c r="A257" s="247"/>
      <c r="B257" s="247"/>
      <c r="C257" s="247"/>
      <c r="D257" s="247"/>
      <c r="E257" s="247"/>
      <c r="F257" s="247"/>
    </row>
    <row r="258" spans="1:6" x14ac:dyDescent="0.25">
      <c r="A258" s="247"/>
      <c r="B258" s="247"/>
      <c r="C258" s="247"/>
      <c r="D258" s="247"/>
      <c r="E258" s="247"/>
      <c r="F258" s="247"/>
    </row>
    <row r="259" spans="1:6" x14ac:dyDescent="0.25">
      <c r="A259" s="247"/>
      <c r="B259" s="247"/>
      <c r="C259" s="247"/>
      <c r="D259" s="247"/>
      <c r="E259" s="247"/>
      <c r="F259" s="247"/>
    </row>
    <row r="260" spans="1:6" x14ac:dyDescent="0.25">
      <c r="A260" s="247"/>
      <c r="B260" s="247"/>
      <c r="C260" s="247"/>
      <c r="D260" s="247"/>
      <c r="E260" s="247"/>
      <c r="F260" s="247"/>
    </row>
    <row r="261" spans="1:6" x14ac:dyDescent="0.25">
      <c r="A261" s="247"/>
      <c r="B261" s="247"/>
      <c r="C261" s="247"/>
      <c r="D261" s="247"/>
      <c r="E261" s="247"/>
      <c r="F261" s="247"/>
    </row>
    <row r="262" spans="1:6" x14ac:dyDescent="0.25">
      <c r="A262" s="247"/>
      <c r="B262" s="247"/>
      <c r="C262" s="247"/>
      <c r="D262" s="247"/>
      <c r="E262" s="247"/>
      <c r="F262" s="247"/>
    </row>
    <row r="263" spans="1:6" x14ac:dyDescent="0.25">
      <c r="A263" s="247"/>
      <c r="B263" s="247"/>
      <c r="C263" s="247"/>
      <c r="D263" s="247"/>
      <c r="E263" s="247"/>
      <c r="F263" s="247"/>
    </row>
    <row r="264" spans="1:6" x14ac:dyDescent="0.25">
      <c r="A264" s="247"/>
      <c r="B264" s="247"/>
      <c r="C264" s="247"/>
      <c r="D264" s="247"/>
      <c r="E264" s="247"/>
      <c r="F264" s="247"/>
    </row>
    <row r="265" spans="1:6" x14ac:dyDescent="0.25">
      <c r="A265" s="247"/>
      <c r="B265" s="247"/>
      <c r="C265" s="247"/>
      <c r="D265" s="247"/>
      <c r="E265" s="247"/>
      <c r="F265" s="247"/>
    </row>
    <row r="266" spans="1:6" x14ac:dyDescent="0.25">
      <c r="A266" s="247"/>
      <c r="B266" s="247"/>
      <c r="C266" s="247"/>
      <c r="D266" s="247"/>
      <c r="E266" s="247"/>
      <c r="F266" s="247"/>
    </row>
    <row r="267" spans="1:6" x14ac:dyDescent="0.25">
      <c r="A267" s="247"/>
      <c r="B267" s="247"/>
      <c r="C267" s="247"/>
      <c r="D267" s="247"/>
      <c r="E267" s="247"/>
      <c r="F267" s="247"/>
    </row>
    <row r="268" spans="1:6" x14ac:dyDescent="0.25">
      <c r="A268" s="247"/>
      <c r="B268" s="247"/>
      <c r="C268" s="247"/>
      <c r="D268" s="247"/>
      <c r="E268" s="247"/>
      <c r="F268" s="247"/>
    </row>
    <row r="269" spans="1:6" x14ac:dyDescent="0.25">
      <c r="A269" s="247"/>
      <c r="B269" s="247"/>
      <c r="C269" s="247"/>
      <c r="D269" s="247"/>
      <c r="E269" s="247"/>
      <c r="F269" s="247"/>
    </row>
    <row r="270" spans="1:6" x14ac:dyDescent="0.25">
      <c r="A270" s="247"/>
      <c r="B270" s="247"/>
      <c r="C270" s="247"/>
      <c r="D270" s="247"/>
      <c r="E270" s="247"/>
      <c r="F270" s="247"/>
    </row>
    <row r="271" spans="1:6" x14ac:dyDescent="0.25">
      <c r="A271" s="247"/>
      <c r="B271" s="247"/>
      <c r="C271" s="247"/>
      <c r="D271" s="247"/>
      <c r="E271" s="247"/>
      <c r="F271" s="247"/>
    </row>
    <row r="272" spans="1:6" x14ac:dyDescent="0.25">
      <c r="A272" s="247"/>
      <c r="B272" s="247"/>
      <c r="C272" s="247"/>
      <c r="D272" s="247"/>
      <c r="E272" s="247"/>
      <c r="F272" s="247"/>
    </row>
    <row r="273" spans="1:6" x14ac:dyDescent="0.25">
      <c r="A273" s="247"/>
      <c r="B273" s="247"/>
      <c r="C273" s="247"/>
      <c r="D273" s="247"/>
      <c r="E273" s="247"/>
      <c r="F273" s="247"/>
    </row>
    <row r="274" spans="1:6" x14ac:dyDescent="0.25">
      <c r="A274" s="247"/>
      <c r="B274" s="247"/>
      <c r="C274" s="247"/>
      <c r="D274" s="247"/>
      <c r="E274" s="247"/>
      <c r="F274" s="247"/>
    </row>
    <row r="275" spans="1:6" x14ac:dyDescent="0.25">
      <c r="A275" s="247"/>
      <c r="B275" s="247"/>
      <c r="C275" s="247"/>
      <c r="D275" s="247"/>
      <c r="E275" s="247"/>
      <c r="F275" s="247"/>
    </row>
    <row r="276" spans="1:6" x14ac:dyDescent="0.25">
      <c r="A276" s="247"/>
      <c r="B276" s="247"/>
      <c r="C276" s="247"/>
      <c r="D276" s="247"/>
      <c r="E276" s="247"/>
      <c r="F276" s="247"/>
    </row>
    <row r="277" spans="1:6" x14ac:dyDescent="0.25">
      <c r="A277" s="247"/>
      <c r="B277" s="247"/>
      <c r="C277" s="247"/>
      <c r="D277" s="247"/>
      <c r="E277" s="247"/>
      <c r="F277" s="247"/>
    </row>
    <row r="278" spans="1:6" x14ac:dyDescent="0.25">
      <c r="A278" s="247"/>
      <c r="B278" s="247"/>
      <c r="C278" s="247"/>
      <c r="D278" s="247"/>
      <c r="E278" s="247"/>
      <c r="F278" s="247"/>
    </row>
    <row r="279" spans="1:6" x14ac:dyDescent="0.25">
      <c r="A279" s="247"/>
      <c r="B279" s="247"/>
      <c r="C279" s="247"/>
      <c r="D279" s="247"/>
      <c r="E279" s="247"/>
      <c r="F279" s="247"/>
    </row>
    <row r="280" spans="1:6" x14ac:dyDescent="0.25">
      <c r="A280" s="247"/>
      <c r="B280" s="247"/>
      <c r="C280" s="247"/>
      <c r="D280" s="247"/>
      <c r="E280" s="247"/>
      <c r="F280" s="247"/>
    </row>
    <row r="281" spans="1:6" x14ac:dyDescent="0.25">
      <c r="A281" s="247"/>
      <c r="B281" s="247"/>
      <c r="C281" s="247"/>
      <c r="D281" s="247"/>
      <c r="E281" s="247"/>
      <c r="F281" s="247"/>
    </row>
    <row r="282" spans="1:6" x14ac:dyDescent="0.25">
      <c r="A282" s="247"/>
      <c r="B282" s="247"/>
      <c r="C282" s="247"/>
      <c r="D282" s="247"/>
      <c r="E282" s="247"/>
      <c r="F282" s="247"/>
    </row>
    <row r="283" spans="1:6" x14ac:dyDescent="0.25">
      <c r="A283" s="247"/>
      <c r="B283" s="247"/>
      <c r="C283" s="247"/>
      <c r="D283" s="247"/>
      <c r="E283" s="247"/>
      <c r="F283" s="247"/>
    </row>
    <row r="284" spans="1:6" x14ac:dyDescent="0.25">
      <c r="A284" s="247"/>
      <c r="B284" s="247"/>
      <c r="C284" s="247"/>
      <c r="D284" s="247"/>
      <c r="E284" s="247"/>
      <c r="F284" s="247"/>
    </row>
    <row r="285" spans="1:6" x14ac:dyDescent="0.25">
      <c r="A285" s="247"/>
      <c r="B285" s="247"/>
      <c r="C285" s="247"/>
      <c r="D285" s="247"/>
      <c r="E285" s="247"/>
      <c r="F285" s="247"/>
    </row>
    <row r="286" spans="1:6" x14ac:dyDescent="0.25">
      <c r="A286" s="247"/>
      <c r="B286" s="247"/>
      <c r="C286" s="247"/>
      <c r="D286" s="247"/>
      <c r="E286" s="247"/>
      <c r="F286" s="247"/>
    </row>
    <row r="287" spans="1:6" x14ac:dyDescent="0.25">
      <c r="A287" s="247"/>
      <c r="B287" s="247"/>
      <c r="C287" s="247"/>
      <c r="D287" s="247"/>
      <c r="E287" s="247"/>
      <c r="F287" s="247"/>
    </row>
    <row r="288" spans="1:6" x14ac:dyDescent="0.25">
      <c r="A288" s="247"/>
      <c r="B288" s="247"/>
      <c r="C288" s="247"/>
      <c r="D288" s="247"/>
      <c r="E288" s="247"/>
      <c r="F288" s="247"/>
    </row>
    <row r="289" spans="1:6" x14ac:dyDescent="0.25">
      <c r="A289" s="247"/>
      <c r="B289" s="247"/>
      <c r="C289" s="247"/>
      <c r="D289" s="247"/>
      <c r="E289" s="247"/>
      <c r="F289" s="247"/>
    </row>
    <row r="290" spans="1:6" x14ac:dyDescent="0.25">
      <c r="A290" s="247"/>
      <c r="B290" s="247"/>
      <c r="C290" s="247"/>
      <c r="D290" s="247"/>
      <c r="E290" s="247"/>
      <c r="F290" s="247"/>
    </row>
    <row r="291" spans="1:6" x14ac:dyDescent="0.25">
      <c r="A291" s="247"/>
      <c r="B291" s="247"/>
      <c r="C291" s="247"/>
      <c r="D291" s="247"/>
      <c r="E291" s="247"/>
      <c r="F291" s="247"/>
    </row>
    <row r="292" spans="1:6" x14ac:dyDescent="0.25">
      <c r="A292" s="247"/>
      <c r="B292" s="247"/>
      <c r="C292" s="247"/>
      <c r="D292" s="247"/>
      <c r="E292" s="247"/>
      <c r="F292" s="247"/>
    </row>
    <row r="293" spans="1:6" x14ac:dyDescent="0.25">
      <c r="A293" s="247"/>
      <c r="B293" s="247"/>
      <c r="C293" s="247"/>
      <c r="D293" s="247"/>
      <c r="E293" s="247"/>
      <c r="F293" s="247"/>
    </row>
    <row r="294" spans="1:6" x14ac:dyDescent="0.25">
      <c r="A294" s="247"/>
      <c r="B294" s="247"/>
      <c r="C294" s="247"/>
      <c r="D294" s="247"/>
      <c r="E294" s="247"/>
      <c r="F294" s="247"/>
    </row>
    <row r="295" spans="1:6" x14ac:dyDescent="0.25">
      <c r="A295" s="247"/>
      <c r="B295" s="247"/>
      <c r="C295" s="247"/>
      <c r="D295" s="247"/>
      <c r="E295" s="247"/>
      <c r="F295" s="247"/>
    </row>
    <row r="296" spans="1:6" x14ac:dyDescent="0.25">
      <c r="A296" s="247"/>
      <c r="B296" s="247"/>
      <c r="C296" s="247"/>
      <c r="D296" s="247"/>
      <c r="E296" s="247"/>
      <c r="F296" s="247"/>
    </row>
    <row r="297" spans="1:6" x14ac:dyDescent="0.25">
      <c r="A297" s="247"/>
      <c r="B297" s="247"/>
      <c r="C297" s="247"/>
      <c r="D297" s="247"/>
      <c r="E297" s="247"/>
      <c r="F297" s="247"/>
    </row>
    <row r="298" spans="1:6" x14ac:dyDescent="0.25">
      <c r="A298" s="247"/>
      <c r="B298" s="247"/>
      <c r="C298" s="247"/>
      <c r="D298" s="247"/>
      <c r="E298" s="247"/>
      <c r="F298" s="247"/>
    </row>
    <row r="299" spans="1:6" x14ac:dyDescent="0.25">
      <c r="A299" s="247"/>
      <c r="B299" s="247"/>
      <c r="C299" s="247"/>
      <c r="D299" s="247"/>
      <c r="E299" s="247"/>
      <c r="F299" s="247"/>
    </row>
    <row r="300" spans="1:6" x14ac:dyDescent="0.25">
      <c r="A300" s="247"/>
      <c r="B300" s="247"/>
      <c r="C300" s="247"/>
      <c r="D300" s="247"/>
      <c r="E300" s="247"/>
      <c r="F300" s="247"/>
    </row>
    <row r="301" spans="1:6" x14ac:dyDescent="0.25">
      <c r="A301" s="247"/>
      <c r="B301" s="247"/>
      <c r="C301" s="247"/>
      <c r="D301" s="247"/>
      <c r="E301" s="247"/>
      <c r="F301" s="247"/>
    </row>
    <row r="302" spans="1:6" x14ac:dyDescent="0.25">
      <c r="A302" s="247"/>
      <c r="B302" s="247"/>
      <c r="C302" s="247"/>
      <c r="D302" s="247"/>
      <c r="E302" s="247"/>
      <c r="F302" s="247"/>
    </row>
    <row r="303" spans="1:6" x14ac:dyDescent="0.25">
      <c r="A303" s="247"/>
      <c r="B303" s="247"/>
      <c r="C303" s="247"/>
      <c r="D303" s="247"/>
      <c r="E303" s="247"/>
      <c r="F303" s="247"/>
    </row>
    <row r="304" spans="1:6" x14ac:dyDescent="0.25">
      <c r="A304" s="247"/>
      <c r="B304" s="247"/>
      <c r="C304" s="247"/>
      <c r="D304" s="247"/>
      <c r="E304" s="247"/>
      <c r="F304" s="247"/>
    </row>
    <row r="305" spans="1:6" x14ac:dyDescent="0.25">
      <c r="A305" s="247"/>
      <c r="B305" s="247"/>
      <c r="C305" s="247"/>
      <c r="D305" s="247"/>
      <c r="E305" s="247"/>
      <c r="F305" s="247"/>
    </row>
    <row r="306" spans="1:6" x14ac:dyDescent="0.25">
      <c r="A306" s="247"/>
      <c r="B306" s="247"/>
      <c r="C306" s="247"/>
      <c r="D306" s="247"/>
      <c r="E306" s="247"/>
      <c r="F306" s="247"/>
    </row>
    <row r="307" spans="1:6" x14ac:dyDescent="0.25">
      <c r="A307" s="247"/>
      <c r="B307" s="247"/>
      <c r="C307" s="247"/>
      <c r="D307" s="247"/>
      <c r="E307" s="247"/>
      <c r="F307" s="247"/>
    </row>
    <row r="308" spans="1:6" x14ac:dyDescent="0.25">
      <c r="A308" s="247"/>
      <c r="B308" s="247"/>
      <c r="C308" s="247"/>
      <c r="D308" s="247"/>
      <c r="E308" s="247"/>
      <c r="F308" s="247"/>
    </row>
    <row r="309" spans="1:6" x14ac:dyDescent="0.25">
      <c r="A309" s="247"/>
      <c r="B309" s="247"/>
      <c r="C309" s="247"/>
      <c r="D309" s="247"/>
      <c r="E309" s="247"/>
      <c r="F309" s="247"/>
    </row>
    <row r="310" spans="1:6" x14ac:dyDescent="0.25">
      <c r="A310" s="247"/>
      <c r="B310" s="247"/>
      <c r="C310" s="247"/>
      <c r="D310" s="247"/>
      <c r="E310" s="247"/>
      <c r="F310" s="247"/>
    </row>
    <row r="311" spans="1:6" x14ac:dyDescent="0.25">
      <c r="A311" s="247"/>
      <c r="B311" s="247"/>
      <c r="C311" s="247"/>
      <c r="D311" s="247"/>
      <c r="E311" s="247"/>
      <c r="F311" s="247"/>
    </row>
    <row r="312" spans="1:6" x14ac:dyDescent="0.25">
      <c r="A312" s="247"/>
      <c r="B312" s="247"/>
      <c r="C312" s="247"/>
      <c r="D312" s="247"/>
      <c r="E312" s="247"/>
      <c r="F312" s="247"/>
    </row>
    <row r="313" spans="1:6" x14ac:dyDescent="0.25">
      <c r="A313" s="247"/>
      <c r="B313" s="247"/>
      <c r="C313" s="247"/>
      <c r="D313" s="247"/>
      <c r="E313" s="247"/>
      <c r="F313" s="247"/>
    </row>
    <row r="314" spans="1:6" x14ac:dyDescent="0.25">
      <c r="A314" s="247"/>
      <c r="B314" s="247"/>
      <c r="C314" s="247"/>
      <c r="D314" s="247"/>
      <c r="E314" s="247"/>
      <c r="F314" s="247"/>
    </row>
    <row r="315" spans="1:6" x14ac:dyDescent="0.25">
      <c r="A315" s="247"/>
      <c r="B315" s="247"/>
      <c r="C315" s="247"/>
      <c r="D315" s="247"/>
      <c r="E315" s="247"/>
      <c r="F315" s="247"/>
    </row>
    <row r="316" spans="1:6" x14ac:dyDescent="0.25">
      <c r="A316" s="247"/>
      <c r="B316" s="247"/>
      <c r="C316" s="247"/>
      <c r="D316" s="247"/>
      <c r="E316" s="247"/>
      <c r="F316" s="247"/>
    </row>
    <row r="317" spans="1:6" x14ac:dyDescent="0.25">
      <c r="A317" s="247"/>
      <c r="B317" s="247"/>
      <c r="C317" s="247"/>
      <c r="D317" s="247"/>
      <c r="E317" s="247"/>
      <c r="F317" s="247"/>
    </row>
    <row r="318" spans="1:6" x14ac:dyDescent="0.25">
      <c r="A318" s="247"/>
      <c r="B318" s="247"/>
      <c r="C318" s="247"/>
      <c r="D318" s="247"/>
      <c r="E318" s="247"/>
      <c r="F318" s="247"/>
    </row>
    <row r="319" spans="1:6" x14ac:dyDescent="0.25">
      <c r="A319" s="247"/>
      <c r="B319" s="247"/>
      <c r="C319" s="247"/>
      <c r="D319" s="247"/>
      <c r="E319" s="247"/>
      <c r="F319" s="247"/>
    </row>
    <row r="320" spans="1:6" x14ac:dyDescent="0.25">
      <c r="A320" s="247"/>
      <c r="B320" s="247"/>
      <c r="C320" s="247"/>
      <c r="D320" s="247"/>
      <c r="E320" s="247"/>
      <c r="F320" s="247"/>
    </row>
    <row r="321" spans="1:6" x14ac:dyDescent="0.25">
      <c r="A321" s="247"/>
      <c r="B321" s="247"/>
      <c r="C321" s="247"/>
      <c r="D321" s="247"/>
      <c r="E321" s="247"/>
      <c r="F321" s="247"/>
    </row>
    <row r="322" spans="1:6" x14ac:dyDescent="0.25">
      <c r="A322" s="247"/>
      <c r="B322" s="247"/>
      <c r="C322" s="247"/>
      <c r="D322" s="247"/>
      <c r="E322" s="247"/>
      <c r="F322" s="247"/>
    </row>
    <row r="323" spans="1:6" x14ac:dyDescent="0.25">
      <c r="A323" s="247"/>
      <c r="B323" s="247"/>
      <c r="C323" s="247"/>
      <c r="D323" s="247"/>
      <c r="E323" s="247"/>
      <c r="F323" s="247"/>
    </row>
    <row r="324" spans="1:6" x14ac:dyDescent="0.25">
      <c r="A324" s="247"/>
      <c r="B324" s="247"/>
      <c r="C324" s="247"/>
      <c r="D324" s="247"/>
      <c r="E324" s="247"/>
      <c r="F324" s="247"/>
    </row>
    <row r="325" spans="1:6" x14ac:dyDescent="0.25">
      <c r="A325" s="247"/>
      <c r="B325" s="247"/>
      <c r="C325" s="247"/>
      <c r="D325" s="247"/>
      <c r="E325" s="247"/>
      <c r="F325" s="247"/>
    </row>
    <row r="326" spans="1:6" x14ac:dyDescent="0.25">
      <c r="A326" s="247"/>
      <c r="B326" s="247"/>
      <c r="C326" s="247"/>
      <c r="D326" s="247"/>
      <c r="E326" s="247"/>
      <c r="F326" s="247"/>
    </row>
    <row r="327" spans="1:6" x14ac:dyDescent="0.25">
      <c r="A327" s="247"/>
      <c r="B327" s="247"/>
      <c r="C327" s="247"/>
      <c r="D327" s="247"/>
      <c r="E327" s="247"/>
      <c r="F327" s="247"/>
    </row>
    <row r="328" spans="1:6" x14ac:dyDescent="0.25">
      <c r="A328" s="247"/>
      <c r="B328" s="247"/>
      <c r="C328" s="247"/>
      <c r="D328" s="247"/>
      <c r="E328" s="247"/>
      <c r="F328" s="247"/>
    </row>
    <row r="329" spans="1:6" x14ac:dyDescent="0.25">
      <c r="A329" s="247"/>
      <c r="B329" s="247"/>
      <c r="C329" s="247"/>
      <c r="D329" s="247"/>
      <c r="E329" s="247"/>
      <c r="F329" s="247"/>
    </row>
    <row r="330" spans="1:6" x14ac:dyDescent="0.25">
      <c r="A330" s="247"/>
      <c r="B330" s="247"/>
      <c r="C330" s="247"/>
      <c r="D330" s="247"/>
      <c r="E330" s="247"/>
      <c r="F330" s="247"/>
    </row>
    <row r="331" spans="1:6" x14ac:dyDescent="0.25">
      <c r="A331" s="247"/>
      <c r="B331" s="247"/>
      <c r="C331" s="247"/>
      <c r="D331" s="247"/>
      <c r="E331" s="247"/>
      <c r="F331" s="247"/>
    </row>
    <row r="332" spans="1:6" x14ac:dyDescent="0.25">
      <c r="A332" s="247"/>
      <c r="B332" s="247"/>
      <c r="C332" s="247"/>
      <c r="D332" s="247"/>
      <c r="E332" s="247"/>
      <c r="F332" s="247"/>
    </row>
    <row r="333" spans="1:6" x14ac:dyDescent="0.25">
      <c r="A333" s="247"/>
      <c r="B333" s="247"/>
      <c r="C333" s="247"/>
      <c r="D333" s="247"/>
      <c r="E333" s="247"/>
      <c r="F333" s="247"/>
    </row>
    <row r="334" spans="1:6" x14ac:dyDescent="0.25">
      <c r="A334" s="247"/>
      <c r="B334" s="247"/>
      <c r="C334" s="247"/>
      <c r="D334" s="247"/>
      <c r="E334" s="247"/>
      <c r="F334" s="247"/>
    </row>
    <row r="335" spans="1:6" x14ac:dyDescent="0.25">
      <c r="A335" s="247"/>
      <c r="B335" s="247"/>
      <c r="C335" s="247"/>
      <c r="D335" s="247"/>
      <c r="E335" s="247"/>
      <c r="F335" s="247"/>
    </row>
    <row r="336" spans="1:6" x14ac:dyDescent="0.25">
      <c r="A336" s="247"/>
      <c r="B336" s="247"/>
      <c r="C336" s="247"/>
      <c r="D336" s="247"/>
      <c r="E336" s="247"/>
      <c r="F336" s="247"/>
    </row>
    <row r="337" spans="1:6" x14ac:dyDescent="0.25">
      <c r="A337" s="247"/>
      <c r="B337" s="247"/>
      <c r="C337" s="247"/>
      <c r="D337" s="247"/>
      <c r="E337" s="247"/>
      <c r="F337" s="247"/>
    </row>
    <row r="338" spans="1:6" x14ac:dyDescent="0.25">
      <c r="A338" s="247"/>
      <c r="B338" s="247"/>
      <c r="C338" s="247"/>
      <c r="D338" s="247"/>
      <c r="E338" s="247"/>
      <c r="F338" s="247"/>
    </row>
    <row r="339" spans="1:6" x14ac:dyDescent="0.25">
      <c r="A339" s="247"/>
      <c r="B339" s="247"/>
      <c r="C339" s="247"/>
      <c r="D339" s="247"/>
      <c r="E339" s="247"/>
      <c r="F339" s="247"/>
    </row>
    <row r="340" spans="1:6" x14ac:dyDescent="0.25">
      <c r="A340" s="247"/>
      <c r="B340" s="247"/>
      <c r="C340" s="247"/>
      <c r="D340" s="247"/>
      <c r="E340" s="247"/>
      <c r="F340" s="247"/>
    </row>
    <row r="341" spans="1:6" x14ac:dyDescent="0.25">
      <c r="A341" s="247"/>
      <c r="B341" s="247"/>
      <c r="C341" s="247"/>
      <c r="D341" s="247"/>
      <c r="E341" s="247"/>
      <c r="F341" s="247"/>
    </row>
    <row r="342" spans="1:6" x14ac:dyDescent="0.25">
      <c r="A342" s="247"/>
      <c r="B342" s="247"/>
      <c r="C342" s="247"/>
      <c r="D342" s="247"/>
      <c r="E342" s="247"/>
      <c r="F342" s="247"/>
    </row>
    <row r="343" spans="1:6" x14ac:dyDescent="0.25">
      <c r="A343" s="247"/>
      <c r="B343" s="247"/>
      <c r="C343" s="247"/>
      <c r="D343" s="247"/>
      <c r="E343" s="247"/>
      <c r="F343" s="247"/>
    </row>
    <row r="344" spans="1:6" x14ac:dyDescent="0.25">
      <c r="A344" s="247"/>
      <c r="B344" s="247"/>
      <c r="C344" s="247"/>
      <c r="D344" s="247"/>
      <c r="E344" s="247"/>
      <c r="F344" s="247"/>
    </row>
    <row r="345" spans="1:6" x14ac:dyDescent="0.25">
      <c r="A345" s="247"/>
      <c r="B345" s="247"/>
      <c r="C345" s="247"/>
      <c r="D345" s="247"/>
      <c r="E345" s="247"/>
      <c r="F345" s="247"/>
    </row>
    <row r="346" spans="1:6" x14ac:dyDescent="0.25">
      <c r="A346" s="247"/>
      <c r="B346" s="247"/>
      <c r="C346" s="247"/>
      <c r="D346" s="247"/>
      <c r="E346" s="247"/>
      <c r="F346" s="247"/>
    </row>
    <row r="347" spans="1:6" x14ac:dyDescent="0.25">
      <c r="A347" s="247"/>
      <c r="B347" s="247"/>
      <c r="C347" s="247"/>
      <c r="D347" s="247"/>
      <c r="E347" s="247"/>
      <c r="F347" s="247"/>
    </row>
    <row r="348" spans="1:6" x14ac:dyDescent="0.25">
      <c r="A348" s="247"/>
      <c r="B348" s="247"/>
      <c r="C348" s="247"/>
      <c r="D348" s="247"/>
      <c r="E348" s="247"/>
      <c r="F348" s="247"/>
    </row>
    <row r="349" spans="1:6" x14ac:dyDescent="0.25">
      <c r="A349" s="247"/>
      <c r="B349" s="247"/>
      <c r="C349" s="247"/>
      <c r="D349" s="247"/>
      <c r="E349" s="247"/>
      <c r="F349" s="247"/>
    </row>
    <row r="350" spans="1:6" x14ac:dyDescent="0.25">
      <c r="A350" s="247"/>
      <c r="B350" s="247"/>
      <c r="C350" s="247"/>
      <c r="D350" s="247"/>
      <c r="E350" s="247"/>
      <c r="F350" s="247"/>
    </row>
    <row r="351" spans="1:6" x14ac:dyDescent="0.25">
      <c r="A351" s="247"/>
      <c r="B351" s="247"/>
      <c r="C351" s="247"/>
      <c r="D351" s="247"/>
      <c r="E351" s="247"/>
      <c r="F351" s="247"/>
    </row>
    <row r="352" spans="1:6" x14ac:dyDescent="0.25">
      <c r="A352" s="247"/>
      <c r="B352" s="247"/>
      <c r="C352" s="247"/>
      <c r="D352" s="247"/>
      <c r="E352" s="247"/>
      <c r="F352" s="247"/>
    </row>
    <row r="353" spans="1:6" x14ac:dyDescent="0.25">
      <c r="A353" s="247"/>
      <c r="B353" s="247"/>
      <c r="C353" s="247"/>
      <c r="D353" s="247"/>
      <c r="E353" s="247"/>
      <c r="F353" s="247"/>
    </row>
    <row r="354" spans="1:6" x14ac:dyDescent="0.25">
      <c r="A354" s="247"/>
      <c r="B354" s="247"/>
      <c r="C354" s="247"/>
      <c r="D354" s="247"/>
      <c r="E354" s="247"/>
      <c r="F354" s="247"/>
    </row>
    <row r="355" spans="1:6" x14ac:dyDescent="0.25">
      <c r="A355" s="247"/>
      <c r="B355" s="247"/>
      <c r="C355" s="247"/>
      <c r="D355" s="247"/>
      <c r="E355" s="247"/>
      <c r="F355" s="247"/>
    </row>
    <row r="356" spans="1:6" x14ac:dyDescent="0.25">
      <c r="A356" s="247"/>
      <c r="B356" s="247"/>
      <c r="C356" s="247"/>
      <c r="D356" s="247"/>
      <c r="E356" s="247"/>
      <c r="F356" s="247"/>
    </row>
    <row r="357" spans="1:6" x14ac:dyDescent="0.25">
      <c r="A357" s="247"/>
      <c r="B357" s="247"/>
      <c r="C357" s="247"/>
      <c r="D357" s="247"/>
      <c r="E357" s="247"/>
      <c r="F357" s="247"/>
    </row>
    <row r="358" spans="1:6" x14ac:dyDescent="0.25">
      <c r="A358" s="247"/>
      <c r="B358" s="247"/>
      <c r="C358" s="247"/>
      <c r="D358" s="247"/>
      <c r="E358" s="247"/>
      <c r="F358" s="247"/>
    </row>
    <row r="359" spans="1:6" x14ac:dyDescent="0.25">
      <c r="A359" s="247"/>
      <c r="B359" s="247"/>
      <c r="C359" s="247"/>
      <c r="D359" s="247"/>
      <c r="E359" s="247"/>
      <c r="F359" s="247"/>
    </row>
    <row r="360" spans="1:6" x14ac:dyDescent="0.25">
      <c r="A360" s="247"/>
      <c r="B360" s="247"/>
      <c r="C360" s="247"/>
      <c r="D360" s="247"/>
      <c r="E360" s="247"/>
      <c r="F360" s="247"/>
    </row>
    <row r="361" spans="1:6" x14ac:dyDescent="0.25">
      <c r="A361" s="247"/>
      <c r="B361" s="247"/>
      <c r="C361" s="247"/>
      <c r="D361" s="247"/>
      <c r="E361" s="247"/>
      <c r="F361" s="247"/>
    </row>
    <row r="362" spans="1:6" x14ac:dyDescent="0.25">
      <c r="A362" s="247"/>
      <c r="B362" s="247"/>
      <c r="C362" s="247"/>
      <c r="D362" s="247"/>
      <c r="E362" s="247"/>
      <c r="F362" s="247"/>
    </row>
    <row r="363" spans="1:6" x14ac:dyDescent="0.25">
      <c r="A363" s="247"/>
      <c r="B363" s="247"/>
      <c r="C363" s="247"/>
      <c r="D363" s="247"/>
      <c r="E363" s="247"/>
      <c r="F363" s="247"/>
    </row>
    <row r="364" spans="1:6" x14ac:dyDescent="0.25">
      <c r="A364" s="247"/>
      <c r="B364" s="247"/>
      <c r="C364" s="247"/>
      <c r="D364" s="247"/>
      <c r="E364" s="247"/>
      <c r="F364" s="247"/>
    </row>
    <row r="365" spans="1:6" x14ac:dyDescent="0.25">
      <c r="A365" s="247"/>
      <c r="B365" s="247"/>
      <c r="C365" s="247"/>
      <c r="D365" s="247"/>
      <c r="E365" s="247"/>
      <c r="F365" s="247"/>
    </row>
    <row r="366" spans="1:6" x14ac:dyDescent="0.25">
      <c r="A366" s="247"/>
      <c r="B366" s="247"/>
      <c r="C366" s="247"/>
      <c r="D366" s="247"/>
      <c r="E366" s="247"/>
      <c r="F366" s="247"/>
    </row>
    <row r="367" spans="1:6" x14ac:dyDescent="0.25">
      <c r="A367" s="247"/>
      <c r="B367" s="247"/>
      <c r="C367" s="247"/>
      <c r="D367" s="247"/>
      <c r="E367" s="247"/>
      <c r="F367" s="247"/>
    </row>
    <row r="368" spans="1:6" x14ac:dyDescent="0.25">
      <c r="A368" s="247"/>
      <c r="B368" s="247"/>
      <c r="C368" s="247"/>
      <c r="D368" s="247"/>
      <c r="E368" s="247"/>
      <c r="F368" s="247"/>
    </row>
    <row r="369" spans="1:6" x14ac:dyDescent="0.25">
      <c r="A369" s="247"/>
      <c r="B369" s="247"/>
      <c r="C369" s="247"/>
      <c r="D369" s="247"/>
      <c r="E369" s="247"/>
      <c r="F369" s="247"/>
    </row>
    <row r="370" spans="1:6" x14ac:dyDescent="0.25">
      <c r="A370" s="247"/>
      <c r="B370" s="247"/>
      <c r="C370" s="247"/>
      <c r="D370" s="247"/>
      <c r="E370" s="247"/>
      <c r="F370" s="247"/>
    </row>
    <row r="371" spans="1:6" x14ac:dyDescent="0.25">
      <c r="A371" s="247"/>
      <c r="B371" s="247"/>
      <c r="C371" s="247"/>
      <c r="D371" s="247"/>
      <c r="E371" s="247"/>
      <c r="F371" s="247"/>
    </row>
    <row r="372" spans="1:6" x14ac:dyDescent="0.25">
      <c r="A372" s="247"/>
      <c r="B372" s="247"/>
      <c r="C372" s="247"/>
      <c r="D372" s="247"/>
      <c r="E372" s="247"/>
      <c r="F372" s="247"/>
    </row>
    <row r="373" spans="1:6" x14ac:dyDescent="0.25">
      <c r="A373" s="247"/>
      <c r="B373" s="247"/>
      <c r="C373" s="247"/>
      <c r="D373" s="247"/>
      <c r="E373" s="247"/>
      <c r="F373" s="247"/>
    </row>
    <row r="374" spans="1:6" x14ac:dyDescent="0.25">
      <c r="A374" s="247"/>
      <c r="B374" s="247"/>
      <c r="C374" s="247"/>
      <c r="D374" s="247"/>
      <c r="E374" s="247"/>
      <c r="F374" s="247"/>
    </row>
    <row r="375" spans="1:6" x14ac:dyDescent="0.25">
      <c r="A375" s="247"/>
      <c r="B375" s="247"/>
      <c r="C375" s="247"/>
      <c r="D375" s="247"/>
      <c r="E375" s="247"/>
      <c r="F375" s="247"/>
    </row>
    <row r="376" spans="1:6" x14ac:dyDescent="0.25">
      <c r="A376" s="247"/>
      <c r="B376" s="247"/>
      <c r="C376" s="247"/>
      <c r="D376" s="247"/>
      <c r="E376" s="247"/>
      <c r="F376" s="247"/>
    </row>
    <row r="377" spans="1:6" x14ac:dyDescent="0.25">
      <c r="A377" s="247"/>
      <c r="B377" s="247"/>
      <c r="C377" s="247"/>
      <c r="D377" s="247"/>
      <c r="E377" s="247"/>
      <c r="F377" s="247"/>
    </row>
  </sheetData>
  <mergeCells count="69">
    <mergeCell ref="F14:F15"/>
    <mergeCell ref="G14:G15"/>
    <mergeCell ref="A16:B16"/>
    <mergeCell ref="C26:G26"/>
    <mergeCell ref="C6:G6"/>
    <mergeCell ref="A8:G8"/>
    <mergeCell ref="C13:G13"/>
    <mergeCell ref="A14:A15"/>
    <mergeCell ref="B14:B15"/>
    <mergeCell ref="C14:C15"/>
    <mergeCell ref="D14:D15"/>
    <mergeCell ref="E14:E15"/>
    <mergeCell ref="G27:G28"/>
    <mergeCell ref="A29:B29"/>
    <mergeCell ref="A27:A28"/>
    <mergeCell ref="B27:B28"/>
    <mergeCell ref="C27:C28"/>
    <mergeCell ref="D27:D28"/>
    <mergeCell ref="E27:E28"/>
    <mergeCell ref="F27:F28"/>
    <mergeCell ref="A31:A32"/>
    <mergeCell ref="B31:B32"/>
    <mergeCell ref="A38:A39"/>
    <mergeCell ref="B38:B39"/>
    <mergeCell ref="C45:G45"/>
    <mergeCell ref="B34:B35"/>
    <mergeCell ref="A34:A35"/>
    <mergeCell ref="C46:G46"/>
    <mergeCell ref="A47:A48"/>
    <mergeCell ref="B47:B48"/>
    <mergeCell ref="C47:C48"/>
    <mergeCell ref="D47:D48"/>
    <mergeCell ref="E47:E48"/>
    <mergeCell ref="F47:F48"/>
    <mergeCell ref="G47:G48"/>
    <mergeCell ref="A49:B49"/>
    <mergeCell ref="A50:A51"/>
    <mergeCell ref="B50:B51"/>
    <mergeCell ref="A59:A61"/>
    <mergeCell ref="B59:B61"/>
    <mergeCell ref="B54:B56"/>
    <mergeCell ref="A54:A56"/>
    <mergeCell ref="A73:A75"/>
    <mergeCell ref="B73:B75"/>
    <mergeCell ref="B77:B80"/>
    <mergeCell ref="A77:A80"/>
    <mergeCell ref="A63:A64"/>
    <mergeCell ref="B63:B64"/>
    <mergeCell ref="C70:C71"/>
    <mergeCell ref="D70:D71"/>
    <mergeCell ref="E70:E71"/>
    <mergeCell ref="F70:F71"/>
    <mergeCell ref="G70:G71"/>
    <mergeCell ref="B1:G1"/>
    <mergeCell ref="A88:B88"/>
    <mergeCell ref="C84:G84"/>
    <mergeCell ref="C85:G85"/>
    <mergeCell ref="A86:A87"/>
    <mergeCell ref="B86:B87"/>
    <mergeCell ref="C86:C87"/>
    <mergeCell ref="D86:D87"/>
    <mergeCell ref="E86:E87"/>
    <mergeCell ref="F86:F87"/>
    <mergeCell ref="G86:G87"/>
    <mergeCell ref="A72:B72"/>
    <mergeCell ref="C68:G68"/>
    <mergeCell ref="C69:G69"/>
    <mergeCell ref="A70:A71"/>
    <mergeCell ref="B70:B71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99"/>
  </sheetPr>
  <dimension ref="A1:G30"/>
  <sheetViews>
    <sheetView zoomScaleNormal="100" workbookViewId="0">
      <selection activeCell="B2" sqref="B2"/>
    </sheetView>
  </sheetViews>
  <sheetFormatPr defaultRowHeight="12" x14ac:dyDescent="0.2"/>
  <cols>
    <col min="1" max="1" width="4.42578125" style="95" customWidth="1"/>
    <col min="2" max="2" width="63.28515625" style="95" customWidth="1"/>
    <col min="3" max="3" width="11.85546875" style="95" hidden="1" customWidth="1"/>
    <col min="4" max="4" width="11.140625" style="95" hidden="1" customWidth="1"/>
    <col min="5" max="5" width="10.28515625" style="95" hidden="1" customWidth="1"/>
    <col min="6" max="6" width="10.5703125" style="95" customWidth="1"/>
    <col min="7" max="7" width="9.7109375" style="95" customWidth="1"/>
    <col min="8" max="252" width="9.140625" style="95"/>
    <col min="253" max="253" width="6.140625" style="95" customWidth="1"/>
    <col min="254" max="254" width="44.85546875" style="95" customWidth="1"/>
    <col min="255" max="255" width="11.85546875" style="95" customWidth="1"/>
    <col min="256" max="256" width="11.140625" style="95" customWidth="1"/>
    <col min="257" max="257" width="10.28515625" style="95" customWidth="1"/>
    <col min="258" max="258" width="10.5703125" style="95" customWidth="1"/>
    <col min="259" max="259" width="9.7109375" style="95" customWidth="1"/>
    <col min="260" max="260" width="23.28515625" style="95" customWidth="1"/>
    <col min="261" max="508" width="9.140625" style="95"/>
    <col min="509" max="509" width="6.140625" style="95" customWidth="1"/>
    <col min="510" max="510" width="44.85546875" style="95" customWidth="1"/>
    <col min="511" max="511" width="11.85546875" style="95" customWidth="1"/>
    <col min="512" max="512" width="11.140625" style="95" customWidth="1"/>
    <col min="513" max="513" width="10.28515625" style="95" customWidth="1"/>
    <col min="514" max="514" width="10.5703125" style="95" customWidth="1"/>
    <col min="515" max="515" width="9.7109375" style="95" customWidth="1"/>
    <col min="516" max="516" width="23.28515625" style="95" customWidth="1"/>
    <col min="517" max="764" width="9.140625" style="95"/>
    <col min="765" max="765" width="6.140625" style="95" customWidth="1"/>
    <col min="766" max="766" width="44.85546875" style="95" customWidth="1"/>
    <col min="767" max="767" width="11.85546875" style="95" customWidth="1"/>
    <col min="768" max="768" width="11.140625" style="95" customWidth="1"/>
    <col min="769" max="769" width="10.28515625" style="95" customWidth="1"/>
    <col min="770" max="770" width="10.5703125" style="95" customWidth="1"/>
    <col min="771" max="771" width="9.7109375" style="95" customWidth="1"/>
    <col min="772" max="772" width="23.28515625" style="95" customWidth="1"/>
    <col min="773" max="1020" width="9.140625" style="95"/>
    <col min="1021" max="1021" width="6.140625" style="95" customWidth="1"/>
    <col min="1022" max="1022" width="44.85546875" style="95" customWidth="1"/>
    <col min="1023" max="1023" width="11.85546875" style="95" customWidth="1"/>
    <col min="1024" max="1024" width="11.140625" style="95" customWidth="1"/>
    <col min="1025" max="1025" width="10.28515625" style="95" customWidth="1"/>
    <col min="1026" max="1026" width="10.5703125" style="95" customWidth="1"/>
    <col min="1027" max="1027" width="9.7109375" style="95" customWidth="1"/>
    <col min="1028" max="1028" width="23.28515625" style="95" customWidth="1"/>
    <col min="1029" max="1276" width="9.140625" style="95"/>
    <col min="1277" max="1277" width="6.140625" style="95" customWidth="1"/>
    <col min="1278" max="1278" width="44.85546875" style="95" customWidth="1"/>
    <col min="1279" max="1279" width="11.85546875" style="95" customWidth="1"/>
    <col min="1280" max="1280" width="11.140625" style="95" customWidth="1"/>
    <col min="1281" max="1281" width="10.28515625" style="95" customWidth="1"/>
    <col min="1282" max="1282" width="10.5703125" style="95" customWidth="1"/>
    <col min="1283" max="1283" width="9.7109375" style="95" customWidth="1"/>
    <col min="1284" max="1284" width="23.28515625" style="95" customWidth="1"/>
    <col min="1285" max="1532" width="9.140625" style="95"/>
    <col min="1533" max="1533" width="6.140625" style="95" customWidth="1"/>
    <col min="1534" max="1534" width="44.85546875" style="95" customWidth="1"/>
    <col min="1535" max="1535" width="11.85546875" style="95" customWidth="1"/>
    <col min="1536" max="1536" width="11.140625" style="95" customWidth="1"/>
    <col min="1537" max="1537" width="10.28515625" style="95" customWidth="1"/>
    <col min="1538" max="1538" width="10.5703125" style="95" customWidth="1"/>
    <col min="1539" max="1539" width="9.7109375" style="95" customWidth="1"/>
    <col min="1540" max="1540" width="23.28515625" style="95" customWidth="1"/>
    <col min="1541" max="1788" width="9.140625" style="95"/>
    <col min="1789" max="1789" width="6.140625" style="95" customWidth="1"/>
    <col min="1790" max="1790" width="44.85546875" style="95" customWidth="1"/>
    <col min="1791" max="1791" width="11.85546875" style="95" customWidth="1"/>
    <col min="1792" max="1792" width="11.140625" style="95" customWidth="1"/>
    <col min="1793" max="1793" width="10.28515625" style="95" customWidth="1"/>
    <col min="1794" max="1794" width="10.5703125" style="95" customWidth="1"/>
    <col min="1795" max="1795" width="9.7109375" style="95" customWidth="1"/>
    <col min="1796" max="1796" width="23.28515625" style="95" customWidth="1"/>
    <col min="1797" max="2044" width="9.140625" style="95"/>
    <col min="2045" max="2045" width="6.140625" style="95" customWidth="1"/>
    <col min="2046" max="2046" width="44.85546875" style="95" customWidth="1"/>
    <col min="2047" max="2047" width="11.85546875" style="95" customWidth="1"/>
    <col min="2048" max="2048" width="11.140625" style="95" customWidth="1"/>
    <col min="2049" max="2049" width="10.28515625" style="95" customWidth="1"/>
    <col min="2050" max="2050" width="10.5703125" style="95" customWidth="1"/>
    <col min="2051" max="2051" width="9.7109375" style="95" customWidth="1"/>
    <col min="2052" max="2052" width="23.28515625" style="95" customWidth="1"/>
    <col min="2053" max="2300" width="9.140625" style="95"/>
    <col min="2301" max="2301" width="6.140625" style="95" customWidth="1"/>
    <col min="2302" max="2302" width="44.85546875" style="95" customWidth="1"/>
    <col min="2303" max="2303" width="11.85546875" style="95" customWidth="1"/>
    <col min="2304" max="2304" width="11.140625" style="95" customWidth="1"/>
    <col min="2305" max="2305" width="10.28515625" style="95" customWidth="1"/>
    <col min="2306" max="2306" width="10.5703125" style="95" customWidth="1"/>
    <col min="2307" max="2307" width="9.7109375" style="95" customWidth="1"/>
    <col min="2308" max="2308" width="23.28515625" style="95" customWidth="1"/>
    <col min="2309" max="2556" width="9.140625" style="95"/>
    <col min="2557" max="2557" width="6.140625" style="95" customWidth="1"/>
    <col min="2558" max="2558" width="44.85546875" style="95" customWidth="1"/>
    <col min="2559" max="2559" width="11.85546875" style="95" customWidth="1"/>
    <col min="2560" max="2560" width="11.140625" style="95" customWidth="1"/>
    <col min="2561" max="2561" width="10.28515625" style="95" customWidth="1"/>
    <col min="2562" max="2562" width="10.5703125" style="95" customWidth="1"/>
    <col min="2563" max="2563" width="9.7109375" style="95" customWidth="1"/>
    <col min="2564" max="2564" width="23.28515625" style="95" customWidth="1"/>
    <col min="2565" max="2812" width="9.140625" style="95"/>
    <col min="2813" max="2813" width="6.140625" style="95" customWidth="1"/>
    <col min="2814" max="2814" width="44.85546875" style="95" customWidth="1"/>
    <col min="2815" max="2815" width="11.85546875" style="95" customWidth="1"/>
    <col min="2816" max="2816" width="11.140625" style="95" customWidth="1"/>
    <col min="2817" max="2817" width="10.28515625" style="95" customWidth="1"/>
    <col min="2818" max="2818" width="10.5703125" style="95" customWidth="1"/>
    <col min="2819" max="2819" width="9.7109375" style="95" customWidth="1"/>
    <col min="2820" max="2820" width="23.28515625" style="95" customWidth="1"/>
    <col min="2821" max="3068" width="9.140625" style="95"/>
    <col min="3069" max="3069" width="6.140625" style="95" customWidth="1"/>
    <col min="3070" max="3070" width="44.85546875" style="95" customWidth="1"/>
    <col min="3071" max="3071" width="11.85546875" style="95" customWidth="1"/>
    <col min="3072" max="3072" width="11.140625" style="95" customWidth="1"/>
    <col min="3073" max="3073" width="10.28515625" style="95" customWidth="1"/>
    <col min="3074" max="3074" width="10.5703125" style="95" customWidth="1"/>
    <col min="3075" max="3075" width="9.7109375" style="95" customWidth="1"/>
    <col min="3076" max="3076" width="23.28515625" style="95" customWidth="1"/>
    <col min="3077" max="3324" width="9.140625" style="95"/>
    <col min="3325" max="3325" width="6.140625" style="95" customWidth="1"/>
    <col min="3326" max="3326" width="44.85546875" style="95" customWidth="1"/>
    <col min="3327" max="3327" width="11.85546875" style="95" customWidth="1"/>
    <col min="3328" max="3328" width="11.140625" style="95" customWidth="1"/>
    <col min="3329" max="3329" width="10.28515625" style="95" customWidth="1"/>
    <col min="3330" max="3330" width="10.5703125" style="95" customWidth="1"/>
    <col min="3331" max="3331" width="9.7109375" style="95" customWidth="1"/>
    <col min="3332" max="3332" width="23.28515625" style="95" customWidth="1"/>
    <col min="3333" max="3580" width="9.140625" style="95"/>
    <col min="3581" max="3581" width="6.140625" style="95" customWidth="1"/>
    <col min="3582" max="3582" width="44.85546875" style="95" customWidth="1"/>
    <col min="3583" max="3583" width="11.85546875" style="95" customWidth="1"/>
    <col min="3584" max="3584" width="11.140625" style="95" customWidth="1"/>
    <col min="3585" max="3585" width="10.28515625" style="95" customWidth="1"/>
    <col min="3586" max="3586" width="10.5703125" style="95" customWidth="1"/>
    <col min="3587" max="3587" width="9.7109375" style="95" customWidth="1"/>
    <col min="3588" max="3588" width="23.28515625" style="95" customWidth="1"/>
    <col min="3589" max="3836" width="9.140625" style="95"/>
    <col min="3837" max="3837" width="6.140625" style="95" customWidth="1"/>
    <col min="3838" max="3838" width="44.85546875" style="95" customWidth="1"/>
    <col min="3839" max="3839" width="11.85546875" style="95" customWidth="1"/>
    <col min="3840" max="3840" width="11.140625" style="95" customWidth="1"/>
    <col min="3841" max="3841" width="10.28515625" style="95" customWidth="1"/>
    <col min="3842" max="3842" width="10.5703125" style="95" customWidth="1"/>
    <col min="3843" max="3843" width="9.7109375" style="95" customWidth="1"/>
    <col min="3844" max="3844" width="23.28515625" style="95" customWidth="1"/>
    <col min="3845" max="4092" width="9.140625" style="95"/>
    <col min="4093" max="4093" width="6.140625" style="95" customWidth="1"/>
    <col min="4094" max="4094" width="44.85546875" style="95" customWidth="1"/>
    <col min="4095" max="4095" width="11.85546875" style="95" customWidth="1"/>
    <col min="4096" max="4096" width="11.140625" style="95" customWidth="1"/>
    <col min="4097" max="4097" width="10.28515625" style="95" customWidth="1"/>
    <col min="4098" max="4098" width="10.5703125" style="95" customWidth="1"/>
    <col min="4099" max="4099" width="9.7109375" style="95" customWidth="1"/>
    <col min="4100" max="4100" width="23.28515625" style="95" customWidth="1"/>
    <col min="4101" max="4348" width="9.140625" style="95"/>
    <col min="4349" max="4349" width="6.140625" style="95" customWidth="1"/>
    <col min="4350" max="4350" width="44.85546875" style="95" customWidth="1"/>
    <col min="4351" max="4351" width="11.85546875" style="95" customWidth="1"/>
    <col min="4352" max="4352" width="11.140625" style="95" customWidth="1"/>
    <col min="4353" max="4353" width="10.28515625" style="95" customWidth="1"/>
    <col min="4354" max="4354" width="10.5703125" style="95" customWidth="1"/>
    <col min="4355" max="4355" width="9.7109375" style="95" customWidth="1"/>
    <col min="4356" max="4356" width="23.28515625" style="95" customWidth="1"/>
    <col min="4357" max="4604" width="9.140625" style="95"/>
    <col min="4605" max="4605" width="6.140625" style="95" customWidth="1"/>
    <col min="4606" max="4606" width="44.85546875" style="95" customWidth="1"/>
    <col min="4607" max="4607" width="11.85546875" style="95" customWidth="1"/>
    <col min="4608" max="4608" width="11.140625" style="95" customWidth="1"/>
    <col min="4609" max="4609" width="10.28515625" style="95" customWidth="1"/>
    <col min="4610" max="4610" width="10.5703125" style="95" customWidth="1"/>
    <col min="4611" max="4611" width="9.7109375" style="95" customWidth="1"/>
    <col min="4612" max="4612" width="23.28515625" style="95" customWidth="1"/>
    <col min="4613" max="4860" width="9.140625" style="95"/>
    <col min="4861" max="4861" width="6.140625" style="95" customWidth="1"/>
    <col min="4862" max="4862" width="44.85546875" style="95" customWidth="1"/>
    <col min="4863" max="4863" width="11.85546875" style="95" customWidth="1"/>
    <col min="4864" max="4864" width="11.140625" style="95" customWidth="1"/>
    <col min="4865" max="4865" width="10.28515625" style="95" customWidth="1"/>
    <col min="4866" max="4866" width="10.5703125" style="95" customWidth="1"/>
    <col min="4867" max="4867" width="9.7109375" style="95" customWidth="1"/>
    <col min="4868" max="4868" width="23.28515625" style="95" customWidth="1"/>
    <col min="4869" max="5116" width="9.140625" style="95"/>
    <col min="5117" max="5117" width="6.140625" style="95" customWidth="1"/>
    <col min="5118" max="5118" width="44.85546875" style="95" customWidth="1"/>
    <col min="5119" max="5119" width="11.85546875" style="95" customWidth="1"/>
    <col min="5120" max="5120" width="11.140625" style="95" customWidth="1"/>
    <col min="5121" max="5121" width="10.28515625" style="95" customWidth="1"/>
    <col min="5122" max="5122" width="10.5703125" style="95" customWidth="1"/>
    <col min="5123" max="5123" width="9.7109375" style="95" customWidth="1"/>
    <col min="5124" max="5124" width="23.28515625" style="95" customWidth="1"/>
    <col min="5125" max="5372" width="9.140625" style="95"/>
    <col min="5373" max="5373" width="6.140625" style="95" customWidth="1"/>
    <col min="5374" max="5374" width="44.85546875" style="95" customWidth="1"/>
    <col min="5375" max="5375" width="11.85546875" style="95" customWidth="1"/>
    <col min="5376" max="5376" width="11.140625" style="95" customWidth="1"/>
    <col min="5377" max="5377" width="10.28515625" style="95" customWidth="1"/>
    <col min="5378" max="5378" width="10.5703125" style="95" customWidth="1"/>
    <col min="5379" max="5379" width="9.7109375" style="95" customWidth="1"/>
    <col min="5380" max="5380" width="23.28515625" style="95" customWidth="1"/>
    <col min="5381" max="5628" width="9.140625" style="95"/>
    <col min="5629" max="5629" width="6.140625" style="95" customWidth="1"/>
    <col min="5630" max="5630" width="44.85546875" style="95" customWidth="1"/>
    <col min="5631" max="5631" width="11.85546875" style="95" customWidth="1"/>
    <col min="5632" max="5632" width="11.140625" style="95" customWidth="1"/>
    <col min="5633" max="5633" width="10.28515625" style="95" customWidth="1"/>
    <col min="5634" max="5634" width="10.5703125" style="95" customWidth="1"/>
    <col min="5635" max="5635" width="9.7109375" style="95" customWidth="1"/>
    <col min="5636" max="5636" width="23.28515625" style="95" customWidth="1"/>
    <col min="5637" max="5884" width="9.140625" style="95"/>
    <col min="5885" max="5885" width="6.140625" style="95" customWidth="1"/>
    <col min="5886" max="5886" width="44.85546875" style="95" customWidth="1"/>
    <col min="5887" max="5887" width="11.85546875" style="95" customWidth="1"/>
    <col min="5888" max="5888" width="11.140625" style="95" customWidth="1"/>
    <col min="5889" max="5889" width="10.28515625" style="95" customWidth="1"/>
    <col min="5890" max="5890" width="10.5703125" style="95" customWidth="1"/>
    <col min="5891" max="5891" width="9.7109375" style="95" customWidth="1"/>
    <col min="5892" max="5892" width="23.28515625" style="95" customWidth="1"/>
    <col min="5893" max="6140" width="9.140625" style="95"/>
    <col min="6141" max="6141" width="6.140625" style="95" customWidth="1"/>
    <col min="6142" max="6142" width="44.85546875" style="95" customWidth="1"/>
    <col min="6143" max="6143" width="11.85546875" style="95" customWidth="1"/>
    <col min="6144" max="6144" width="11.140625" style="95" customWidth="1"/>
    <col min="6145" max="6145" width="10.28515625" style="95" customWidth="1"/>
    <col min="6146" max="6146" width="10.5703125" style="95" customWidth="1"/>
    <col min="6147" max="6147" width="9.7109375" style="95" customWidth="1"/>
    <col min="6148" max="6148" width="23.28515625" style="95" customWidth="1"/>
    <col min="6149" max="6396" width="9.140625" style="95"/>
    <col min="6397" max="6397" width="6.140625" style="95" customWidth="1"/>
    <col min="6398" max="6398" width="44.85546875" style="95" customWidth="1"/>
    <col min="6399" max="6399" width="11.85546875" style="95" customWidth="1"/>
    <col min="6400" max="6400" width="11.140625" style="95" customWidth="1"/>
    <col min="6401" max="6401" width="10.28515625" style="95" customWidth="1"/>
    <col min="6402" max="6402" width="10.5703125" style="95" customWidth="1"/>
    <col min="6403" max="6403" width="9.7109375" style="95" customWidth="1"/>
    <col min="6404" max="6404" width="23.28515625" style="95" customWidth="1"/>
    <col min="6405" max="6652" width="9.140625" style="95"/>
    <col min="6653" max="6653" width="6.140625" style="95" customWidth="1"/>
    <col min="6654" max="6654" width="44.85546875" style="95" customWidth="1"/>
    <col min="6655" max="6655" width="11.85546875" style="95" customWidth="1"/>
    <col min="6656" max="6656" width="11.140625" style="95" customWidth="1"/>
    <col min="6657" max="6657" width="10.28515625" style="95" customWidth="1"/>
    <col min="6658" max="6658" width="10.5703125" style="95" customWidth="1"/>
    <col min="6659" max="6659" width="9.7109375" style="95" customWidth="1"/>
    <col min="6660" max="6660" width="23.28515625" style="95" customWidth="1"/>
    <col min="6661" max="6908" width="9.140625" style="95"/>
    <col min="6909" max="6909" width="6.140625" style="95" customWidth="1"/>
    <col min="6910" max="6910" width="44.85546875" style="95" customWidth="1"/>
    <col min="6911" max="6911" width="11.85546875" style="95" customWidth="1"/>
    <col min="6912" max="6912" width="11.140625" style="95" customWidth="1"/>
    <col min="6913" max="6913" width="10.28515625" style="95" customWidth="1"/>
    <col min="6914" max="6914" width="10.5703125" style="95" customWidth="1"/>
    <col min="6915" max="6915" width="9.7109375" style="95" customWidth="1"/>
    <col min="6916" max="6916" width="23.28515625" style="95" customWidth="1"/>
    <col min="6917" max="7164" width="9.140625" style="95"/>
    <col min="7165" max="7165" width="6.140625" style="95" customWidth="1"/>
    <col min="7166" max="7166" width="44.85546875" style="95" customWidth="1"/>
    <col min="7167" max="7167" width="11.85546875" style="95" customWidth="1"/>
    <col min="7168" max="7168" width="11.140625" style="95" customWidth="1"/>
    <col min="7169" max="7169" width="10.28515625" style="95" customWidth="1"/>
    <col min="7170" max="7170" width="10.5703125" style="95" customWidth="1"/>
    <col min="7171" max="7171" width="9.7109375" style="95" customWidth="1"/>
    <col min="7172" max="7172" width="23.28515625" style="95" customWidth="1"/>
    <col min="7173" max="7420" width="9.140625" style="95"/>
    <col min="7421" max="7421" width="6.140625" style="95" customWidth="1"/>
    <col min="7422" max="7422" width="44.85546875" style="95" customWidth="1"/>
    <col min="7423" max="7423" width="11.85546875" style="95" customWidth="1"/>
    <col min="7424" max="7424" width="11.140625" style="95" customWidth="1"/>
    <col min="7425" max="7425" width="10.28515625" style="95" customWidth="1"/>
    <col min="7426" max="7426" width="10.5703125" style="95" customWidth="1"/>
    <col min="7427" max="7427" width="9.7109375" style="95" customWidth="1"/>
    <col min="7428" max="7428" width="23.28515625" style="95" customWidth="1"/>
    <col min="7429" max="7676" width="9.140625" style="95"/>
    <col min="7677" max="7677" width="6.140625" style="95" customWidth="1"/>
    <col min="7678" max="7678" width="44.85546875" style="95" customWidth="1"/>
    <col min="7679" max="7679" width="11.85546875" style="95" customWidth="1"/>
    <col min="7680" max="7680" width="11.140625" style="95" customWidth="1"/>
    <col min="7681" max="7681" width="10.28515625" style="95" customWidth="1"/>
    <col min="7682" max="7682" width="10.5703125" style="95" customWidth="1"/>
    <col min="7683" max="7683" width="9.7109375" style="95" customWidth="1"/>
    <col min="7684" max="7684" width="23.28515625" style="95" customWidth="1"/>
    <col min="7685" max="7932" width="9.140625" style="95"/>
    <col min="7933" max="7933" width="6.140625" style="95" customWidth="1"/>
    <col min="7934" max="7934" width="44.85546875" style="95" customWidth="1"/>
    <col min="7935" max="7935" width="11.85546875" style="95" customWidth="1"/>
    <col min="7936" max="7936" width="11.140625" style="95" customWidth="1"/>
    <col min="7937" max="7937" width="10.28515625" style="95" customWidth="1"/>
    <col min="7938" max="7938" width="10.5703125" style="95" customWidth="1"/>
    <col min="7939" max="7939" width="9.7109375" style="95" customWidth="1"/>
    <col min="7940" max="7940" width="23.28515625" style="95" customWidth="1"/>
    <col min="7941" max="8188" width="9.140625" style="95"/>
    <col min="8189" max="8189" width="6.140625" style="95" customWidth="1"/>
    <col min="8190" max="8190" width="44.85546875" style="95" customWidth="1"/>
    <col min="8191" max="8191" width="11.85546875" style="95" customWidth="1"/>
    <col min="8192" max="8192" width="11.140625" style="95" customWidth="1"/>
    <col min="8193" max="8193" width="10.28515625" style="95" customWidth="1"/>
    <col min="8194" max="8194" width="10.5703125" style="95" customWidth="1"/>
    <col min="8195" max="8195" width="9.7109375" style="95" customWidth="1"/>
    <col min="8196" max="8196" width="23.28515625" style="95" customWidth="1"/>
    <col min="8197" max="8444" width="9.140625" style="95"/>
    <col min="8445" max="8445" width="6.140625" style="95" customWidth="1"/>
    <col min="8446" max="8446" width="44.85546875" style="95" customWidth="1"/>
    <col min="8447" max="8447" width="11.85546875" style="95" customWidth="1"/>
    <col min="8448" max="8448" width="11.140625" style="95" customWidth="1"/>
    <col min="8449" max="8449" width="10.28515625" style="95" customWidth="1"/>
    <col min="8450" max="8450" width="10.5703125" style="95" customWidth="1"/>
    <col min="8451" max="8451" width="9.7109375" style="95" customWidth="1"/>
    <col min="8452" max="8452" width="23.28515625" style="95" customWidth="1"/>
    <col min="8453" max="8700" width="9.140625" style="95"/>
    <col min="8701" max="8701" width="6.140625" style="95" customWidth="1"/>
    <col min="8702" max="8702" width="44.85546875" style="95" customWidth="1"/>
    <col min="8703" max="8703" width="11.85546875" style="95" customWidth="1"/>
    <col min="8704" max="8704" width="11.140625" style="95" customWidth="1"/>
    <col min="8705" max="8705" width="10.28515625" style="95" customWidth="1"/>
    <col min="8706" max="8706" width="10.5703125" style="95" customWidth="1"/>
    <col min="8707" max="8707" width="9.7109375" style="95" customWidth="1"/>
    <col min="8708" max="8708" width="23.28515625" style="95" customWidth="1"/>
    <col min="8709" max="8956" width="9.140625" style="95"/>
    <col min="8957" max="8957" width="6.140625" style="95" customWidth="1"/>
    <col min="8958" max="8958" width="44.85546875" style="95" customWidth="1"/>
    <col min="8959" max="8959" width="11.85546875" style="95" customWidth="1"/>
    <col min="8960" max="8960" width="11.140625" style="95" customWidth="1"/>
    <col min="8961" max="8961" width="10.28515625" style="95" customWidth="1"/>
    <col min="8962" max="8962" width="10.5703125" style="95" customWidth="1"/>
    <col min="8963" max="8963" width="9.7109375" style="95" customWidth="1"/>
    <col min="8964" max="8964" width="23.28515625" style="95" customWidth="1"/>
    <col min="8965" max="9212" width="9.140625" style="95"/>
    <col min="9213" max="9213" width="6.140625" style="95" customWidth="1"/>
    <col min="9214" max="9214" width="44.85546875" style="95" customWidth="1"/>
    <col min="9215" max="9215" width="11.85546875" style="95" customWidth="1"/>
    <col min="9216" max="9216" width="11.140625" style="95" customWidth="1"/>
    <col min="9217" max="9217" width="10.28515625" style="95" customWidth="1"/>
    <col min="9218" max="9218" width="10.5703125" style="95" customWidth="1"/>
    <col min="9219" max="9219" width="9.7109375" style="95" customWidth="1"/>
    <col min="9220" max="9220" width="23.28515625" style="95" customWidth="1"/>
    <col min="9221" max="9468" width="9.140625" style="95"/>
    <col min="9469" max="9469" width="6.140625" style="95" customWidth="1"/>
    <col min="9470" max="9470" width="44.85546875" style="95" customWidth="1"/>
    <col min="9471" max="9471" width="11.85546875" style="95" customWidth="1"/>
    <col min="9472" max="9472" width="11.140625" style="95" customWidth="1"/>
    <col min="9473" max="9473" width="10.28515625" style="95" customWidth="1"/>
    <col min="9474" max="9474" width="10.5703125" style="95" customWidth="1"/>
    <col min="9475" max="9475" width="9.7109375" style="95" customWidth="1"/>
    <col min="9476" max="9476" width="23.28515625" style="95" customWidth="1"/>
    <col min="9477" max="9724" width="9.140625" style="95"/>
    <col min="9725" max="9725" width="6.140625" style="95" customWidth="1"/>
    <col min="9726" max="9726" width="44.85546875" style="95" customWidth="1"/>
    <col min="9727" max="9727" width="11.85546875" style="95" customWidth="1"/>
    <col min="9728" max="9728" width="11.140625" style="95" customWidth="1"/>
    <col min="9729" max="9729" width="10.28515625" style="95" customWidth="1"/>
    <col min="9730" max="9730" width="10.5703125" style="95" customWidth="1"/>
    <col min="9731" max="9731" width="9.7109375" style="95" customWidth="1"/>
    <col min="9732" max="9732" width="23.28515625" style="95" customWidth="1"/>
    <col min="9733" max="9980" width="9.140625" style="95"/>
    <col min="9981" max="9981" width="6.140625" style="95" customWidth="1"/>
    <col min="9982" max="9982" width="44.85546875" style="95" customWidth="1"/>
    <col min="9983" max="9983" width="11.85546875" style="95" customWidth="1"/>
    <col min="9984" max="9984" width="11.140625" style="95" customWidth="1"/>
    <col min="9985" max="9985" width="10.28515625" style="95" customWidth="1"/>
    <col min="9986" max="9986" width="10.5703125" style="95" customWidth="1"/>
    <col min="9987" max="9987" width="9.7109375" style="95" customWidth="1"/>
    <col min="9988" max="9988" width="23.28515625" style="95" customWidth="1"/>
    <col min="9989" max="10236" width="9.140625" style="95"/>
    <col min="10237" max="10237" width="6.140625" style="95" customWidth="1"/>
    <col min="10238" max="10238" width="44.85546875" style="95" customWidth="1"/>
    <col min="10239" max="10239" width="11.85546875" style="95" customWidth="1"/>
    <col min="10240" max="10240" width="11.140625" style="95" customWidth="1"/>
    <col min="10241" max="10241" width="10.28515625" style="95" customWidth="1"/>
    <col min="10242" max="10242" width="10.5703125" style="95" customWidth="1"/>
    <col min="10243" max="10243" width="9.7109375" style="95" customWidth="1"/>
    <col min="10244" max="10244" width="23.28515625" style="95" customWidth="1"/>
    <col min="10245" max="10492" width="9.140625" style="95"/>
    <col min="10493" max="10493" width="6.140625" style="95" customWidth="1"/>
    <col min="10494" max="10494" width="44.85546875" style="95" customWidth="1"/>
    <col min="10495" max="10495" width="11.85546875" style="95" customWidth="1"/>
    <col min="10496" max="10496" width="11.140625" style="95" customWidth="1"/>
    <col min="10497" max="10497" width="10.28515625" style="95" customWidth="1"/>
    <col min="10498" max="10498" width="10.5703125" style="95" customWidth="1"/>
    <col min="10499" max="10499" width="9.7109375" style="95" customWidth="1"/>
    <col min="10500" max="10500" width="23.28515625" style="95" customWidth="1"/>
    <col min="10501" max="10748" width="9.140625" style="95"/>
    <col min="10749" max="10749" width="6.140625" style="95" customWidth="1"/>
    <col min="10750" max="10750" width="44.85546875" style="95" customWidth="1"/>
    <col min="10751" max="10751" width="11.85546875" style="95" customWidth="1"/>
    <col min="10752" max="10752" width="11.140625" style="95" customWidth="1"/>
    <col min="10753" max="10753" width="10.28515625" style="95" customWidth="1"/>
    <col min="10754" max="10754" width="10.5703125" style="95" customWidth="1"/>
    <col min="10755" max="10755" width="9.7109375" style="95" customWidth="1"/>
    <col min="10756" max="10756" width="23.28515625" style="95" customWidth="1"/>
    <col min="10757" max="11004" width="9.140625" style="95"/>
    <col min="11005" max="11005" width="6.140625" style="95" customWidth="1"/>
    <col min="11006" max="11006" width="44.85546875" style="95" customWidth="1"/>
    <col min="11007" max="11007" width="11.85546875" style="95" customWidth="1"/>
    <col min="11008" max="11008" width="11.140625" style="95" customWidth="1"/>
    <col min="11009" max="11009" width="10.28515625" style="95" customWidth="1"/>
    <col min="11010" max="11010" width="10.5703125" style="95" customWidth="1"/>
    <col min="11011" max="11011" width="9.7109375" style="95" customWidth="1"/>
    <col min="11012" max="11012" width="23.28515625" style="95" customWidth="1"/>
    <col min="11013" max="11260" width="9.140625" style="95"/>
    <col min="11261" max="11261" width="6.140625" style="95" customWidth="1"/>
    <col min="11262" max="11262" width="44.85546875" style="95" customWidth="1"/>
    <col min="11263" max="11263" width="11.85546875" style="95" customWidth="1"/>
    <col min="11264" max="11264" width="11.140625" style="95" customWidth="1"/>
    <col min="11265" max="11265" width="10.28515625" style="95" customWidth="1"/>
    <col min="11266" max="11266" width="10.5703125" style="95" customWidth="1"/>
    <col min="11267" max="11267" width="9.7109375" style="95" customWidth="1"/>
    <col min="11268" max="11268" width="23.28515625" style="95" customWidth="1"/>
    <col min="11269" max="11516" width="9.140625" style="95"/>
    <col min="11517" max="11517" width="6.140625" style="95" customWidth="1"/>
    <col min="11518" max="11518" width="44.85546875" style="95" customWidth="1"/>
    <col min="11519" max="11519" width="11.85546875" style="95" customWidth="1"/>
    <col min="11520" max="11520" width="11.140625" style="95" customWidth="1"/>
    <col min="11521" max="11521" width="10.28515625" style="95" customWidth="1"/>
    <col min="11522" max="11522" width="10.5703125" style="95" customWidth="1"/>
    <col min="11523" max="11523" width="9.7109375" style="95" customWidth="1"/>
    <col min="11524" max="11524" width="23.28515625" style="95" customWidth="1"/>
    <col min="11525" max="11772" width="9.140625" style="95"/>
    <col min="11773" max="11773" width="6.140625" style="95" customWidth="1"/>
    <col min="11774" max="11774" width="44.85546875" style="95" customWidth="1"/>
    <col min="11775" max="11775" width="11.85546875" style="95" customWidth="1"/>
    <col min="11776" max="11776" width="11.140625" style="95" customWidth="1"/>
    <col min="11777" max="11777" width="10.28515625" style="95" customWidth="1"/>
    <col min="11778" max="11778" width="10.5703125" style="95" customWidth="1"/>
    <col min="11779" max="11779" width="9.7109375" style="95" customWidth="1"/>
    <col min="11780" max="11780" width="23.28515625" style="95" customWidth="1"/>
    <col min="11781" max="12028" width="9.140625" style="95"/>
    <col min="12029" max="12029" width="6.140625" style="95" customWidth="1"/>
    <col min="12030" max="12030" width="44.85546875" style="95" customWidth="1"/>
    <col min="12031" max="12031" width="11.85546875" style="95" customWidth="1"/>
    <col min="12032" max="12032" width="11.140625" style="95" customWidth="1"/>
    <col min="12033" max="12033" width="10.28515625" style="95" customWidth="1"/>
    <col min="12034" max="12034" width="10.5703125" style="95" customWidth="1"/>
    <col min="12035" max="12035" width="9.7109375" style="95" customWidth="1"/>
    <col min="12036" max="12036" width="23.28515625" style="95" customWidth="1"/>
    <col min="12037" max="12284" width="9.140625" style="95"/>
    <col min="12285" max="12285" width="6.140625" style="95" customWidth="1"/>
    <col min="12286" max="12286" width="44.85546875" style="95" customWidth="1"/>
    <col min="12287" max="12287" width="11.85546875" style="95" customWidth="1"/>
    <col min="12288" max="12288" width="11.140625" style="95" customWidth="1"/>
    <col min="12289" max="12289" width="10.28515625" style="95" customWidth="1"/>
    <col min="12290" max="12290" width="10.5703125" style="95" customWidth="1"/>
    <col min="12291" max="12291" width="9.7109375" style="95" customWidth="1"/>
    <col min="12292" max="12292" width="23.28515625" style="95" customWidth="1"/>
    <col min="12293" max="12540" width="9.140625" style="95"/>
    <col min="12541" max="12541" width="6.140625" style="95" customWidth="1"/>
    <col min="12542" max="12542" width="44.85546875" style="95" customWidth="1"/>
    <col min="12543" max="12543" width="11.85546875" style="95" customWidth="1"/>
    <col min="12544" max="12544" width="11.140625" style="95" customWidth="1"/>
    <col min="12545" max="12545" width="10.28515625" style="95" customWidth="1"/>
    <col min="12546" max="12546" width="10.5703125" style="95" customWidth="1"/>
    <col min="12547" max="12547" width="9.7109375" style="95" customWidth="1"/>
    <col min="12548" max="12548" width="23.28515625" style="95" customWidth="1"/>
    <col min="12549" max="12796" width="9.140625" style="95"/>
    <col min="12797" max="12797" width="6.140625" style="95" customWidth="1"/>
    <col min="12798" max="12798" width="44.85546875" style="95" customWidth="1"/>
    <col min="12799" max="12799" width="11.85546875" style="95" customWidth="1"/>
    <col min="12800" max="12800" width="11.140625" style="95" customWidth="1"/>
    <col min="12801" max="12801" width="10.28515625" style="95" customWidth="1"/>
    <col min="12802" max="12802" width="10.5703125" style="95" customWidth="1"/>
    <col min="12803" max="12803" width="9.7109375" style="95" customWidth="1"/>
    <col min="12804" max="12804" width="23.28515625" style="95" customWidth="1"/>
    <col min="12805" max="13052" width="9.140625" style="95"/>
    <col min="13053" max="13053" width="6.140625" style="95" customWidth="1"/>
    <col min="13054" max="13054" width="44.85546875" style="95" customWidth="1"/>
    <col min="13055" max="13055" width="11.85546875" style="95" customWidth="1"/>
    <col min="13056" max="13056" width="11.140625" style="95" customWidth="1"/>
    <col min="13057" max="13057" width="10.28515625" style="95" customWidth="1"/>
    <col min="13058" max="13058" width="10.5703125" style="95" customWidth="1"/>
    <col min="13059" max="13059" width="9.7109375" style="95" customWidth="1"/>
    <col min="13060" max="13060" width="23.28515625" style="95" customWidth="1"/>
    <col min="13061" max="13308" width="9.140625" style="95"/>
    <col min="13309" max="13309" width="6.140625" style="95" customWidth="1"/>
    <col min="13310" max="13310" width="44.85546875" style="95" customWidth="1"/>
    <col min="13311" max="13311" width="11.85546875" style="95" customWidth="1"/>
    <col min="13312" max="13312" width="11.140625" style="95" customWidth="1"/>
    <col min="13313" max="13313" width="10.28515625" style="95" customWidth="1"/>
    <col min="13314" max="13314" width="10.5703125" style="95" customWidth="1"/>
    <col min="13315" max="13315" width="9.7109375" style="95" customWidth="1"/>
    <col min="13316" max="13316" width="23.28515625" style="95" customWidth="1"/>
    <col min="13317" max="13564" width="9.140625" style="95"/>
    <col min="13565" max="13565" width="6.140625" style="95" customWidth="1"/>
    <col min="13566" max="13566" width="44.85546875" style="95" customWidth="1"/>
    <col min="13567" max="13567" width="11.85546875" style="95" customWidth="1"/>
    <col min="13568" max="13568" width="11.140625" style="95" customWidth="1"/>
    <col min="13569" max="13569" width="10.28515625" style="95" customWidth="1"/>
    <col min="13570" max="13570" width="10.5703125" style="95" customWidth="1"/>
    <col min="13571" max="13571" width="9.7109375" style="95" customWidth="1"/>
    <col min="13572" max="13572" width="23.28515625" style="95" customWidth="1"/>
    <col min="13573" max="13820" width="9.140625" style="95"/>
    <col min="13821" max="13821" width="6.140625" style="95" customWidth="1"/>
    <col min="13822" max="13822" width="44.85546875" style="95" customWidth="1"/>
    <col min="13823" max="13823" width="11.85546875" style="95" customWidth="1"/>
    <col min="13824" max="13824" width="11.140625" style="95" customWidth="1"/>
    <col min="13825" max="13825" width="10.28515625" style="95" customWidth="1"/>
    <col min="13826" max="13826" width="10.5703125" style="95" customWidth="1"/>
    <col min="13827" max="13827" width="9.7109375" style="95" customWidth="1"/>
    <col min="13828" max="13828" width="23.28515625" style="95" customWidth="1"/>
    <col min="13829" max="14076" width="9.140625" style="95"/>
    <col min="14077" max="14077" width="6.140625" style="95" customWidth="1"/>
    <col min="14078" max="14078" width="44.85546875" style="95" customWidth="1"/>
    <col min="14079" max="14079" width="11.85546875" style="95" customWidth="1"/>
    <col min="14080" max="14080" width="11.140625" style="95" customWidth="1"/>
    <col min="14081" max="14081" width="10.28515625" style="95" customWidth="1"/>
    <col min="14082" max="14082" width="10.5703125" style="95" customWidth="1"/>
    <col min="14083" max="14083" width="9.7109375" style="95" customWidth="1"/>
    <col min="14084" max="14084" width="23.28515625" style="95" customWidth="1"/>
    <col min="14085" max="14332" width="9.140625" style="95"/>
    <col min="14333" max="14333" width="6.140625" style="95" customWidth="1"/>
    <col min="14334" max="14334" width="44.85546875" style="95" customWidth="1"/>
    <col min="14335" max="14335" width="11.85546875" style="95" customWidth="1"/>
    <col min="14336" max="14336" width="11.140625" style="95" customWidth="1"/>
    <col min="14337" max="14337" width="10.28515625" style="95" customWidth="1"/>
    <col min="14338" max="14338" width="10.5703125" style="95" customWidth="1"/>
    <col min="14339" max="14339" width="9.7109375" style="95" customWidth="1"/>
    <col min="14340" max="14340" width="23.28515625" style="95" customWidth="1"/>
    <col min="14341" max="14588" width="9.140625" style="95"/>
    <col min="14589" max="14589" width="6.140625" style="95" customWidth="1"/>
    <col min="14590" max="14590" width="44.85546875" style="95" customWidth="1"/>
    <col min="14591" max="14591" width="11.85546875" style="95" customWidth="1"/>
    <col min="14592" max="14592" width="11.140625" style="95" customWidth="1"/>
    <col min="14593" max="14593" width="10.28515625" style="95" customWidth="1"/>
    <col min="14594" max="14594" width="10.5703125" style="95" customWidth="1"/>
    <col min="14595" max="14595" width="9.7109375" style="95" customWidth="1"/>
    <col min="14596" max="14596" width="23.28515625" style="95" customWidth="1"/>
    <col min="14597" max="14844" width="9.140625" style="95"/>
    <col min="14845" max="14845" width="6.140625" style="95" customWidth="1"/>
    <col min="14846" max="14846" width="44.85546875" style="95" customWidth="1"/>
    <col min="14847" max="14847" width="11.85546875" style="95" customWidth="1"/>
    <col min="14848" max="14848" width="11.140625" style="95" customWidth="1"/>
    <col min="14849" max="14849" width="10.28515625" style="95" customWidth="1"/>
    <col min="14850" max="14850" width="10.5703125" style="95" customWidth="1"/>
    <col min="14851" max="14851" width="9.7109375" style="95" customWidth="1"/>
    <col min="14852" max="14852" width="23.28515625" style="95" customWidth="1"/>
    <col min="14853" max="15100" width="9.140625" style="95"/>
    <col min="15101" max="15101" width="6.140625" style="95" customWidth="1"/>
    <col min="15102" max="15102" width="44.85546875" style="95" customWidth="1"/>
    <col min="15103" max="15103" width="11.85546875" style="95" customWidth="1"/>
    <col min="15104" max="15104" width="11.140625" style="95" customWidth="1"/>
    <col min="15105" max="15105" width="10.28515625" style="95" customWidth="1"/>
    <col min="15106" max="15106" width="10.5703125" style="95" customWidth="1"/>
    <col min="15107" max="15107" width="9.7109375" style="95" customWidth="1"/>
    <col min="15108" max="15108" width="23.28515625" style="95" customWidth="1"/>
    <col min="15109" max="15356" width="9.140625" style="95"/>
    <col min="15357" max="15357" width="6.140625" style="95" customWidth="1"/>
    <col min="15358" max="15358" width="44.85546875" style="95" customWidth="1"/>
    <col min="15359" max="15359" width="11.85546875" style="95" customWidth="1"/>
    <col min="15360" max="15360" width="11.140625" style="95" customWidth="1"/>
    <col min="15361" max="15361" width="10.28515625" style="95" customWidth="1"/>
    <col min="15362" max="15362" width="10.5703125" style="95" customWidth="1"/>
    <col min="15363" max="15363" width="9.7109375" style="95" customWidth="1"/>
    <col min="15364" max="15364" width="23.28515625" style="95" customWidth="1"/>
    <col min="15365" max="15612" width="9.140625" style="95"/>
    <col min="15613" max="15613" width="6.140625" style="95" customWidth="1"/>
    <col min="15614" max="15614" width="44.85546875" style="95" customWidth="1"/>
    <col min="15615" max="15615" width="11.85546875" style="95" customWidth="1"/>
    <col min="15616" max="15616" width="11.140625" style="95" customWidth="1"/>
    <col min="15617" max="15617" width="10.28515625" style="95" customWidth="1"/>
    <col min="15618" max="15618" width="10.5703125" style="95" customWidth="1"/>
    <col min="15619" max="15619" width="9.7109375" style="95" customWidth="1"/>
    <col min="15620" max="15620" width="23.28515625" style="95" customWidth="1"/>
    <col min="15621" max="15868" width="9.140625" style="95"/>
    <col min="15869" max="15869" width="6.140625" style="95" customWidth="1"/>
    <col min="15870" max="15870" width="44.85546875" style="95" customWidth="1"/>
    <col min="15871" max="15871" width="11.85546875" style="95" customWidth="1"/>
    <col min="15872" max="15872" width="11.140625" style="95" customWidth="1"/>
    <col min="15873" max="15873" width="10.28515625" style="95" customWidth="1"/>
    <col min="15874" max="15874" width="10.5703125" style="95" customWidth="1"/>
    <col min="15875" max="15875" width="9.7109375" style="95" customWidth="1"/>
    <col min="15876" max="15876" width="23.28515625" style="95" customWidth="1"/>
    <col min="15877" max="16124" width="9.140625" style="95"/>
    <col min="16125" max="16125" width="6.140625" style="95" customWidth="1"/>
    <col min="16126" max="16126" width="44.85546875" style="95" customWidth="1"/>
    <col min="16127" max="16127" width="11.85546875" style="95" customWidth="1"/>
    <col min="16128" max="16128" width="11.140625" style="95" customWidth="1"/>
    <col min="16129" max="16129" width="10.28515625" style="95" customWidth="1"/>
    <col min="16130" max="16130" width="10.5703125" style="95" customWidth="1"/>
    <col min="16131" max="16131" width="9.7109375" style="95" customWidth="1"/>
    <col min="16132" max="16132" width="23.28515625" style="95" customWidth="1"/>
    <col min="16133" max="16384" width="9.140625" style="95"/>
  </cols>
  <sheetData>
    <row r="1" spans="1:7" ht="16.5" x14ac:dyDescent="0.25">
      <c r="B1" s="1034" t="s">
        <v>1271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">
      <c r="A6" s="95" t="s">
        <v>298</v>
      </c>
      <c r="B6" s="128"/>
      <c r="C6" s="1069"/>
      <c r="D6" s="1069"/>
      <c r="E6" s="1069"/>
      <c r="F6" s="1069"/>
      <c r="G6" s="1069"/>
    </row>
    <row r="7" spans="1:7" x14ac:dyDescent="0.2">
      <c r="B7" s="128"/>
      <c r="C7" s="308"/>
      <c r="D7" s="308"/>
      <c r="E7" s="308"/>
      <c r="F7" s="308"/>
      <c r="G7" s="308"/>
    </row>
    <row r="8" spans="1:7" ht="15.75" x14ac:dyDescent="0.25">
      <c r="A8" s="1070" t="s">
        <v>291</v>
      </c>
      <c r="B8" s="1070"/>
      <c r="C8" s="1070"/>
      <c r="D8" s="1070"/>
      <c r="E8" s="1070"/>
      <c r="F8" s="1070"/>
      <c r="G8" s="1070"/>
    </row>
    <row r="9" spans="1:7" ht="15.75" x14ac:dyDescent="0.25">
      <c r="A9" s="300"/>
      <c r="B9" s="300"/>
      <c r="C9" s="300"/>
      <c r="D9" s="300"/>
      <c r="E9" s="300"/>
      <c r="F9" s="300"/>
      <c r="G9" s="300"/>
    </row>
    <row r="10" spans="1:7" ht="15.75" x14ac:dyDescent="0.25">
      <c r="A10" s="95" t="s">
        <v>1265</v>
      </c>
      <c r="C10" s="301"/>
      <c r="D10" s="128"/>
      <c r="E10" s="128"/>
      <c r="F10" s="128"/>
      <c r="G10" s="128"/>
    </row>
    <row r="11" spans="1:7" ht="15.75" x14ac:dyDescent="0.25">
      <c r="C11" s="301"/>
      <c r="D11" s="128"/>
      <c r="E11" s="128"/>
      <c r="F11" s="128"/>
      <c r="G11" s="128"/>
    </row>
    <row r="12" spans="1:7" x14ac:dyDescent="0.2">
      <c r="A12" s="95" t="s">
        <v>1266</v>
      </c>
      <c r="C12" s="212"/>
      <c r="D12" s="212"/>
      <c r="E12" s="212"/>
      <c r="F12" s="212"/>
      <c r="G12" s="212"/>
    </row>
    <row r="13" spans="1:7" x14ac:dyDescent="0.2">
      <c r="A13" s="95" t="s">
        <v>1267</v>
      </c>
      <c r="C13" s="302"/>
      <c r="D13" s="212"/>
      <c r="E13" s="212"/>
      <c r="F13" s="212"/>
      <c r="G13" s="212"/>
    </row>
    <row r="14" spans="1:7" ht="22.5" customHeight="1" x14ac:dyDescent="0.2">
      <c r="A14" s="1071" t="s">
        <v>1</v>
      </c>
      <c r="B14" s="1071" t="s">
        <v>2</v>
      </c>
      <c r="C14" s="1071" t="s">
        <v>26</v>
      </c>
      <c r="D14" s="1071" t="s">
        <v>27</v>
      </c>
      <c r="E14" s="1071" t="s">
        <v>299</v>
      </c>
      <c r="F14" s="1072" t="s">
        <v>6</v>
      </c>
      <c r="G14" s="1072" t="s">
        <v>1190</v>
      </c>
    </row>
    <row r="15" spans="1:7" ht="12.75" customHeight="1" x14ac:dyDescent="0.2">
      <c r="A15" s="1071"/>
      <c r="B15" s="1071"/>
      <c r="C15" s="1071"/>
      <c r="D15" s="1071"/>
      <c r="E15" s="1071"/>
      <c r="F15" s="1074"/>
      <c r="G15" s="1074"/>
    </row>
    <row r="16" spans="1:7" x14ac:dyDescent="0.2">
      <c r="A16" s="1075" t="s">
        <v>300</v>
      </c>
      <c r="B16" s="1075"/>
      <c r="C16" s="303">
        <f>SUM(C17:C20)</f>
        <v>1833790</v>
      </c>
      <c r="D16" s="303">
        <f>SUM(D17:D20)</f>
        <v>1833790</v>
      </c>
      <c r="E16" s="303">
        <f>SUM(E17:E20)</f>
        <v>2288602</v>
      </c>
      <c r="F16" s="303"/>
      <c r="G16" s="303">
        <f>SUM(G17:G20)</f>
        <v>2288602</v>
      </c>
    </row>
    <row r="17" spans="1:7" x14ac:dyDescent="0.2">
      <c r="A17" s="887">
        <v>1</v>
      </c>
      <c r="B17" s="58" t="s">
        <v>550</v>
      </c>
      <c r="C17" s="92">
        <v>89786</v>
      </c>
      <c r="D17" s="92">
        <v>89786</v>
      </c>
      <c r="E17" s="92">
        <v>126845</v>
      </c>
      <c r="F17" s="243">
        <v>2276</v>
      </c>
      <c r="G17" s="92">
        <v>126845</v>
      </c>
    </row>
    <row r="18" spans="1:7" x14ac:dyDescent="0.2">
      <c r="A18" s="887">
        <v>2</v>
      </c>
      <c r="B18" s="888" t="s">
        <v>898</v>
      </c>
      <c r="C18" s="92">
        <v>1725442</v>
      </c>
      <c r="D18" s="92">
        <v>1725442</v>
      </c>
      <c r="E18" s="92">
        <v>2143195</v>
      </c>
      <c r="F18" s="243">
        <v>2279</v>
      </c>
      <c r="G18" s="92">
        <v>2143195</v>
      </c>
    </row>
    <row r="19" spans="1:7" x14ac:dyDescent="0.2">
      <c r="A19" s="1071">
        <v>3</v>
      </c>
      <c r="B19" s="1151" t="s">
        <v>899</v>
      </c>
      <c r="C19" s="92">
        <v>14293</v>
      </c>
      <c r="D19" s="92">
        <v>14293</v>
      </c>
      <c r="E19" s="92">
        <v>14293</v>
      </c>
      <c r="F19" s="243">
        <v>2519</v>
      </c>
      <c r="G19" s="92">
        <v>14293</v>
      </c>
    </row>
    <row r="20" spans="1:7" ht="12.75" customHeight="1" x14ac:dyDescent="0.2">
      <c r="A20" s="1071"/>
      <c r="B20" s="1151"/>
      <c r="C20" s="92">
        <v>4269</v>
      </c>
      <c r="D20" s="92">
        <v>4269</v>
      </c>
      <c r="E20" s="92">
        <v>4269</v>
      </c>
      <c r="F20" s="243">
        <v>2272</v>
      </c>
      <c r="G20" s="92">
        <v>4269</v>
      </c>
    </row>
    <row r="21" spans="1:7" ht="12.75" customHeight="1" x14ac:dyDescent="0.2">
      <c r="A21" s="123"/>
      <c r="B21" s="123"/>
      <c r="C21" s="123"/>
      <c r="D21" s="123"/>
      <c r="E21" s="123"/>
      <c r="F21" s="123"/>
      <c r="G21" s="123"/>
    </row>
    <row r="22" spans="1:7" ht="12.75" customHeight="1" x14ac:dyDescent="0.25">
      <c r="A22" s="144" t="s">
        <v>1268</v>
      </c>
      <c r="B22" s="144"/>
      <c r="C22" s="147"/>
      <c r="D22" s="144"/>
      <c r="E22" s="144"/>
      <c r="F22" s="144"/>
      <c r="G22" s="144"/>
    </row>
    <row r="23" spans="1:7" ht="15.75" x14ac:dyDescent="0.25">
      <c r="A23" s="144"/>
      <c r="B23" s="144"/>
      <c r="C23" s="147"/>
      <c r="D23" s="144"/>
      <c r="E23" s="144"/>
      <c r="F23" s="144"/>
      <c r="G23" s="144"/>
    </row>
    <row r="24" spans="1:7" x14ac:dyDescent="0.2">
      <c r="A24" s="1" t="s">
        <v>1269</v>
      </c>
      <c r="B24" s="1"/>
      <c r="C24" s="212"/>
      <c r="D24" s="149"/>
      <c r="E24" s="149"/>
      <c r="F24" s="149"/>
      <c r="G24" s="149"/>
    </row>
    <row r="25" spans="1:7" x14ac:dyDescent="0.2">
      <c r="A25" s="1" t="s">
        <v>1270</v>
      </c>
      <c r="B25" s="1"/>
      <c r="C25" s="150"/>
      <c r="D25" s="149"/>
      <c r="E25" s="149"/>
      <c r="F25" s="149"/>
      <c r="G25" s="149"/>
    </row>
    <row r="26" spans="1:7" ht="22.5" customHeight="1" x14ac:dyDescent="0.2">
      <c r="A26" s="1102" t="s">
        <v>1</v>
      </c>
      <c r="B26" s="1102" t="s">
        <v>2</v>
      </c>
      <c r="C26" s="1102" t="s">
        <v>26</v>
      </c>
      <c r="D26" s="1102" t="s">
        <v>27</v>
      </c>
      <c r="E26" s="1102" t="s">
        <v>299</v>
      </c>
      <c r="F26" s="1102" t="s">
        <v>6</v>
      </c>
      <c r="G26" s="1102" t="s">
        <v>1190</v>
      </c>
    </row>
    <row r="27" spans="1:7" x14ac:dyDescent="0.2">
      <c r="A27" s="1102"/>
      <c r="B27" s="1102"/>
      <c r="C27" s="1102"/>
      <c r="D27" s="1102"/>
      <c r="E27" s="1102"/>
      <c r="F27" s="1102"/>
      <c r="G27" s="1102"/>
    </row>
    <row r="28" spans="1:7" x14ac:dyDescent="0.2">
      <c r="A28" s="1094" t="s">
        <v>300</v>
      </c>
      <c r="B28" s="1094"/>
      <c r="C28" s="167">
        <f>SUM(C29:C29)</f>
        <v>0</v>
      </c>
      <c r="D28" s="167">
        <f>SUM(D29:D29)</f>
        <v>0</v>
      </c>
      <c r="E28" s="167">
        <f>SUM(E29:E29)</f>
        <v>4000</v>
      </c>
      <c r="F28" s="167"/>
      <c r="G28" s="167">
        <f>SUM(G29:G29)</f>
        <v>4000</v>
      </c>
    </row>
    <row r="29" spans="1:7" x14ac:dyDescent="0.2">
      <c r="A29" s="3">
        <v>1</v>
      </c>
      <c r="B29" s="210" t="s">
        <v>1000</v>
      </c>
      <c r="C29" s="211">
        <v>0</v>
      </c>
      <c r="D29" s="211">
        <v>0</v>
      </c>
      <c r="E29" s="211">
        <v>4000</v>
      </c>
      <c r="F29" s="167">
        <v>2276</v>
      </c>
      <c r="G29" s="211">
        <v>4000</v>
      </c>
    </row>
    <row r="30" spans="1:7" x14ac:dyDescent="0.2">
      <c r="A30" s="1"/>
      <c r="B30" s="1"/>
      <c r="C30" s="1"/>
      <c r="D30" s="1"/>
      <c r="E30" s="1"/>
      <c r="F30" s="1"/>
      <c r="G30" s="1"/>
    </row>
  </sheetData>
  <mergeCells count="21">
    <mergeCell ref="F26:F27"/>
    <mergeCell ref="G26:G27"/>
    <mergeCell ref="A28:B28"/>
    <mergeCell ref="A26:A27"/>
    <mergeCell ref="B26:B27"/>
    <mergeCell ref="C26:C27"/>
    <mergeCell ref="D26:D27"/>
    <mergeCell ref="E26:E27"/>
    <mergeCell ref="B1:G1"/>
    <mergeCell ref="A16:B16"/>
    <mergeCell ref="A19:A20"/>
    <mergeCell ref="B19:B20"/>
    <mergeCell ref="C6:G6"/>
    <mergeCell ref="A8:G8"/>
    <mergeCell ref="A14:A15"/>
    <mergeCell ref="B14:B15"/>
    <mergeCell ref="C14:C15"/>
    <mergeCell ref="D14:D15"/>
    <mergeCell ref="E14:E15"/>
    <mergeCell ref="F14:F15"/>
    <mergeCell ref="G14:G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99"/>
  </sheetPr>
  <dimension ref="A1:K59"/>
  <sheetViews>
    <sheetView topLeftCell="A7" workbookViewId="0">
      <selection activeCell="B2" sqref="B2"/>
    </sheetView>
  </sheetViews>
  <sheetFormatPr defaultRowHeight="12" x14ac:dyDescent="0.2"/>
  <cols>
    <col min="1" max="1" width="4.42578125" style="1" customWidth="1"/>
    <col min="2" max="2" width="52" style="1" customWidth="1"/>
    <col min="3" max="3" width="10.7109375" style="1" hidden="1" customWidth="1"/>
    <col min="4" max="4" width="10.42578125" style="1" hidden="1" customWidth="1"/>
    <col min="5" max="5" width="11.140625" style="1" hidden="1" customWidth="1"/>
    <col min="6" max="6" width="10" style="1" hidden="1" customWidth="1"/>
    <col min="7" max="7" width="10.85546875" style="1" hidden="1" customWidth="1"/>
    <col min="8" max="8" width="10.28515625" style="1" hidden="1" customWidth="1"/>
    <col min="9" max="9" width="10.5703125" style="32" customWidth="1"/>
    <col min="10" max="10" width="11" style="1" customWidth="1"/>
    <col min="11" max="11" width="9.7109375" style="1" customWidth="1"/>
    <col min="12" max="251" width="9.140625" style="1"/>
    <col min="252" max="252" width="6.140625" style="1" customWidth="1"/>
    <col min="253" max="253" width="37" style="1" customWidth="1"/>
    <col min="254" max="255" width="11.85546875" style="1" customWidth="1"/>
    <col min="256" max="257" width="11.140625" style="1" customWidth="1"/>
    <col min="258" max="258" width="11.5703125" style="1" customWidth="1"/>
    <col min="259" max="259" width="10.28515625" style="1" customWidth="1"/>
    <col min="260" max="260" width="10.5703125" style="1" customWidth="1"/>
    <col min="261" max="261" width="11" style="1" customWidth="1"/>
    <col min="262" max="262" width="9.7109375" style="1" customWidth="1"/>
    <col min="263" max="263" width="31.42578125" style="1" customWidth="1"/>
    <col min="264" max="507" width="9.140625" style="1"/>
    <col min="508" max="508" width="6.140625" style="1" customWidth="1"/>
    <col min="509" max="509" width="37" style="1" customWidth="1"/>
    <col min="510" max="511" width="11.85546875" style="1" customWidth="1"/>
    <col min="512" max="513" width="11.140625" style="1" customWidth="1"/>
    <col min="514" max="514" width="11.5703125" style="1" customWidth="1"/>
    <col min="515" max="515" width="10.28515625" style="1" customWidth="1"/>
    <col min="516" max="516" width="10.5703125" style="1" customWidth="1"/>
    <col min="517" max="517" width="11" style="1" customWidth="1"/>
    <col min="518" max="518" width="9.7109375" style="1" customWidth="1"/>
    <col min="519" max="519" width="31.42578125" style="1" customWidth="1"/>
    <col min="520" max="763" width="9.140625" style="1"/>
    <col min="764" max="764" width="6.140625" style="1" customWidth="1"/>
    <col min="765" max="765" width="37" style="1" customWidth="1"/>
    <col min="766" max="767" width="11.85546875" style="1" customWidth="1"/>
    <col min="768" max="769" width="11.140625" style="1" customWidth="1"/>
    <col min="770" max="770" width="11.5703125" style="1" customWidth="1"/>
    <col min="771" max="771" width="10.28515625" style="1" customWidth="1"/>
    <col min="772" max="772" width="10.5703125" style="1" customWidth="1"/>
    <col min="773" max="773" width="11" style="1" customWidth="1"/>
    <col min="774" max="774" width="9.7109375" style="1" customWidth="1"/>
    <col min="775" max="775" width="31.42578125" style="1" customWidth="1"/>
    <col min="776" max="1019" width="9.140625" style="1"/>
    <col min="1020" max="1020" width="6.140625" style="1" customWidth="1"/>
    <col min="1021" max="1021" width="37" style="1" customWidth="1"/>
    <col min="1022" max="1023" width="11.85546875" style="1" customWidth="1"/>
    <col min="1024" max="1025" width="11.140625" style="1" customWidth="1"/>
    <col min="1026" max="1026" width="11.5703125" style="1" customWidth="1"/>
    <col min="1027" max="1027" width="10.28515625" style="1" customWidth="1"/>
    <col min="1028" max="1028" width="10.5703125" style="1" customWidth="1"/>
    <col min="1029" max="1029" width="11" style="1" customWidth="1"/>
    <col min="1030" max="1030" width="9.7109375" style="1" customWidth="1"/>
    <col min="1031" max="1031" width="31.42578125" style="1" customWidth="1"/>
    <col min="1032" max="1275" width="9.140625" style="1"/>
    <col min="1276" max="1276" width="6.140625" style="1" customWidth="1"/>
    <col min="1277" max="1277" width="37" style="1" customWidth="1"/>
    <col min="1278" max="1279" width="11.85546875" style="1" customWidth="1"/>
    <col min="1280" max="1281" width="11.140625" style="1" customWidth="1"/>
    <col min="1282" max="1282" width="11.5703125" style="1" customWidth="1"/>
    <col min="1283" max="1283" width="10.28515625" style="1" customWidth="1"/>
    <col min="1284" max="1284" width="10.5703125" style="1" customWidth="1"/>
    <col min="1285" max="1285" width="11" style="1" customWidth="1"/>
    <col min="1286" max="1286" width="9.7109375" style="1" customWidth="1"/>
    <col min="1287" max="1287" width="31.42578125" style="1" customWidth="1"/>
    <col min="1288" max="1531" width="9.140625" style="1"/>
    <col min="1532" max="1532" width="6.140625" style="1" customWidth="1"/>
    <col min="1533" max="1533" width="37" style="1" customWidth="1"/>
    <col min="1534" max="1535" width="11.85546875" style="1" customWidth="1"/>
    <col min="1536" max="1537" width="11.140625" style="1" customWidth="1"/>
    <col min="1538" max="1538" width="11.5703125" style="1" customWidth="1"/>
    <col min="1539" max="1539" width="10.28515625" style="1" customWidth="1"/>
    <col min="1540" max="1540" width="10.5703125" style="1" customWidth="1"/>
    <col min="1541" max="1541" width="11" style="1" customWidth="1"/>
    <col min="1542" max="1542" width="9.7109375" style="1" customWidth="1"/>
    <col min="1543" max="1543" width="31.42578125" style="1" customWidth="1"/>
    <col min="1544" max="1787" width="9.140625" style="1"/>
    <col min="1788" max="1788" width="6.140625" style="1" customWidth="1"/>
    <col min="1789" max="1789" width="37" style="1" customWidth="1"/>
    <col min="1790" max="1791" width="11.85546875" style="1" customWidth="1"/>
    <col min="1792" max="1793" width="11.140625" style="1" customWidth="1"/>
    <col min="1794" max="1794" width="11.5703125" style="1" customWidth="1"/>
    <col min="1795" max="1795" width="10.28515625" style="1" customWidth="1"/>
    <col min="1796" max="1796" width="10.5703125" style="1" customWidth="1"/>
    <col min="1797" max="1797" width="11" style="1" customWidth="1"/>
    <col min="1798" max="1798" width="9.7109375" style="1" customWidth="1"/>
    <col min="1799" max="1799" width="31.42578125" style="1" customWidth="1"/>
    <col min="1800" max="2043" width="9.140625" style="1"/>
    <col min="2044" max="2044" width="6.140625" style="1" customWidth="1"/>
    <col min="2045" max="2045" width="37" style="1" customWidth="1"/>
    <col min="2046" max="2047" width="11.85546875" style="1" customWidth="1"/>
    <col min="2048" max="2049" width="11.140625" style="1" customWidth="1"/>
    <col min="2050" max="2050" width="11.5703125" style="1" customWidth="1"/>
    <col min="2051" max="2051" width="10.28515625" style="1" customWidth="1"/>
    <col min="2052" max="2052" width="10.5703125" style="1" customWidth="1"/>
    <col min="2053" max="2053" width="11" style="1" customWidth="1"/>
    <col min="2054" max="2054" width="9.7109375" style="1" customWidth="1"/>
    <col min="2055" max="2055" width="31.42578125" style="1" customWidth="1"/>
    <col min="2056" max="2299" width="9.140625" style="1"/>
    <col min="2300" max="2300" width="6.140625" style="1" customWidth="1"/>
    <col min="2301" max="2301" width="37" style="1" customWidth="1"/>
    <col min="2302" max="2303" width="11.85546875" style="1" customWidth="1"/>
    <col min="2304" max="2305" width="11.140625" style="1" customWidth="1"/>
    <col min="2306" max="2306" width="11.5703125" style="1" customWidth="1"/>
    <col min="2307" max="2307" width="10.28515625" style="1" customWidth="1"/>
    <col min="2308" max="2308" width="10.5703125" style="1" customWidth="1"/>
    <col min="2309" max="2309" width="11" style="1" customWidth="1"/>
    <col min="2310" max="2310" width="9.7109375" style="1" customWidth="1"/>
    <col min="2311" max="2311" width="31.42578125" style="1" customWidth="1"/>
    <col min="2312" max="2555" width="9.140625" style="1"/>
    <col min="2556" max="2556" width="6.140625" style="1" customWidth="1"/>
    <col min="2557" max="2557" width="37" style="1" customWidth="1"/>
    <col min="2558" max="2559" width="11.85546875" style="1" customWidth="1"/>
    <col min="2560" max="2561" width="11.140625" style="1" customWidth="1"/>
    <col min="2562" max="2562" width="11.5703125" style="1" customWidth="1"/>
    <col min="2563" max="2563" width="10.28515625" style="1" customWidth="1"/>
    <col min="2564" max="2564" width="10.5703125" style="1" customWidth="1"/>
    <col min="2565" max="2565" width="11" style="1" customWidth="1"/>
    <col min="2566" max="2566" width="9.7109375" style="1" customWidth="1"/>
    <col min="2567" max="2567" width="31.42578125" style="1" customWidth="1"/>
    <col min="2568" max="2811" width="9.140625" style="1"/>
    <col min="2812" max="2812" width="6.140625" style="1" customWidth="1"/>
    <col min="2813" max="2813" width="37" style="1" customWidth="1"/>
    <col min="2814" max="2815" width="11.85546875" style="1" customWidth="1"/>
    <col min="2816" max="2817" width="11.140625" style="1" customWidth="1"/>
    <col min="2818" max="2818" width="11.5703125" style="1" customWidth="1"/>
    <col min="2819" max="2819" width="10.28515625" style="1" customWidth="1"/>
    <col min="2820" max="2820" width="10.5703125" style="1" customWidth="1"/>
    <col min="2821" max="2821" width="11" style="1" customWidth="1"/>
    <col min="2822" max="2822" width="9.7109375" style="1" customWidth="1"/>
    <col min="2823" max="2823" width="31.42578125" style="1" customWidth="1"/>
    <col min="2824" max="3067" width="9.140625" style="1"/>
    <col min="3068" max="3068" width="6.140625" style="1" customWidth="1"/>
    <col min="3069" max="3069" width="37" style="1" customWidth="1"/>
    <col min="3070" max="3071" width="11.85546875" style="1" customWidth="1"/>
    <col min="3072" max="3073" width="11.140625" style="1" customWidth="1"/>
    <col min="3074" max="3074" width="11.5703125" style="1" customWidth="1"/>
    <col min="3075" max="3075" width="10.28515625" style="1" customWidth="1"/>
    <col min="3076" max="3076" width="10.5703125" style="1" customWidth="1"/>
    <col min="3077" max="3077" width="11" style="1" customWidth="1"/>
    <col min="3078" max="3078" width="9.7109375" style="1" customWidth="1"/>
    <col min="3079" max="3079" width="31.42578125" style="1" customWidth="1"/>
    <col min="3080" max="3323" width="9.140625" style="1"/>
    <col min="3324" max="3324" width="6.140625" style="1" customWidth="1"/>
    <col min="3325" max="3325" width="37" style="1" customWidth="1"/>
    <col min="3326" max="3327" width="11.85546875" style="1" customWidth="1"/>
    <col min="3328" max="3329" width="11.140625" style="1" customWidth="1"/>
    <col min="3330" max="3330" width="11.5703125" style="1" customWidth="1"/>
    <col min="3331" max="3331" width="10.28515625" style="1" customWidth="1"/>
    <col min="3332" max="3332" width="10.5703125" style="1" customWidth="1"/>
    <col min="3333" max="3333" width="11" style="1" customWidth="1"/>
    <col min="3334" max="3334" width="9.7109375" style="1" customWidth="1"/>
    <col min="3335" max="3335" width="31.42578125" style="1" customWidth="1"/>
    <col min="3336" max="3579" width="9.140625" style="1"/>
    <col min="3580" max="3580" width="6.140625" style="1" customWidth="1"/>
    <col min="3581" max="3581" width="37" style="1" customWidth="1"/>
    <col min="3582" max="3583" width="11.85546875" style="1" customWidth="1"/>
    <col min="3584" max="3585" width="11.140625" style="1" customWidth="1"/>
    <col min="3586" max="3586" width="11.5703125" style="1" customWidth="1"/>
    <col min="3587" max="3587" width="10.28515625" style="1" customWidth="1"/>
    <col min="3588" max="3588" width="10.5703125" style="1" customWidth="1"/>
    <col min="3589" max="3589" width="11" style="1" customWidth="1"/>
    <col min="3590" max="3590" width="9.7109375" style="1" customWidth="1"/>
    <col min="3591" max="3591" width="31.42578125" style="1" customWidth="1"/>
    <col min="3592" max="3835" width="9.140625" style="1"/>
    <col min="3836" max="3836" width="6.140625" style="1" customWidth="1"/>
    <col min="3837" max="3837" width="37" style="1" customWidth="1"/>
    <col min="3838" max="3839" width="11.85546875" style="1" customWidth="1"/>
    <col min="3840" max="3841" width="11.140625" style="1" customWidth="1"/>
    <col min="3842" max="3842" width="11.5703125" style="1" customWidth="1"/>
    <col min="3843" max="3843" width="10.28515625" style="1" customWidth="1"/>
    <col min="3844" max="3844" width="10.5703125" style="1" customWidth="1"/>
    <col min="3845" max="3845" width="11" style="1" customWidth="1"/>
    <col min="3846" max="3846" width="9.7109375" style="1" customWidth="1"/>
    <col min="3847" max="3847" width="31.42578125" style="1" customWidth="1"/>
    <col min="3848" max="4091" width="9.140625" style="1"/>
    <col min="4092" max="4092" width="6.140625" style="1" customWidth="1"/>
    <col min="4093" max="4093" width="37" style="1" customWidth="1"/>
    <col min="4094" max="4095" width="11.85546875" style="1" customWidth="1"/>
    <col min="4096" max="4097" width="11.140625" style="1" customWidth="1"/>
    <col min="4098" max="4098" width="11.5703125" style="1" customWidth="1"/>
    <col min="4099" max="4099" width="10.28515625" style="1" customWidth="1"/>
    <col min="4100" max="4100" width="10.5703125" style="1" customWidth="1"/>
    <col min="4101" max="4101" width="11" style="1" customWidth="1"/>
    <col min="4102" max="4102" width="9.7109375" style="1" customWidth="1"/>
    <col min="4103" max="4103" width="31.42578125" style="1" customWidth="1"/>
    <col min="4104" max="4347" width="9.140625" style="1"/>
    <col min="4348" max="4348" width="6.140625" style="1" customWidth="1"/>
    <col min="4349" max="4349" width="37" style="1" customWidth="1"/>
    <col min="4350" max="4351" width="11.85546875" style="1" customWidth="1"/>
    <col min="4352" max="4353" width="11.140625" style="1" customWidth="1"/>
    <col min="4354" max="4354" width="11.5703125" style="1" customWidth="1"/>
    <col min="4355" max="4355" width="10.28515625" style="1" customWidth="1"/>
    <col min="4356" max="4356" width="10.5703125" style="1" customWidth="1"/>
    <col min="4357" max="4357" width="11" style="1" customWidth="1"/>
    <col min="4358" max="4358" width="9.7109375" style="1" customWidth="1"/>
    <col min="4359" max="4359" width="31.42578125" style="1" customWidth="1"/>
    <col min="4360" max="4603" width="9.140625" style="1"/>
    <col min="4604" max="4604" width="6.140625" style="1" customWidth="1"/>
    <col min="4605" max="4605" width="37" style="1" customWidth="1"/>
    <col min="4606" max="4607" width="11.85546875" style="1" customWidth="1"/>
    <col min="4608" max="4609" width="11.140625" style="1" customWidth="1"/>
    <col min="4610" max="4610" width="11.5703125" style="1" customWidth="1"/>
    <col min="4611" max="4611" width="10.28515625" style="1" customWidth="1"/>
    <col min="4612" max="4612" width="10.5703125" style="1" customWidth="1"/>
    <col min="4613" max="4613" width="11" style="1" customWidth="1"/>
    <col min="4614" max="4614" width="9.7109375" style="1" customWidth="1"/>
    <col min="4615" max="4615" width="31.42578125" style="1" customWidth="1"/>
    <col min="4616" max="4859" width="9.140625" style="1"/>
    <col min="4860" max="4860" width="6.140625" style="1" customWidth="1"/>
    <col min="4861" max="4861" width="37" style="1" customWidth="1"/>
    <col min="4862" max="4863" width="11.85546875" style="1" customWidth="1"/>
    <col min="4864" max="4865" width="11.140625" style="1" customWidth="1"/>
    <col min="4866" max="4866" width="11.5703125" style="1" customWidth="1"/>
    <col min="4867" max="4867" width="10.28515625" style="1" customWidth="1"/>
    <col min="4868" max="4868" width="10.5703125" style="1" customWidth="1"/>
    <col min="4869" max="4869" width="11" style="1" customWidth="1"/>
    <col min="4870" max="4870" width="9.7109375" style="1" customWidth="1"/>
    <col min="4871" max="4871" width="31.42578125" style="1" customWidth="1"/>
    <col min="4872" max="5115" width="9.140625" style="1"/>
    <col min="5116" max="5116" width="6.140625" style="1" customWidth="1"/>
    <col min="5117" max="5117" width="37" style="1" customWidth="1"/>
    <col min="5118" max="5119" width="11.85546875" style="1" customWidth="1"/>
    <col min="5120" max="5121" width="11.140625" style="1" customWidth="1"/>
    <col min="5122" max="5122" width="11.5703125" style="1" customWidth="1"/>
    <col min="5123" max="5123" width="10.28515625" style="1" customWidth="1"/>
    <col min="5124" max="5124" width="10.5703125" style="1" customWidth="1"/>
    <col min="5125" max="5125" width="11" style="1" customWidth="1"/>
    <col min="5126" max="5126" width="9.7109375" style="1" customWidth="1"/>
    <col min="5127" max="5127" width="31.42578125" style="1" customWidth="1"/>
    <col min="5128" max="5371" width="9.140625" style="1"/>
    <col min="5372" max="5372" width="6.140625" style="1" customWidth="1"/>
    <col min="5373" max="5373" width="37" style="1" customWidth="1"/>
    <col min="5374" max="5375" width="11.85546875" style="1" customWidth="1"/>
    <col min="5376" max="5377" width="11.140625" style="1" customWidth="1"/>
    <col min="5378" max="5378" width="11.5703125" style="1" customWidth="1"/>
    <col min="5379" max="5379" width="10.28515625" style="1" customWidth="1"/>
    <col min="5380" max="5380" width="10.5703125" style="1" customWidth="1"/>
    <col min="5381" max="5381" width="11" style="1" customWidth="1"/>
    <col min="5382" max="5382" width="9.7109375" style="1" customWidth="1"/>
    <col min="5383" max="5383" width="31.42578125" style="1" customWidth="1"/>
    <col min="5384" max="5627" width="9.140625" style="1"/>
    <col min="5628" max="5628" width="6.140625" style="1" customWidth="1"/>
    <col min="5629" max="5629" width="37" style="1" customWidth="1"/>
    <col min="5630" max="5631" width="11.85546875" style="1" customWidth="1"/>
    <col min="5632" max="5633" width="11.140625" style="1" customWidth="1"/>
    <col min="5634" max="5634" width="11.5703125" style="1" customWidth="1"/>
    <col min="5635" max="5635" width="10.28515625" style="1" customWidth="1"/>
    <col min="5636" max="5636" width="10.5703125" style="1" customWidth="1"/>
    <col min="5637" max="5637" width="11" style="1" customWidth="1"/>
    <col min="5638" max="5638" width="9.7109375" style="1" customWidth="1"/>
    <col min="5639" max="5639" width="31.42578125" style="1" customWidth="1"/>
    <col min="5640" max="5883" width="9.140625" style="1"/>
    <col min="5884" max="5884" width="6.140625" style="1" customWidth="1"/>
    <col min="5885" max="5885" width="37" style="1" customWidth="1"/>
    <col min="5886" max="5887" width="11.85546875" style="1" customWidth="1"/>
    <col min="5888" max="5889" width="11.140625" style="1" customWidth="1"/>
    <col min="5890" max="5890" width="11.5703125" style="1" customWidth="1"/>
    <col min="5891" max="5891" width="10.28515625" style="1" customWidth="1"/>
    <col min="5892" max="5892" width="10.5703125" style="1" customWidth="1"/>
    <col min="5893" max="5893" width="11" style="1" customWidth="1"/>
    <col min="5894" max="5894" width="9.7109375" style="1" customWidth="1"/>
    <col min="5895" max="5895" width="31.42578125" style="1" customWidth="1"/>
    <col min="5896" max="6139" width="9.140625" style="1"/>
    <col min="6140" max="6140" width="6.140625" style="1" customWidth="1"/>
    <col min="6141" max="6141" width="37" style="1" customWidth="1"/>
    <col min="6142" max="6143" width="11.85546875" style="1" customWidth="1"/>
    <col min="6144" max="6145" width="11.140625" style="1" customWidth="1"/>
    <col min="6146" max="6146" width="11.5703125" style="1" customWidth="1"/>
    <col min="6147" max="6147" width="10.28515625" style="1" customWidth="1"/>
    <col min="6148" max="6148" width="10.5703125" style="1" customWidth="1"/>
    <col min="6149" max="6149" width="11" style="1" customWidth="1"/>
    <col min="6150" max="6150" width="9.7109375" style="1" customWidth="1"/>
    <col min="6151" max="6151" width="31.42578125" style="1" customWidth="1"/>
    <col min="6152" max="6395" width="9.140625" style="1"/>
    <col min="6396" max="6396" width="6.140625" style="1" customWidth="1"/>
    <col min="6397" max="6397" width="37" style="1" customWidth="1"/>
    <col min="6398" max="6399" width="11.85546875" style="1" customWidth="1"/>
    <col min="6400" max="6401" width="11.140625" style="1" customWidth="1"/>
    <col min="6402" max="6402" width="11.5703125" style="1" customWidth="1"/>
    <col min="6403" max="6403" width="10.28515625" style="1" customWidth="1"/>
    <col min="6404" max="6404" width="10.5703125" style="1" customWidth="1"/>
    <col min="6405" max="6405" width="11" style="1" customWidth="1"/>
    <col min="6406" max="6406" width="9.7109375" style="1" customWidth="1"/>
    <col min="6407" max="6407" width="31.42578125" style="1" customWidth="1"/>
    <col min="6408" max="6651" width="9.140625" style="1"/>
    <col min="6652" max="6652" width="6.140625" style="1" customWidth="1"/>
    <col min="6653" max="6653" width="37" style="1" customWidth="1"/>
    <col min="6654" max="6655" width="11.85546875" style="1" customWidth="1"/>
    <col min="6656" max="6657" width="11.140625" style="1" customWidth="1"/>
    <col min="6658" max="6658" width="11.5703125" style="1" customWidth="1"/>
    <col min="6659" max="6659" width="10.28515625" style="1" customWidth="1"/>
    <col min="6660" max="6660" width="10.5703125" style="1" customWidth="1"/>
    <col min="6661" max="6661" width="11" style="1" customWidth="1"/>
    <col min="6662" max="6662" width="9.7109375" style="1" customWidth="1"/>
    <col min="6663" max="6663" width="31.42578125" style="1" customWidth="1"/>
    <col min="6664" max="6907" width="9.140625" style="1"/>
    <col min="6908" max="6908" width="6.140625" style="1" customWidth="1"/>
    <col min="6909" max="6909" width="37" style="1" customWidth="1"/>
    <col min="6910" max="6911" width="11.85546875" style="1" customWidth="1"/>
    <col min="6912" max="6913" width="11.140625" style="1" customWidth="1"/>
    <col min="6914" max="6914" width="11.5703125" style="1" customWidth="1"/>
    <col min="6915" max="6915" width="10.28515625" style="1" customWidth="1"/>
    <col min="6916" max="6916" width="10.5703125" style="1" customWidth="1"/>
    <col min="6917" max="6917" width="11" style="1" customWidth="1"/>
    <col min="6918" max="6918" width="9.7109375" style="1" customWidth="1"/>
    <col min="6919" max="6919" width="31.42578125" style="1" customWidth="1"/>
    <col min="6920" max="7163" width="9.140625" style="1"/>
    <col min="7164" max="7164" width="6.140625" style="1" customWidth="1"/>
    <col min="7165" max="7165" width="37" style="1" customWidth="1"/>
    <col min="7166" max="7167" width="11.85546875" style="1" customWidth="1"/>
    <col min="7168" max="7169" width="11.140625" style="1" customWidth="1"/>
    <col min="7170" max="7170" width="11.5703125" style="1" customWidth="1"/>
    <col min="7171" max="7171" width="10.28515625" style="1" customWidth="1"/>
    <col min="7172" max="7172" width="10.5703125" style="1" customWidth="1"/>
    <col min="7173" max="7173" width="11" style="1" customWidth="1"/>
    <col min="7174" max="7174" width="9.7109375" style="1" customWidth="1"/>
    <col min="7175" max="7175" width="31.42578125" style="1" customWidth="1"/>
    <col min="7176" max="7419" width="9.140625" style="1"/>
    <col min="7420" max="7420" width="6.140625" style="1" customWidth="1"/>
    <col min="7421" max="7421" width="37" style="1" customWidth="1"/>
    <col min="7422" max="7423" width="11.85546875" style="1" customWidth="1"/>
    <col min="7424" max="7425" width="11.140625" style="1" customWidth="1"/>
    <col min="7426" max="7426" width="11.5703125" style="1" customWidth="1"/>
    <col min="7427" max="7427" width="10.28515625" style="1" customWidth="1"/>
    <col min="7428" max="7428" width="10.5703125" style="1" customWidth="1"/>
    <col min="7429" max="7429" width="11" style="1" customWidth="1"/>
    <col min="7430" max="7430" width="9.7109375" style="1" customWidth="1"/>
    <col min="7431" max="7431" width="31.42578125" style="1" customWidth="1"/>
    <col min="7432" max="7675" width="9.140625" style="1"/>
    <col min="7676" max="7676" width="6.140625" style="1" customWidth="1"/>
    <col min="7677" max="7677" width="37" style="1" customWidth="1"/>
    <col min="7678" max="7679" width="11.85546875" style="1" customWidth="1"/>
    <col min="7680" max="7681" width="11.140625" style="1" customWidth="1"/>
    <col min="7682" max="7682" width="11.5703125" style="1" customWidth="1"/>
    <col min="7683" max="7683" width="10.28515625" style="1" customWidth="1"/>
    <col min="7684" max="7684" width="10.5703125" style="1" customWidth="1"/>
    <col min="7685" max="7685" width="11" style="1" customWidth="1"/>
    <col min="7686" max="7686" width="9.7109375" style="1" customWidth="1"/>
    <col min="7687" max="7687" width="31.42578125" style="1" customWidth="1"/>
    <col min="7688" max="7931" width="9.140625" style="1"/>
    <col min="7932" max="7932" width="6.140625" style="1" customWidth="1"/>
    <col min="7933" max="7933" width="37" style="1" customWidth="1"/>
    <col min="7934" max="7935" width="11.85546875" style="1" customWidth="1"/>
    <col min="7936" max="7937" width="11.140625" style="1" customWidth="1"/>
    <col min="7938" max="7938" width="11.5703125" style="1" customWidth="1"/>
    <col min="7939" max="7939" width="10.28515625" style="1" customWidth="1"/>
    <col min="7940" max="7940" width="10.5703125" style="1" customWidth="1"/>
    <col min="7941" max="7941" width="11" style="1" customWidth="1"/>
    <col min="7942" max="7942" width="9.7109375" style="1" customWidth="1"/>
    <col min="7943" max="7943" width="31.42578125" style="1" customWidth="1"/>
    <col min="7944" max="8187" width="9.140625" style="1"/>
    <col min="8188" max="8188" width="6.140625" style="1" customWidth="1"/>
    <col min="8189" max="8189" width="37" style="1" customWidth="1"/>
    <col min="8190" max="8191" width="11.85546875" style="1" customWidth="1"/>
    <col min="8192" max="8193" width="11.140625" style="1" customWidth="1"/>
    <col min="8194" max="8194" width="11.5703125" style="1" customWidth="1"/>
    <col min="8195" max="8195" width="10.28515625" style="1" customWidth="1"/>
    <col min="8196" max="8196" width="10.5703125" style="1" customWidth="1"/>
    <col min="8197" max="8197" width="11" style="1" customWidth="1"/>
    <col min="8198" max="8198" width="9.7109375" style="1" customWidth="1"/>
    <col min="8199" max="8199" width="31.42578125" style="1" customWidth="1"/>
    <col min="8200" max="8443" width="9.140625" style="1"/>
    <col min="8444" max="8444" width="6.140625" style="1" customWidth="1"/>
    <col min="8445" max="8445" width="37" style="1" customWidth="1"/>
    <col min="8446" max="8447" width="11.85546875" style="1" customWidth="1"/>
    <col min="8448" max="8449" width="11.140625" style="1" customWidth="1"/>
    <col min="8450" max="8450" width="11.5703125" style="1" customWidth="1"/>
    <col min="8451" max="8451" width="10.28515625" style="1" customWidth="1"/>
    <col min="8452" max="8452" width="10.5703125" style="1" customWidth="1"/>
    <col min="8453" max="8453" width="11" style="1" customWidth="1"/>
    <col min="8454" max="8454" width="9.7109375" style="1" customWidth="1"/>
    <col min="8455" max="8455" width="31.42578125" style="1" customWidth="1"/>
    <col min="8456" max="8699" width="9.140625" style="1"/>
    <col min="8700" max="8700" width="6.140625" style="1" customWidth="1"/>
    <col min="8701" max="8701" width="37" style="1" customWidth="1"/>
    <col min="8702" max="8703" width="11.85546875" style="1" customWidth="1"/>
    <col min="8704" max="8705" width="11.140625" style="1" customWidth="1"/>
    <col min="8706" max="8706" width="11.5703125" style="1" customWidth="1"/>
    <col min="8707" max="8707" width="10.28515625" style="1" customWidth="1"/>
    <col min="8708" max="8708" width="10.5703125" style="1" customWidth="1"/>
    <col min="8709" max="8709" width="11" style="1" customWidth="1"/>
    <col min="8710" max="8710" width="9.7109375" style="1" customWidth="1"/>
    <col min="8711" max="8711" width="31.42578125" style="1" customWidth="1"/>
    <col min="8712" max="8955" width="9.140625" style="1"/>
    <col min="8956" max="8956" width="6.140625" style="1" customWidth="1"/>
    <col min="8957" max="8957" width="37" style="1" customWidth="1"/>
    <col min="8958" max="8959" width="11.85546875" style="1" customWidth="1"/>
    <col min="8960" max="8961" width="11.140625" style="1" customWidth="1"/>
    <col min="8962" max="8962" width="11.5703125" style="1" customWidth="1"/>
    <col min="8963" max="8963" width="10.28515625" style="1" customWidth="1"/>
    <col min="8964" max="8964" width="10.5703125" style="1" customWidth="1"/>
    <col min="8965" max="8965" width="11" style="1" customWidth="1"/>
    <col min="8966" max="8966" width="9.7109375" style="1" customWidth="1"/>
    <col min="8967" max="8967" width="31.42578125" style="1" customWidth="1"/>
    <col min="8968" max="9211" width="9.140625" style="1"/>
    <col min="9212" max="9212" width="6.140625" style="1" customWidth="1"/>
    <col min="9213" max="9213" width="37" style="1" customWidth="1"/>
    <col min="9214" max="9215" width="11.85546875" style="1" customWidth="1"/>
    <col min="9216" max="9217" width="11.140625" style="1" customWidth="1"/>
    <col min="9218" max="9218" width="11.5703125" style="1" customWidth="1"/>
    <col min="9219" max="9219" width="10.28515625" style="1" customWidth="1"/>
    <col min="9220" max="9220" width="10.5703125" style="1" customWidth="1"/>
    <col min="9221" max="9221" width="11" style="1" customWidth="1"/>
    <col min="9222" max="9222" width="9.7109375" style="1" customWidth="1"/>
    <col min="9223" max="9223" width="31.42578125" style="1" customWidth="1"/>
    <col min="9224" max="9467" width="9.140625" style="1"/>
    <col min="9468" max="9468" width="6.140625" style="1" customWidth="1"/>
    <col min="9469" max="9469" width="37" style="1" customWidth="1"/>
    <col min="9470" max="9471" width="11.85546875" style="1" customWidth="1"/>
    <col min="9472" max="9473" width="11.140625" style="1" customWidth="1"/>
    <col min="9474" max="9474" width="11.5703125" style="1" customWidth="1"/>
    <col min="9475" max="9475" width="10.28515625" style="1" customWidth="1"/>
    <col min="9476" max="9476" width="10.5703125" style="1" customWidth="1"/>
    <col min="9477" max="9477" width="11" style="1" customWidth="1"/>
    <col min="9478" max="9478" width="9.7109375" style="1" customWidth="1"/>
    <col min="9479" max="9479" width="31.42578125" style="1" customWidth="1"/>
    <col min="9480" max="9723" width="9.140625" style="1"/>
    <col min="9724" max="9724" width="6.140625" style="1" customWidth="1"/>
    <col min="9725" max="9725" width="37" style="1" customWidth="1"/>
    <col min="9726" max="9727" width="11.85546875" style="1" customWidth="1"/>
    <col min="9728" max="9729" width="11.140625" style="1" customWidth="1"/>
    <col min="9730" max="9730" width="11.5703125" style="1" customWidth="1"/>
    <col min="9731" max="9731" width="10.28515625" style="1" customWidth="1"/>
    <col min="9732" max="9732" width="10.5703125" style="1" customWidth="1"/>
    <col min="9733" max="9733" width="11" style="1" customWidth="1"/>
    <col min="9734" max="9734" width="9.7109375" style="1" customWidth="1"/>
    <col min="9735" max="9735" width="31.42578125" style="1" customWidth="1"/>
    <col min="9736" max="9979" width="9.140625" style="1"/>
    <col min="9980" max="9980" width="6.140625" style="1" customWidth="1"/>
    <col min="9981" max="9981" width="37" style="1" customWidth="1"/>
    <col min="9982" max="9983" width="11.85546875" style="1" customWidth="1"/>
    <col min="9984" max="9985" width="11.140625" style="1" customWidth="1"/>
    <col min="9986" max="9986" width="11.5703125" style="1" customWidth="1"/>
    <col min="9987" max="9987" width="10.28515625" style="1" customWidth="1"/>
    <col min="9988" max="9988" width="10.5703125" style="1" customWidth="1"/>
    <col min="9989" max="9989" width="11" style="1" customWidth="1"/>
    <col min="9990" max="9990" width="9.7109375" style="1" customWidth="1"/>
    <col min="9991" max="9991" width="31.42578125" style="1" customWidth="1"/>
    <col min="9992" max="10235" width="9.140625" style="1"/>
    <col min="10236" max="10236" width="6.140625" style="1" customWidth="1"/>
    <col min="10237" max="10237" width="37" style="1" customWidth="1"/>
    <col min="10238" max="10239" width="11.85546875" style="1" customWidth="1"/>
    <col min="10240" max="10241" width="11.140625" style="1" customWidth="1"/>
    <col min="10242" max="10242" width="11.5703125" style="1" customWidth="1"/>
    <col min="10243" max="10243" width="10.28515625" style="1" customWidth="1"/>
    <col min="10244" max="10244" width="10.5703125" style="1" customWidth="1"/>
    <col min="10245" max="10245" width="11" style="1" customWidth="1"/>
    <col min="10246" max="10246" width="9.7109375" style="1" customWidth="1"/>
    <col min="10247" max="10247" width="31.42578125" style="1" customWidth="1"/>
    <col min="10248" max="10491" width="9.140625" style="1"/>
    <col min="10492" max="10492" width="6.140625" style="1" customWidth="1"/>
    <col min="10493" max="10493" width="37" style="1" customWidth="1"/>
    <col min="10494" max="10495" width="11.85546875" style="1" customWidth="1"/>
    <col min="10496" max="10497" width="11.140625" style="1" customWidth="1"/>
    <col min="10498" max="10498" width="11.5703125" style="1" customWidth="1"/>
    <col min="10499" max="10499" width="10.28515625" style="1" customWidth="1"/>
    <col min="10500" max="10500" width="10.5703125" style="1" customWidth="1"/>
    <col min="10501" max="10501" width="11" style="1" customWidth="1"/>
    <col min="10502" max="10502" width="9.7109375" style="1" customWidth="1"/>
    <col min="10503" max="10503" width="31.42578125" style="1" customWidth="1"/>
    <col min="10504" max="10747" width="9.140625" style="1"/>
    <col min="10748" max="10748" width="6.140625" style="1" customWidth="1"/>
    <col min="10749" max="10749" width="37" style="1" customWidth="1"/>
    <col min="10750" max="10751" width="11.85546875" style="1" customWidth="1"/>
    <col min="10752" max="10753" width="11.140625" style="1" customWidth="1"/>
    <col min="10754" max="10754" width="11.5703125" style="1" customWidth="1"/>
    <col min="10755" max="10755" width="10.28515625" style="1" customWidth="1"/>
    <col min="10756" max="10756" width="10.5703125" style="1" customWidth="1"/>
    <col min="10757" max="10757" width="11" style="1" customWidth="1"/>
    <col min="10758" max="10758" width="9.7109375" style="1" customWidth="1"/>
    <col min="10759" max="10759" width="31.42578125" style="1" customWidth="1"/>
    <col min="10760" max="11003" width="9.140625" style="1"/>
    <col min="11004" max="11004" width="6.140625" style="1" customWidth="1"/>
    <col min="11005" max="11005" width="37" style="1" customWidth="1"/>
    <col min="11006" max="11007" width="11.85546875" style="1" customWidth="1"/>
    <col min="11008" max="11009" width="11.140625" style="1" customWidth="1"/>
    <col min="11010" max="11010" width="11.5703125" style="1" customWidth="1"/>
    <col min="11011" max="11011" width="10.28515625" style="1" customWidth="1"/>
    <col min="11012" max="11012" width="10.5703125" style="1" customWidth="1"/>
    <col min="11013" max="11013" width="11" style="1" customWidth="1"/>
    <col min="11014" max="11014" width="9.7109375" style="1" customWidth="1"/>
    <col min="11015" max="11015" width="31.42578125" style="1" customWidth="1"/>
    <col min="11016" max="11259" width="9.140625" style="1"/>
    <col min="11260" max="11260" width="6.140625" style="1" customWidth="1"/>
    <col min="11261" max="11261" width="37" style="1" customWidth="1"/>
    <col min="11262" max="11263" width="11.85546875" style="1" customWidth="1"/>
    <col min="11264" max="11265" width="11.140625" style="1" customWidth="1"/>
    <col min="11266" max="11266" width="11.5703125" style="1" customWidth="1"/>
    <col min="11267" max="11267" width="10.28515625" style="1" customWidth="1"/>
    <col min="11268" max="11268" width="10.5703125" style="1" customWidth="1"/>
    <col min="11269" max="11269" width="11" style="1" customWidth="1"/>
    <col min="11270" max="11270" width="9.7109375" style="1" customWidth="1"/>
    <col min="11271" max="11271" width="31.42578125" style="1" customWidth="1"/>
    <col min="11272" max="11515" width="9.140625" style="1"/>
    <col min="11516" max="11516" width="6.140625" style="1" customWidth="1"/>
    <col min="11517" max="11517" width="37" style="1" customWidth="1"/>
    <col min="11518" max="11519" width="11.85546875" style="1" customWidth="1"/>
    <col min="11520" max="11521" width="11.140625" style="1" customWidth="1"/>
    <col min="11522" max="11522" width="11.5703125" style="1" customWidth="1"/>
    <col min="11523" max="11523" width="10.28515625" style="1" customWidth="1"/>
    <col min="11524" max="11524" width="10.5703125" style="1" customWidth="1"/>
    <col min="11525" max="11525" width="11" style="1" customWidth="1"/>
    <col min="11526" max="11526" width="9.7109375" style="1" customWidth="1"/>
    <col min="11527" max="11527" width="31.42578125" style="1" customWidth="1"/>
    <col min="11528" max="11771" width="9.140625" style="1"/>
    <col min="11772" max="11772" width="6.140625" style="1" customWidth="1"/>
    <col min="11773" max="11773" width="37" style="1" customWidth="1"/>
    <col min="11774" max="11775" width="11.85546875" style="1" customWidth="1"/>
    <col min="11776" max="11777" width="11.140625" style="1" customWidth="1"/>
    <col min="11778" max="11778" width="11.5703125" style="1" customWidth="1"/>
    <col min="11779" max="11779" width="10.28515625" style="1" customWidth="1"/>
    <col min="11780" max="11780" width="10.5703125" style="1" customWidth="1"/>
    <col min="11781" max="11781" width="11" style="1" customWidth="1"/>
    <col min="11782" max="11782" width="9.7109375" style="1" customWidth="1"/>
    <col min="11783" max="11783" width="31.42578125" style="1" customWidth="1"/>
    <col min="11784" max="12027" width="9.140625" style="1"/>
    <col min="12028" max="12028" width="6.140625" style="1" customWidth="1"/>
    <col min="12029" max="12029" width="37" style="1" customWidth="1"/>
    <col min="12030" max="12031" width="11.85546875" style="1" customWidth="1"/>
    <col min="12032" max="12033" width="11.140625" style="1" customWidth="1"/>
    <col min="12034" max="12034" width="11.5703125" style="1" customWidth="1"/>
    <col min="12035" max="12035" width="10.28515625" style="1" customWidth="1"/>
    <col min="12036" max="12036" width="10.5703125" style="1" customWidth="1"/>
    <col min="12037" max="12037" width="11" style="1" customWidth="1"/>
    <col min="12038" max="12038" width="9.7109375" style="1" customWidth="1"/>
    <col min="12039" max="12039" width="31.42578125" style="1" customWidth="1"/>
    <col min="12040" max="12283" width="9.140625" style="1"/>
    <col min="12284" max="12284" width="6.140625" style="1" customWidth="1"/>
    <col min="12285" max="12285" width="37" style="1" customWidth="1"/>
    <col min="12286" max="12287" width="11.85546875" style="1" customWidth="1"/>
    <col min="12288" max="12289" width="11.140625" style="1" customWidth="1"/>
    <col min="12290" max="12290" width="11.5703125" style="1" customWidth="1"/>
    <col min="12291" max="12291" width="10.28515625" style="1" customWidth="1"/>
    <col min="12292" max="12292" width="10.5703125" style="1" customWidth="1"/>
    <col min="12293" max="12293" width="11" style="1" customWidth="1"/>
    <col min="12294" max="12294" width="9.7109375" style="1" customWidth="1"/>
    <col min="12295" max="12295" width="31.42578125" style="1" customWidth="1"/>
    <col min="12296" max="12539" width="9.140625" style="1"/>
    <col min="12540" max="12540" width="6.140625" style="1" customWidth="1"/>
    <col min="12541" max="12541" width="37" style="1" customWidth="1"/>
    <col min="12542" max="12543" width="11.85546875" style="1" customWidth="1"/>
    <col min="12544" max="12545" width="11.140625" style="1" customWidth="1"/>
    <col min="12546" max="12546" width="11.5703125" style="1" customWidth="1"/>
    <col min="12547" max="12547" width="10.28515625" style="1" customWidth="1"/>
    <col min="12548" max="12548" width="10.5703125" style="1" customWidth="1"/>
    <col min="12549" max="12549" width="11" style="1" customWidth="1"/>
    <col min="12550" max="12550" width="9.7109375" style="1" customWidth="1"/>
    <col min="12551" max="12551" width="31.42578125" style="1" customWidth="1"/>
    <col min="12552" max="12795" width="9.140625" style="1"/>
    <col min="12796" max="12796" width="6.140625" style="1" customWidth="1"/>
    <col min="12797" max="12797" width="37" style="1" customWidth="1"/>
    <col min="12798" max="12799" width="11.85546875" style="1" customWidth="1"/>
    <col min="12800" max="12801" width="11.140625" style="1" customWidth="1"/>
    <col min="12802" max="12802" width="11.5703125" style="1" customWidth="1"/>
    <col min="12803" max="12803" width="10.28515625" style="1" customWidth="1"/>
    <col min="12804" max="12804" width="10.5703125" style="1" customWidth="1"/>
    <col min="12805" max="12805" width="11" style="1" customWidth="1"/>
    <col min="12806" max="12806" width="9.7109375" style="1" customWidth="1"/>
    <col min="12807" max="12807" width="31.42578125" style="1" customWidth="1"/>
    <col min="12808" max="13051" width="9.140625" style="1"/>
    <col min="13052" max="13052" width="6.140625" style="1" customWidth="1"/>
    <col min="13053" max="13053" width="37" style="1" customWidth="1"/>
    <col min="13054" max="13055" width="11.85546875" style="1" customWidth="1"/>
    <col min="13056" max="13057" width="11.140625" style="1" customWidth="1"/>
    <col min="13058" max="13058" width="11.5703125" style="1" customWidth="1"/>
    <col min="13059" max="13059" width="10.28515625" style="1" customWidth="1"/>
    <col min="13060" max="13060" width="10.5703125" style="1" customWidth="1"/>
    <col min="13061" max="13061" width="11" style="1" customWidth="1"/>
    <col min="13062" max="13062" width="9.7109375" style="1" customWidth="1"/>
    <col min="13063" max="13063" width="31.42578125" style="1" customWidth="1"/>
    <col min="13064" max="13307" width="9.140625" style="1"/>
    <col min="13308" max="13308" width="6.140625" style="1" customWidth="1"/>
    <col min="13309" max="13309" width="37" style="1" customWidth="1"/>
    <col min="13310" max="13311" width="11.85546875" style="1" customWidth="1"/>
    <col min="13312" max="13313" width="11.140625" style="1" customWidth="1"/>
    <col min="13314" max="13314" width="11.5703125" style="1" customWidth="1"/>
    <col min="13315" max="13315" width="10.28515625" style="1" customWidth="1"/>
    <col min="13316" max="13316" width="10.5703125" style="1" customWidth="1"/>
    <col min="13317" max="13317" width="11" style="1" customWidth="1"/>
    <col min="13318" max="13318" width="9.7109375" style="1" customWidth="1"/>
    <col min="13319" max="13319" width="31.42578125" style="1" customWidth="1"/>
    <col min="13320" max="13563" width="9.140625" style="1"/>
    <col min="13564" max="13564" width="6.140625" style="1" customWidth="1"/>
    <col min="13565" max="13565" width="37" style="1" customWidth="1"/>
    <col min="13566" max="13567" width="11.85546875" style="1" customWidth="1"/>
    <col min="13568" max="13569" width="11.140625" style="1" customWidth="1"/>
    <col min="13570" max="13570" width="11.5703125" style="1" customWidth="1"/>
    <col min="13571" max="13571" width="10.28515625" style="1" customWidth="1"/>
    <col min="13572" max="13572" width="10.5703125" style="1" customWidth="1"/>
    <col min="13573" max="13573" width="11" style="1" customWidth="1"/>
    <col min="13574" max="13574" width="9.7109375" style="1" customWidth="1"/>
    <col min="13575" max="13575" width="31.42578125" style="1" customWidth="1"/>
    <col min="13576" max="13819" width="9.140625" style="1"/>
    <col min="13820" max="13820" width="6.140625" style="1" customWidth="1"/>
    <col min="13821" max="13821" width="37" style="1" customWidth="1"/>
    <col min="13822" max="13823" width="11.85546875" style="1" customWidth="1"/>
    <col min="13824" max="13825" width="11.140625" style="1" customWidth="1"/>
    <col min="13826" max="13826" width="11.5703125" style="1" customWidth="1"/>
    <col min="13827" max="13827" width="10.28515625" style="1" customWidth="1"/>
    <col min="13828" max="13828" width="10.5703125" style="1" customWidth="1"/>
    <col min="13829" max="13829" width="11" style="1" customWidth="1"/>
    <col min="13830" max="13830" width="9.7109375" style="1" customWidth="1"/>
    <col min="13831" max="13831" width="31.42578125" style="1" customWidth="1"/>
    <col min="13832" max="14075" width="9.140625" style="1"/>
    <col min="14076" max="14076" width="6.140625" style="1" customWidth="1"/>
    <col min="14077" max="14077" width="37" style="1" customWidth="1"/>
    <col min="14078" max="14079" width="11.85546875" style="1" customWidth="1"/>
    <col min="14080" max="14081" width="11.140625" style="1" customWidth="1"/>
    <col min="14082" max="14082" width="11.5703125" style="1" customWidth="1"/>
    <col min="14083" max="14083" width="10.28515625" style="1" customWidth="1"/>
    <col min="14084" max="14084" width="10.5703125" style="1" customWidth="1"/>
    <col min="14085" max="14085" width="11" style="1" customWidth="1"/>
    <col min="14086" max="14086" width="9.7109375" style="1" customWidth="1"/>
    <col min="14087" max="14087" width="31.42578125" style="1" customWidth="1"/>
    <col min="14088" max="14331" width="9.140625" style="1"/>
    <col min="14332" max="14332" width="6.140625" style="1" customWidth="1"/>
    <col min="14333" max="14333" width="37" style="1" customWidth="1"/>
    <col min="14334" max="14335" width="11.85546875" style="1" customWidth="1"/>
    <col min="14336" max="14337" width="11.140625" style="1" customWidth="1"/>
    <col min="14338" max="14338" width="11.5703125" style="1" customWidth="1"/>
    <col min="14339" max="14339" width="10.28515625" style="1" customWidth="1"/>
    <col min="14340" max="14340" width="10.5703125" style="1" customWidth="1"/>
    <col min="14341" max="14341" width="11" style="1" customWidth="1"/>
    <col min="14342" max="14342" width="9.7109375" style="1" customWidth="1"/>
    <col min="14343" max="14343" width="31.42578125" style="1" customWidth="1"/>
    <col min="14344" max="14587" width="9.140625" style="1"/>
    <col min="14588" max="14588" width="6.140625" style="1" customWidth="1"/>
    <col min="14589" max="14589" width="37" style="1" customWidth="1"/>
    <col min="14590" max="14591" width="11.85546875" style="1" customWidth="1"/>
    <col min="14592" max="14593" width="11.140625" style="1" customWidth="1"/>
    <col min="14594" max="14594" width="11.5703125" style="1" customWidth="1"/>
    <col min="14595" max="14595" width="10.28515625" style="1" customWidth="1"/>
    <col min="14596" max="14596" width="10.5703125" style="1" customWidth="1"/>
    <col min="14597" max="14597" width="11" style="1" customWidth="1"/>
    <col min="14598" max="14598" width="9.7109375" style="1" customWidth="1"/>
    <col min="14599" max="14599" width="31.42578125" style="1" customWidth="1"/>
    <col min="14600" max="14843" width="9.140625" style="1"/>
    <col min="14844" max="14844" width="6.140625" style="1" customWidth="1"/>
    <col min="14845" max="14845" width="37" style="1" customWidth="1"/>
    <col min="14846" max="14847" width="11.85546875" style="1" customWidth="1"/>
    <col min="14848" max="14849" width="11.140625" style="1" customWidth="1"/>
    <col min="14850" max="14850" width="11.5703125" style="1" customWidth="1"/>
    <col min="14851" max="14851" width="10.28515625" style="1" customWidth="1"/>
    <col min="14852" max="14852" width="10.5703125" style="1" customWidth="1"/>
    <col min="14853" max="14853" width="11" style="1" customWidth="1"/>
    <col min="14854" max="14854" width="9.7109375" style="1" customWidth="1"/>
    <col min="14855" max="14855" width="31.42578125" style="1" customWidth="1"/>
    <col min="14856" max="15099" width="9.140625" style="1"/>
    <col min="15100" max="15100" width="6.140625" style="1" customWidth="1"/>
    <col min="15101" max="15101" width="37" style="1" customWidth="1"/>
    <col min="15102" max="15103" width="11.85546875" style="1" customWidth="1"/>
    <col min="15104" max="15105" width="11.140625" style="1" customWidth="1"/>
    <col min="15106" max="15106" width="11.5703125" style="1" customWidth="1"/>
    <col min="15107" max="15107" width="10.28515625" style="1" customWidth="1"/>
    <col min="15108" max="15108" width="10.5703125" style="1" customWidth="1"/>
    <col min="15109" max="15109" width="11" style="1" customWidth="1"/>
    <col min="15110" max="15110" width="9.7109375" style="1" customWidth="1"/>
    <col min="15111" max="15111" width="31.42578125" style="1" customWidth="1"/>
    <col min="15112" max="15355" width="9.140625" style="1"/>
    <col min="15356" max="15356" width="6.140625" style="1" customWidth="1"/>
    <col min="15357" max="15357" width="37" style="1" customWidth="1"/>
    <col min="15358" max="15359" width="11.85546875" style="1" customWidth="1"/>
    <col min="15360" max="15361" width="11.140625" style="1" customWidth="1"/>
    <col min="15362" max="15362" width="11.5703125" style="1" customWidth="1"/>
    <col min="15363" max="15363" width="10.28515625" style="1" customWidth="1"/>
    <col min="15364" max="15364" width="10.5703125" style="1" customWidth="1"/>
    <col min="15365" max="15365" width="11" style="1" customWidth="1"/>
    <col min="15366" max="15366" width="9.7109375" style="1" customWidth="1"/>
    <col min="15367" max="15367" width="31.42578125" style="1" customWidth="1"/>
    <col min="15368" max="15611" width="9.140625" style="1"/>
    <col min="15612" max="15612" width="6.140625" style="1" customWidth="1"/>
    <col min="15613" max="15613" width="37" style="1" customWidth="1"/>
    <col min="15614" max="15615" width="11.85546875" style="1" customWidth="1"/>
    <col min="15616" max="15617" width="11.140625" style="1" customWidth="1"/>
    <col min="15618" max="15618" width="11.5703125" style="1" customWidth="1"/>
    <col min="15619" max="15619" width="10.28515625" style="1" customWidth="1"/>
    <col min="15620" max="15620" width="10.5703125" style="1" customWidth="1"/>
    <col min="15621" max="15621" width="11" style="1" customWidth="1"/>
    <col min="15622" max="15622" width="9.7109375" style="1" customWidth="1"/>
    <col min="15623" max="15623" width="31.42578125" style="1" customWidth="1"/>
    <col min="15624" max="15867" width="9.140625" style="1"/>
    <col min="15868" max="15868" width="6.140625" style="1" customWidth="1"/>
    <col min="15869" max="15869" width="37" style="1" customWidth="1"/>
    <col min="15870" max="15871" width="11.85546875" style="1" customWidth="1"/>
    <col min="15872" max="15873" width="11.140625" style="1" customWidth="1"/>
    <col min="15874" max="15874" width="11.5703125" style="1" customWidth="1"/>
    <col min="15875" max="15875" width="10.28515625" style="1" customWidth="1"/>
    <col min="15876" max="15876" width="10.5703125" style="1" customWidth="1"/>
    <col min="15877" max="15877" width="11" style="1" customWidth="1"/>
    <col min="15878" max="15878" width="9.7109375" style="1" customWidth="1"/>
    <col min="15879" max="15879" width="31.42578125" style="1" customWidth="1"/>
    <col min="15880" max="16123" width="9.140625" style="1"/>
    <col min="16124" max="16124" width="6.140625" style="1" customWidth="1"/>
    <col min="16125" max="16125" width="37" style="1" customWidth="1"/>
    <col min="16126" max="16127" width="11.85546875" style="1" customWidth="1"/>
    <col min="16128" max="16129" width="11.140625" style="1" customWidth="1"/>
    <col min="16130" max="16130" width="11.5703125" style="1" customWidth="1"/>
    <col min="16131" max="16131" width="10.28515625" style="1" customWidth="1"/>
    <col min="16132" max="16132" width="10.5703125" style="1" customWidth="1"/>
    <col min="16133" max="16133" width="11" style="1" customWidth="1"/>
    <col min="16134" max="16134" width="9.7109375" style="1" customWidth="1"/>
    <col min="16135" max="16135" width="31.42578125" style="1" customWidth="1"/>
    <col min="16136" max="16384" width="9.140625" style="1"/>
  </cols>
  <sheetData>
    <row r="1" spans="1:11" ht="16.5" customHeight="1" x14ac:dyDescent="0.25">
      <c r="B1" s="1034" t="s">
        <v>1275</v>
      </c>
      <c r="C1" s="1034"/>
      <c r="D1" s="1034"/>
      <c r="E1" s="1034"/>
      <c r="F1" s="1034"/>
      <c r="G1" s="1034"/>
      <c r="H1" s="1034"/>
      <c r="I1" s="1034"/>
      <c r="J1" s="1034"/>
      <c r="K1" s="1034"/>
    </row>
    <row r="2" spans="1:11" ht="16.5" x14ac:dyDescent="0.25">
      <c r="G2" s="950"/>
      <c r="H2" s="950"/>
      <c r="I2" s="950"/>
      <c r="J2" s="950"/>
      <c r="K2" s="951" t="s">
        <v>1184</v>
      </c>
    </row>
    <row r="3" spans="1:11" ht="16.5" x14ac:dyDescent="0.25">
      <c r="G3" s="950"/>
      <c r="H3" s="950"/>
      <c r="I3" s="950"/>
      <c r="J3" s="950"/>
      <c r="K3" s="951" t="s">
        <v>1185</v>
      </c>
    </row>
    <row r="6" spans="1:11" x14ac:dyDescent="0.2">
      <c r="A6" s="1" t="s">
        <v>298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x14ac:dyDescent="0.2">
      <c r="B7" s="144"/>
      <c r="C7" s="145"/>
      <c r="D7" s="145"/>
      <c r="E7" s="145"/>
      <c r="F7" s="145"/>
      <c r="G7" s="145"/>
      <c r="H7" s="145"/>
      <c r="I7" s="372"/>
      <c r="J7" s="145"/>
      <c r="K7" s="145"/>
    </row>
    <row r="8" spans="1:11" ht="15.75" x14ac:dyDescent="0.25">
      <c r="A8" s="1044" t="s">
        <v>291</v>
      </c>
      <c r="B8" s="1044"/>
      <c r="C8" s="1044"/>
      <c r="D8" s="1044"/>
      <c r="E8" s="1044"/>
      <c r="F8" s="1044"/>
      <c r="G8" s="1044"/>
      <c r="H8" s="1044"/>
      <c r="I8" s="1044"/>
      <c r="J8" s="1044"/>
      <c r="K8" s="1044"/>
    </row>
    <row r="9" spans="1:11" ht="15.75" x14ac:dyDescent="0.25">
      <c r="A9" s="146"/>
      <c r="B9" s="146"/>
      <c r="C9" s="146"/>
      <c r="D9" s="146"/>
      <c r="E9" s="146"/>
      <c r="F9" s="146"/>
      <c r="G9" s="146"/>
      <c r="H9" s="146"/>
      <c r="I9" s="373"/>
      <c r="J9" s="146"/>
      <c r="K9" s="146"/>
    </row>
    <row r="10" spans="1:11" ht="15.75" x14ac:dyDescent="0.25">
      <c r="A10" s="1" t="s">
        <v>1272</v>
      </c>
      <c r="C10" s="147"/>
      <c r="D10" s="237"/>
      <c r="E10" s="144"/>
      <c r="F10" s="144"/>
      <c r="G10" s="144"/>
      <c r="H10" s="144"/>
      <c r="I10" s="374"/>
      <c r="J10" s="144"/>
      <c r="K10" s="144"/>
    </row>
    <row r="11" spans="1:11" ht="15.75" x14ac:dyDescent="0.25">
      <c r="C11" s="237"/>
      <c r="D11" s="237"/>
      <c r="E11" s="144"/>
      <c r="F11" s="144"/>
      <c r="G11" s="144"/>
      <c r="H11" s="144"/>
      <c r="I11" s="374"/>
      <c r="J11" s="144"/>
      <c r="K11" s="144"/>
    </row>
    <row r="12" spans="1:11" x14ac:dyDescent="0.2">
      <c r="A12" s="1" t="s">
        <v>1273</v>
      </c>
      <c r="C12" s="149"/>
      <c r="D12" s="149"/>
      <c r="E12" s="149"/>
      <c r="F12" s="149"/>
      <c r="G12" s="149"/>
      <c r="H12" s="149"/>
      <c r="I12" s="375"/>
      <c r="J12" s="149"/>
      <c r="K12" s="149"/>
    </row>
    <row r="13" spans="1:11" x14ac:dyDescent="0.2">
      <c r="A13" s="1" t="s">
        <v>1274</v>
      </c>
      <c r="C13" s="347"/>
      <c r="D13" s="347"/>
      <c r="E13" s="149"/>
      <c r="F13" s="149"/>
      <c r="G13" s="149"/>
      <c r="H13" s="149"/>
      <c r="I13" s="375"/>
      <c r="J13" s="149"/>
      <c r="K13" s="149"/>
    </row>
    <row r="14" spans="1:11" x14ac:dyDescent="0.2">
      <c r="A14" s="1102" t="s">
        <v>1</v>
      </c>
      <c r="B14" s="1152" t="s">
        <v>2</v>
      </c>
      <c r="C14" s="1102" t="s">
        <v>26</v>
      </c>
      <c r="D14" s="1102"/>
      <c r="E14" s="1102" t="s">
        <v>61</v>
      </c>
      <c r="F14" s="1102"/>
      <c r="G14" s="1102" t="s">
        <v>28</v>
      </c>
      <c r="H14" s="1102"/>
      <c r="I14" s="1045" t="s">
        <v>6</v>
      </c>
      <c r="J14" s="1102" t="s">
        <v>1190</v>
      </c>
      <c r="K14" s="1102"/>
    </row>
    <row r="15" spans="1:11" ht="24" x14ac:dyDescent="0.2">
      <c r="A15" s="1102"/>
      <c r="B15" s="1152"/>
      <c r="C15" s="143" t="s">
        <v>7</v>
      </c>
      <c r="D15" s="153" t="s">
        <v>8</v>
      </c>
      <c r="E15" s="153" t="s">
        <v>7</v>
      </c>
      <c r="F15" s="153" t="s">
        <v>8</v>
      </c>
      <c r="G15" s="153" t="s">
        <v>7</v>
      </c>
      <c r="H15" s="153" t="s">
        <v>8</v>
      </c>
      <c r="I15" s="1045"/>
      <c r="J15" s="143" t="s">
        <v>7</v>
      </c>
      <c r="K15" s="143" t="s">
        <v>8</v>
      </c>
    </row>
    <row r="16" spans="1:11" x14ac:dyDescent="0.2">
      <c r="A16" s="1153" t="s">
        <v>300</v>
      </c>
      <c r="B16" s="1153"/>
      <c r="C16" s="200">
        <f t="shared" ref="C16:H16" si="0">SUM(C17:C57)</f>
        <v>143033</v>
      </c>
      <c r="D16" s="200">
        <f t="shared" si="0"/>
        <v>2708</v>
      </c>
      <c r="E16" s="200">
        <f t="shared" si="0"/>
        <v>140922</v>
      </c>
      <c r="F16" s="200">
        <f t="shared" si="0"/>
        <v>2708</v>
      </c>
      <c r="G16" s="200">
        <f>SUM(G17:G57)</f>
        <v>245286</v>
      </c>
      <c r="H16" s="200">
        <f t="shared" si="0"/>
        <v>4463</v>
      </c>
      <c r="I16" s="151"/>
      <c r="J16" s="200">
        <f>SUM(J17:J57)</f>
        <v>140287</v>
      </c>
      <c r="K16" s="200">
        <f>SUM(K17:K57)</f>
        <v>7640</v>
      </c>
    </row>
    <row r="17" spans="1:11" ht="12.75" x14ac:dyDescent="0.2">
      <c r="A17" s="348">
        <v>1</v>
      </c>
      <c r="B17" s="256" t="s">
        <v>912</v>
      </c>
      <c r="C17" s="208"/>
      <c r="D17" s="208"/>
      <c r="E17" s="208"/>
      <c r="F17" s="208"/>
      <c r="G17" s="208"/>
      <c r="H17" s="208"/>
      <c r="I17" s="157"/>
      <c r="J17" s="208"/>
      <c r="K17" s="208"/>
    </row>
    <row r="18" spans="1:11" x14ac:dyDescent="0.2">
      <c r="A18" s="349" t="s">
        <v>335</v>
      </c>
      <c r="B18" s="201" t="s">
        <v>913</v>
      </c>
      <c r="C18" s="208">
        <v>2135</v>
      </c>
      <c r="D18" s="208">
        <v>0</v>
      </c>
      <c r="E18" s="208">
        <v>2135</v>
      </c>
      <c r="F18" s="208"/>
      <c r="G18" s="208">
        <v>2800</v>
      </c>
      <c r="H18" s="208"/>
      <c r="I18" s="151">
        <v>2279</v>
      </c>
      <c r="J18" s="208">
        <v>2800</v>
      </c>
      <c r="K18" s="208"/>
    </row>
    <row r="19" spans="1:11" x14ac:dyDescent="0.2">
      <c r="A19" s="143" t="s">
        <v>32</v>
      </c>
      <c r="B19" s="201" t="s">
        <v>914</v>
      </c>
      <c r="C19" s="208">
        <v>7115</v>
      </c>
      <c r="D19" s="208">
        <v>0</v>
      </c>
      <c r="E19" s="208">
        <v>6500</v>
      </c>
      <c r="F19" s="208"/>
      <c r="G19" s="208">
        <v>5000</v>
      </c>
      <c r="H19" s="208"/>
      <c r="I19" s="151">
        <v>2279</v>
      </c>
      <c r="J19" s="208">
        <v>5000</v>
      </c>
      <c r="K19" s="208"/>
    </row>
    <row r="20" spans="1:11" ht="12.75" x14ac:dyDescent="0.2">
      <c r="A20" s="348">
        <v>2</v>
      </c>
      <c r="B20" s="256" t="s">
        <v>915</v>
      </c>
      <c r="C20" s="208"/>
      <c r="D20" s="208"/>
      <c r="E20" s="208"/>
      <c r="F20" s="208"/>
      <c r="G20" s="208"/>
      <c r="H20" s="208"/>
      <c r="I20" s="151"/>
      <c r="J20" s="208"/>
      <c r="K20" s="208"/>
    </row>
    <row r="21" spans="1:11" x14ac:dyDescent="0.2">
      <c r="A21" s="1102" t="s">
        <v>35</v>
      </c>
      <c r="B21" s="1152" t="s">
        <v>916</v>
      </c>
      <c r="C21" s="208">
        <v>1068</v>
      </c>
      <c r="D21" s="208">
        <v>0</v>
      </c>
      <c r="E21" s="208">
        <v>793</v>
      </c>
      <c r="F21" s="208"/>
      <c r="G21" s="208">
        <v>800</v>
      </c>
      <c r="H21" s="208"/>
      <c r="I21" s="151">
        <v>2121</v>
      </c>
      <c r="J21" s="208">
        <v>800</v>
      </c>
      <c r="K21" s="208"/>
    </row>
    <row r="22" spans="1:11" x14ac:dyDescent="0.2">
      <c r="A22" s="1102"/>
      <c r="B22" s="1152"/>
      <c r="C22" s="257">
        <v>6403</v>
      </c>
      <c r="D22" s="208">
        <v>0</v>
      </c>
      <c r="E22" s="208">
        <v>6049</v>
      </c>
      <c r="F22" s="208"/>
      <c r="G22" s="208">
        <v>5000</v>
      </c>
      <c r="H22" s="208"/>
      <c r="I22" s="151">
        <v>2122</v>
      </c>
      <c r="J22" s="208">
        <v>5000</v>
      </c>
      <c r="K22" s="208"/>
    </row>
    <row r="23" spans="1:11" x14ac:dyDescent="0.2">
      <c r="A23" s="1102"/>
      <c r="B23" s="1152"/>
      <c r="C23" s="257">
        <v>46</v>
      </c>
      <c r="D23" s="208">
        <v>0</v>
      </c>
      <c r="E23" s="208">
        <v>20</v>
      </c>
      <c r="F23" s="208"/>
      <c r="G23" s="208">
        <v>30</v>
      </c>
      <c r="H23" s="208"/>
      <c r="I23" s="151">
        <v>2314</v>
      </c>
      <c r="J23" s="208">
        <v>30</v>
      </c>
      <c r="K23" s="208"/>
    </row>
    <row r="24" spans="1:11" x14ac:dyDescent="0.2">
      <c r="A24" s="1102" t="s">
        <v>36</v>
      </c>
      <c r="B24" s="1152" t="s">
        <v>917</v>
      </c>
      <c r="C24" s="203">
        <v>712</v>
      </c>
      <c r="D24" s="208">
        <v>0</v>
      </c>
      <c r="E24" s="208">
        <v>224</v>
      </c>
      <c r="F24" s="208"/>
      <c r="G24" s="208">
        <v>400</v>
      </c>
      <c r="H24" s="208"/>
      <c r="I24" s="151">
        <v>2121</v>
      </c>
      <c r="J24" s="208">
        <v>300</v>
      </c>
      <c r="K24" s="208"/>
    </row>
    <row r="25" spans="1:11" x14ac:dyDescent="0.2">
      <c r="A25" s="1102"/>
      <c r="B25" s="1152"/>
      <c r="C25" s="203">
        <v>1423</v>
      </c>
      <c r="D25" s="208">
        <v>0</v>
      </c>
      <c r="E25" s="208">
        <v>1166</v>
      </c>
      <c r="F25" s="208"/>
      <c r="G25" s="208">
        <v>1500</v>
      </c>
      <c r="H25" s="208"/>
      <c r="I25" s="151">
        <v>2122</v>
      </c>
      <c r="J25" s="208">
        <v>1200</v>
      </c>
      <c r="K25" s="208"/>
    </row>
    <row r="26" spans="1:11" ht="12.75" x14ac:dyDescent="0.2">
      <c r="A26" s="348">
        <v>3</v>
      </c>
      <c r="B26" s="256" t="s">
        <v>918</v>
      </c>
      <c r="C26" s="205"/>
      <c r="D26" s="208"/>
      <c r="E26" s="208"/>
      <c r="F26" s="208"/>
      <c r="G26" s="208"/>
      <c r="H26" s="208"/>
      <c r="I26" s="151"/>
      <c r="J26" s="208"/>
      <c r="K26" s="208"/>
    </row>
    <row r="27" spans="1:11" x14ac:dyDescent="0.2">
      <c r="A27" s="202" t="s">
        <v>37</v>
      </c>
      <c r="B27" s="201" t="s">
        <v>919</v>
      </c>
      <c r="C27" s="257">
        <v>28457</v>
      </c>
      <c r="D27" s="208">
        <v>0</v>
      </c>
      <c r="E27" s="203">
        <v>28456</v>
      </c>
      <c r="F27" s="203"/>
      <c r="G27" s="203">
        <v>30000</v>
      </c>
      <c r="H27" s="203"/>
      <c r="I27" s="163">
        <v>2314</v>
      </c>
      <c r="J27" s="208">
        <v>29000</v>
      </c>
      <c r="K27" s="208"/>
    </row>
    <row r="28" spans="1:11" x14ac:dyDescent="0.2">
      <c r="A28" s="202" t="s">
        <v>38</v>
      </c>
      <c r="B28" s="350" t="s">
        <v>920</v>
      </c>
      <c r="C28" s="203">
        <v>3497</v>
      </c>
      <c r="D28" s="208">
        <v>0</v>
      </c>
      <c r="E28" s="203">
        <v>3496</v>
      </c>
      <c r="F28" s="203"/>
      <c r="G28" s="203">
        <v>3800</v>
      </c>
      <c r="H28" s="203"/>
      <c r="I28" s="163">
        <v>2314</v>
      </c>
      <c r="J28" s="208">
        <v>3800</v>
      </c>
      <c r="K28" s="208"/>
    </row>
    <row r="29" spans="1:11" x14ac:dyDescent="0.2">
      <c r="A29" s="143" t="s">
        <v>39</v>
      </c>
      <c r="B29" s="206" t="s">
        <v>921</v>
      </c>
      <c r="C29" s="257">
        <v>1357</v>
      </c>
      <c r="D29" s="208">
        <v>0</v>
      </c>
      <c r="E29" s="257">
        <v>1357</v>
      </c>
      <c r="F29" s="257"/>
      <c r="G29" s="257">
        <v>2000</v>
      </c>
      <c r="H29" s="257"/>
      <c r="I29" s="156">
        <v>2314</v>
      </c>
      <c r="J29" s="208">
        <v>1500</v>
      </c>
      <c r="K29" s="208"/>
    </row>
    <row r="30" spans="1:11" x14ac:dyDescent="0.2">
      <c r="A30" s="143" t="s">
        <v>40</v>
      </c>
      <c r="B30" s="201" t="s">
        <v>923</v>
      </c>
      <c r="C30" s="157">
        <v>636</v>
      </c>
      <c r="D30" s="208">
        <v>0</v>
      </c>
      <c r="E30" s="208">
        <v>635</v>
      </c>
      <c r="F30" s="208"/>
      <c r="G30" s="208">
        <v>2100</v>
      </c>
      <c r="H30" s="208"/>
      <c r="I30" s="151">
        <v>2314</v>
      </c>
      <c r="J30" s="208">
        <v>2100</v>
      </c>
      <c r="K30" s="208"/>
    </row>
    <row r="31" spans="1:11" x14ac:dyDescent="0.2">
      <c r="A31" s="143" t="s">
        <v>922</v>
      </c>
      <c r="B31" s="201" t="s">
        <v>925</v>
      </c>
      <c r="C31" s="157">
        <v>2875</v>
      </c>
      <c r="D31" s="208">
        <v>0</v>
      </c>
      <c r="E31" s="208">
        <v>2875</v>
      </c>
      <c r="F31" s="208"/>
      <c r="G31" s="208">
        <v>5750</v>
      </c>
      <c r="H31" s="208"/>
      <c r="I31" s="151">
        <v>2314</v>
      </c>
      <c r="J31" s="208">
        <v>5750</v>
      </c>
      <c r="K31" s="208"/>
    </row>
    <row r="32" spans="1:11" x14ac:dyDescent="0.2">
      <c r="A32" s="143" t="s">
        <v>924</v>
      </c>
      <c r="B32" s="201" t="s">
        <v>927</v>
      </c>
      <c r="C32" s="208">
        <v>107</v>
      </c>
      <c r="D32" s="208">
        <v>0</v>
      </c>
      <c r="E32" s="208">
        <v>106</v>
      </c>
      <c r="F32" s="208"/>
      <c r="G32" s="208">
        <v>800</v>
      </c>
      <c r="H32" s="208"/>
      <c r="I32" s="151">
        <v>2314</v>
      </c>
      <c r="J32" s="208">
        <v>800</v>
      </c>
      <c r="K32" s="208"/>
    </row>
    <row r="33" spans="1:11" x14ac:dyDescent="0.2">
      <c r="A33" s="349" t="s">
        <v>926</v>
      </c>
      <c r="B33" s="201" t="s">
        <v>929</v>
      </c>
      <c r="C33" s="208">
        <v>314</v>
      </c>
      <c r="D33" s="208">
        <v>0</v>
      </c>
      <c r="E33" s="208">
        <v>313</v>
      </c>
      <c r="F33" s="208"/>
      <c r="G33" s="208">
        <v>600</v>
      </c>
      <c r="H33" s="208"/>
      <c r="I33" s="151">
        <v>2314</v>
      </c>
      <c r="J33" s="208">
        <v>600</v>
      </c>
      <c r="K33" s="208"/>
    </row>
    <row r="34" spans="1:11" x14ac:dyDescent="0.2">
      <c r="A34" s="143" t="s">
        <v>928</v>
      </c>
      <c r="B34" s="201" t="s">
        <v>931</v>
      </c>
      <c r="C34" s="208">
        <v>291</v>
      </c>
      <c r="D34" s="208">
        <v>0</v>
      </c>
      <c r="E34" s="208">
        <v>290</v>
      </c>
      <c r="F34" s="208"/>
      <c r="G34" s="208">
        <v>300</v>
      </c>
      <c r="H34" s="208"/>
      <c r="I34" s="151">
        <v>2314</v>
      </c>
      <c r="J34" s="208">
        <v>300</v>
      </c>
      <c r="K34" s="208"/>
    </row>
    <row r="35" spans="1:11" x14ac:dyDescent="0.2">
      <c r="A35" s="143" t="s">
        <v>930</v>
      </c>
      <c r="B35" s="201" t="s">
        <v>932</v>
      </c>
      <c r="C35" s="208">
        <v>0</v>
      </c>
      <c r="D35" s="208">
        <v>0</v>
      </c>
      <c r="E35" s="208">
        <v>0</v>
      </c>
      <c r="F35" s="208">
        <v>0</v>
      </c>
      <c r="G35" s="208">
        <v>1000</v>
      </c>
      <c r="H35" s="208"/>
      <c r="I35" s="151">
        <v>2314</v>
      </c>
      <c r="J35" s="208">
        <v>1000</v>
      </c>
      <c r="K35" s="208"/>
    </row>
    <row r="36" spans="1:11" ht="12.75" x14ac:dyDescent="0.2">
      <c r="A36" s="348">
        <v>4</v>
      </c>
      <c r="B36" s="256" t="s">
        <v>13</v>
      </c>
      <c r="C36" s="208"/>
      <c r="D36" s="208">
        <v>0</v>
      </c>
      <c r="E36" s="208"/>
      <c r="F36" s="208"/>
      <c r="G36" s="208"/>
      <c r="H36" s="208"/>
      <c r="I36" s="151"/>
      <c r="J36" s="208"/>
      <c r="K36" s="208"/>
    </row>
    <row r="37" spans="1:11" x14ac:dyDescent="0.2">
      <c r="A37" s="143" t="s">
        <v>42</v>
      </c>
      <c r="B37" s="201" t="s">
        <v>933</v>
      </c>
      <c r="C37" s="208">
        <v>2842</v>
      </c>
      <c r="D37" s="208">
        <v>0</v>
      </c>
      <c r="E37" s="208">
        <v>2842</v>
      </c>
      <c r="F37" s="208"/>
      <c r="G37" s="208">
        <v>4000</v>
      </c>
      <c r="H37" s="208"/>
      <c r="I37" s="151">
        <v>2279</v>
      </c>
      <c r="J37" s="208">
        <v>2900</v>
      </c>
      <c r="K37" s="208"/>
    </row>
    <row r="38" spans="1:11" x14ac:dyDescent="0.2">
      <c r="A38" s="143" t="s">
        <v>43</v>
      </c>
      <c r="B38" s="201" t="s">
        <v>934</v>
      </c>
      <c r="C38" s="208">
        <v>854</v>
      </c>
      <c r="D38" s="208">
        <v>0</v>
      </c>
      <c r="E38" s="208">
        <v>854</v>
      </c>
      <c r="F38" s="208"/>
      <c r="G38" s="208">
        <v>854</v>
      </c>
      <c r="H38" s="208"/>
      <c r="I38" s="151">
        <v>2279</v>
      </c>
      <c r="J38" s="208">
        <v>854</v>
      </c>
      <c r="K38" s="208"/>
    </row>
    <row r="39" spans="1:11" x14ac:dyDescent="0.2">
      <c r="A39" s="143" t="s">
        <v>44</v>
      </c>
      <c r="B39" s="201" t="s">
        <v>935</v>
      </c>
      <c r="C39" s="208">
        <v>0</v>
      </c>
      <c r="D39" s="208">
        <v>0</v>
      </c>
      <c r="E39" s="208">
        <v>0</v>
      </c>
      <c r="F39" s="208">
        <v>0</v>
      </c>
      <c r="G39" s="208">
        <v>800</v>
      </c>
      <c r="H39" s="208"/>
      <c r="I39" s="151">
        <v>2279</v>
      </c>
      <c r="J39" s="208">
        <v>800</v>
      </c>
      <c r="K39" s="208"/>
    </row>
    <row r="40" spans="1:11" ht="12.75" x14ac:dyDescent="0.2">
      <c r="A40" s="348">
        <v>5</v>
      </c>
      <c r="B40" s="256" t="s">
        <v>936</v>
      </c>
      <c r="C40" s="208"/>
      <c r="D40" s="208"/>
      <c r="E40" s="208"/>
      <c r="F40" s="208"/>
      <c r="G40" s="208"/>
      <c r="H40" s="208"/>
      <c r="I40" s="151"/>
      <c r="J40" s="208"/>
      <c r="K40" s="208"/>
    </row>
    <row r="41" spans="1:11" ht="36" x14ac:dyDescent="0.2">
      <c r="A41" s="143" t="s">
        <v>47</v>
      </c>
      <c r="B41" s="201" t="s">
        <v>937</v>
      </c>
      <c r="C41" s="208">
        <v>25249</v>
      </c>
      <c r="D41" s="208">
        <v>0</v>
      </c>
      <c r="E41" s="208">
        <v>25229</v>
      </c>
      <c r="F41" s="208">
        <v>0</v>
      </c>
      <c r="G41" s="208">
        <v>144189</v>
      </c>
      <c r="H41" s="208">
        <v>0</v>
      </c>
      <c r="I41" s="151">
        <v>2239</v>
      </c>
      <c r="J41" s="208">
        <f>42000</f>
        <v>42000</v>
      </c>
      <c r="K41" s="208">
        <v>3177</v>
      </c>
    </row>
    <row r="42" spans="1:11" x14ac:dyDescent="0.2">
      <c r="A42" s="143" t="s">
        <v>48</v>
      </c>
      <c r="B42" s="201" t="s">
        <v>938</v>
      </c>
      <c r="C42" s="208">
        <v>2135</v>
      </c>
      <c r="D42" s="208">
        <v>0</v>
      </c>
      <c r="E42" s="208">
        <v>2129</v>
      </c>
      <c r="F42" s="208">
        <v>0</v>
      </c>
      <c r="G42" s="208">
        <v>2200</v>
      </c>
      <c r="H42" s="208">
        <v>0</v>
      </c>
      <c r="I42" s="151">
        <v>2232</v>
      </c>
      <c r="J42" s="208">
        <v>2200</v>
      </c>
      <c r="K42" s="208"/>
    </row>
    <row r="43" spans="1:11" ht="24" x14ac:dyDescent="0.2">
      <c r="A43" s="143" t="s">
        <v>49</v>
      </c>
      <c r="B43" s="158" t="s">
        <v>939</v>
      </c>
      <c r="C43" s="208">
        <v>20099</v>
      </c>
      <c r="D43" s="208">
        <v>0</v>
      </c>
      <c r="E43" s="208">
        <v>20099</v>
      </c>
      <c r="F43" s="208">
        <v>0</v>
      </c>
      <c r="G43" s="257">
        <v>5000</v>
      </c>
      <c r="H43" s="208">
        <v>0</v>
      </c>
      <c r="I43" s="156">
        <v>2231</v>
      </c>
      <c r="J43" s="208">
        <v>5000</v>
      </c>
      <c r="K43" s="258"/>
    </row>
    <row r="44" spans="1:11" x14ac:dyDescent="0.2">
      <c r="A44" s="1102" t="s">
        <v>50</v>
      </c>
      <c r="B44" s="1152" t="s">
        <v>940</v>
      </c>
      <c r="C44" s="208">
        <v>110</v>
      </c>
      <c r="D44" s="208">
        <v>0</v>
      </c>
      <c r="E44" s="208">
        <v>110</v>
      </c>
      <c r="F44" s="208">
        <v>0</v>
      </c>
      <c r="G44" s="208">
        <v>110</v>
      </c>
      <c r="H44" s="208">
        <v>0</v>
      </c>
      <c r="I44" s="151">
        <v>2243</v>
      </c>
      <c r="J44" s="208">
        <v>300</v>
      </c>
      <c r="K44" s="208"/>
    </row>
    <row r="45" spans="1:11" x14ac:dyDescent="0.2">
      <c r="A45" s="1102"/>
      <c r="B45" s="1152"/>
      <c r="C45" s="208">
        <v>10837</v>
      </c>
      <c r="D45" s="208">
        <v>0</v>
      </c>
      <c r="E45" s="208">
        <v>10837</v>
      </c>
      <c r="F45" s="208">
        <v>0</v>
      </c>
      <c r="G45" s="208">
        <v>5000</v>
      </c>
      <c r="H45" s="208">
        <v>0</v>
      </c>
      <c r="I45" s="151">
        <v>2312</v>
      </c>
      <c r="J45" s="208">
        <v>5000</v>
      </c>
      <c r="K45" s="208"/>
    </row>
    <row r="46" spans="1:11" ht="24" x14ac:dyDescent="0.2">
      <c r="A46" s="143" t="s">
        <v>499</v>
      </c>
      <c r="B46" s="201" t="s">
        <v>941</v>
      </c>
      <c r="C46" s="208">
        <v>11205</v>
      </c>
      <c r="D46" s="208">
        <v>0</v>
      </c>
      <c r="E46" s="208">
        <v>11204</v>
      </c>
      <c r="F46" s="208">
        <v>0</v>
      </c>
      <c r="G46" s="208">
        <v>8408</v>
      </c>
      <c r="H46" s="208"/>
      <c r="I46" s="151">
        <v>2231</v>
      </c>
      <c r="J46" s="208">
        <v>8408</v>
      </c>
      <c r="K46" s="208"/>
    </row>
    <row r="47" spans="1:11" x14ac:dyDescent="0.2">
      <c r="A47" s="143" t="s">
        <v>501</v>
      </c>
      <c r="B47" s="201" t="s">
        <v>942</v>
      </c>
      <c r="C47" s="208">
        <v>6860</v>
      </c>
      <c r="D47" s="208">
        <v>0</v>
      </c>
      <c r="E47" s="208">
        <v>6797</v>
      </c>
      <c r="F47" s="157">
        <v>0</v>
      </c>
      <c r="G47" s="157">
        <v>4315</v>
      </c>
      <c r="H47" s="157">
        <v>2036</v>
      </c>
      <c r="I47" s="156">
        <v>5239</v>
      </c>
      <c r="J47" s="157">
        <v>4315</v>
      </c>
      <c r="K47" s="157">
        <v>2036</v>
      </c>
    </row>
    <row r="48" spans="1:11" x14ac:dyDescent="0.2">
      <c r="A48" s="143" t="s">
        <v>503</v>
      </c>
      <c r="B48" s="201" t="s">
        <v>943</v>
      </c>
      <c r="C48" s="208">
        <v>0</v>
      </c>
      <c r="D48" s="208">
        <v>0</v>
      </c>
      <c r="E48" s="208">
        <v>0</v>
      </c>
      <c r="F48" s="157">
        <v>0</v>
      </c>
      <c r="G48" s="157">
        <v>2750</v>
      </c>
      <c r="H48" s="157">
        <v>0</v>
      </c>
      <c r="I48" s="156">
        <v>2314</v>
      </c>
      <c r="J48" s="157">
        <v>2750</v>
      </c>
      <c r="K48" s="157"/>
    </row>
    <row r="49" spans="1:11" x14ac:dyDescent="0.2">
      <c r="A49" s="143">
        <v>6</v>
      </c>
      <c r="B49" s="201" t="s">
        <v>944</v>
      </c>
      <c r="C49" s="208">
        <v>0</v>
      </c>
      <c r="D49" s="208">
        <v>427</v>
      </c>
      <c r="E49" s="208">
        <v>0</v>
      </c>
      <c r="F49" s="157">
        <v>427</v>
      </c>
      <c r="G49" s="157">
        <v>0</v>
      </c>
      <c r="H49" s="157">
        <v>427</v>
      </c>
      <c r="I49" s="151">
        <v>2390</v>
      </c>
      <c r="J49" s="157"/>
      <c r="K49" s="157">
        <v>427</v>
      </c>
    </row>
    <row r="50" spans="1:11" x14ac:dyDescent="0.2">
      <c r="A50" s="143">
        <v>7</v>
      </c>
      <c r="B50" s="201" t="s">
        <v>945</v>
      </c>
      <c r="C50" s="208">
        <v>0</v>
      </c>
      <c r="D50" s="208">
        <v>2281</v>
      </c>
      <c r="E50" s="208">
        <v>0</v>
      </c>
      <c r="F50" s="157">
        <v>2281</v>
      </c>
      <c r="G50" s="157">
        <v>0</v>
      </c>
      <c r="H50" s="157">
        <v>2000</v>
      </c>
      <c r="I50" s="151">
        <v>2512</v>
      </c>
      <c r="J50" s="157"/>
      <c r="K50" s="157">
        <v>2000</v>
      </c>
    </row>
    <row r="51" spans="1:11" ht="12.75" x14ac:dyDescent="0.2">
      <c r="A51" s="348">
        <v>8</v>
      </c>
      <c r="B51" s="256" t="s">
        <v>947</v>
      </c>
      <c r="C51" s="208"/>
      <c r="D51" s="208"/>
      <c r="E51" s="208"/>
      <c r="F51" s="208"/>
      <c r="G51" s="208"/>
      <c r="H51" s="208"/>
      <c r="I51" s="151"/>
      <c r="J51" s="208"/>
      <c r="K51" s="208"/>
    </row>
    <row r="52" spans="1:11" ht="24" x14ac:dyDescent="0.2">
      <c r="A52" s="351" t="s">
        <v>66</v>
      </c>
      <c r="B52" s="201" t="s">
        <v>948</v>
      </c>
      <c r="C52" s="208">
        <v>2135</v>
      </c>
      <c r="D52" s="208">
        <v>0</v>
      </c>
      <c r="E52" s="208">
        <v>2135</v>
      </c>
      <c r="F52" s="208">
        <v>0</v>
      </c>
      <c r="G52" s="208">
        <v>2135</v>
      </c>
      <c r="H52" s="208">
        <v>0</v>
      </c>
      <c r="I52" s="151">
        <v>2239</v>
      </c>
      <c r="J52" s="208">
        <v>2135</v>
      </c>
      <c r="K52" s="208"/>
    </row>
    <row r="53" spans="1:11" ht="24" x14ac:dyDescent="0.2">
      <c r="A53" s="143" t="s">
        <v>97</v>
      </c>
      <c r="B53" s="201" t="s">
        <v>946</v>
      </c>
      <c r="C53" s="208">
        <v>1068</v>
      </c>
      <c r="D53" s="208">
        <v>0</v>
      </c>
      <c r="E53" s="208">
        <v>1068</v>
      </c>
      <c r="F53" s="208">
        <v>0</v>
      </c>
      <c r="G53" s="208">
        <v>1000</v>
      </c>
      <c r="H53" s="208">
        <v>0</v>
      </c>
      <c r="I53" s="151">
        <v>2231</v>
      </c>
      <c r="J53" s="208">
        <v>1000</v>
      </c>
      <c r="K53" s="208"/>
    </row>
    <row r="54" spans="1:11" ht="24" x14ac:dyDescent="0.2">
      <c r="A54" s="143" t="s">
        <v>98</v>
      </c>
      <c r="B54" s="201" t="s">
        <v>949</v>
      </c>
      <c r="C54" s="208">
        <v>854</v>
      </c>
      <c r="D54" s="208">
        <v>0</v>
      </c>
      <c r="E54" s="208">
        <v>854</v>
      </c>
      <c r="F54" s="208">
        <v>0</v>
      </c>
      <c r="G54" s="208">
        <v>854</v>
      </c>
      <c r="H54" s="208">
        <v>0</v>
      </c>
      <c r="I54" s="151">
        <v>2239</v>
      </c>
      <c r="J54" s="208">
        <v>854</v>
      </c>
      <c r="K54" s="208"/>
    </row>
    <row r="55" spans="1:11" x14ac:dyDescent="0.2">
      <c r="A55" s="1102" t="s">
        <v>660</v>
      </c>
      <c r="B55" s="1152" t="s">
        <v>950</v>
      </c>
      <c r="C55" s="352">
        <v>137</v>
      </c>
      <c r="D55" s="208">
        <v>0</v>
      </c>
      <c r="E55" s="352">
        <v>137</v>
      </c>
      <c r="F55" s="352">
        <v>0</v>
      </c>
      <c r="G55" s="352">
        <v>137</v>
      </c>
      <c r="H55" s="352">
        <v>0</v>
      </c>
      <c r="I55" s="966">
        <v>2121</v>
      </c>
      <c r="J55" s="208">
        <v>137</v>
      </c>
      <c r="K55" s="208"/>
    </row>
    <row r="56" spans="1:11" x14ac:dyDescent="0.2">
      <c r="A56" s="1102"/>
      <c r="B56" s="1152"/>
      <c r="C56" s="208">
        <v>1358</v>
      </c>
      <c r="D56" s="208">
        <v>0</v>
      </c>
      <c r="E56" s="208">
        <v>1358</v>
      </c>
      <c r="F56" s="208">
        <v>0</v>
      </c>
      <c r="G56" s="208">
        <v>800</v>
      </c>
      <c r="H56" s="208">
        <v>0</v>
      </c>
      <c r="I56" s="151">
        <v>2122</v>
      </c>
      <c r="J56" s="208">
        <v>800</v>
      </c>
      <c r="K56" s="208"/>
    </row>
    <row r="57" spans="1:11" x14ac:dyDescent="0.2">
      <c r="A57" s="202" t="s">
        <v>662</v>
      </c>
      <c r="B57" s="201" t="s">
        <v>951</v>
      </c>
      <c r="C57" s="352">
        <v>854</v>
      </c>
      <c r="D57" s="208">
        <v>0</v>
      </c>
      <c r="E57" s="352">
        <v>854</v>
      </c>
      <c r="F57" s="352">
        <v>0</v>
      </c>
      <c r="G57" s="352">
        <v>854</v>
      </c>
      <c r="H57" s="352">
        <v>0</v>
      </c>
      <c r="I57" s="966">
        <v>2239</v>
      </c>
      <c r="J57" s="208">
        <v>854</v>
      </c>
      <c r="K57" s="208"/>
    </row>
    <row r="58" spans="1:11" x14ac:dyDescent="0.2">
      <c r="C58" s="34"/>
      <c r="D58" s="34"/>
      <c r="E58" s="34"/>
      <c r="F58" s="34"/>
      <c r="G58" s="34"/>
      <c r="H58" s="34"/>
      <c r="J58" s="207"/>
      <c r="K58" s="207"/>
    </row>
    <row r="59" spans="1:11" x14ac:dyDescent="0.2">
      <c r="A59" s="165"/>
      <c r="B59" s="165"/>
      <c r="C59" s="165"/>
      <c r="D59" s="165"/>
      <c r="E59" s="165"/>
      <c r="F59" s="165"/>
      <c r="G59" s="165"/>
      <c r="H59" s="165"/>
      <c r="I59" s="376"/>
      <c r="J59" s="165"/>
      <c r="K59" s="165"/>
    </row>
  </sheetData>
  <sortState ref="C61:I62">
    <sortCondition ref="I61:I62"/>
  </sortState>
  <mergeCells count="18">
    <mergeCell ref="A55:A56"/>
    <mergeCell ref="B55:B56"/>
    <mergeCell ref="A16:B16"/>
    <mergeCell ref="A21:A23"/>
    <mergeCell ref="B21:B23"/>
    <mergeCell ref="A24:A25"/>
    <mergeCell ref="B24:B25"/>
    <mergeCell ref="A44:A45"/>
    <mergeCell ref="B44:B45"/>
    <mergeCell ref="E14:F14"/>
    <mergeCell ref="G14:H14"/>
    <mergeCell ref="I14:I15"/>
    <mergeCell ref="J14:K14"/>
    <mergeCell ref="B1:K1"/>
    <mergeCell ref="A8:K8"/>
    <mergeCell ref="A14:A15"/>
    <mergeCell ref="B14:B15"/>
    <mergeCell ref="C14:D14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99"/>
  </sheetPr>
  <dimension ref="A1:K282"/>
  <sheetViews>
    <sheetView zoomScale="115" zoomScaleNormal="115" zoomScaleSheetLayoutView="100" workbookViewId="0">
      <selection activeCell="B2" sqref="B2"/>
    </sheetView>
  </sheetViews>
  <sheetFormatPr defaultRowHeight="12.75" x14ac:dyDescent="0.2"/>
  <cols>
    <col min="1" max="1" width="5.7109375" style="322" customWidth="1"/>
    <col min="2" max="2" width="64.28515625" style="322" customWidth="1"/>
    <col min="3" max="3" width="11" style="566" hidden="1" customWidth="1"/>
    <col min="4" max="4" width="8.5703125" style="322" hidden="1" customWidth="1"/>
    <col min="5" max="5" width="9.5703125" style="322" hidden="1" customWidth="1"/>
    <col min="6" max="7" width="0" style="322" hidden="1" customWidth="1"/>
    <col min="8" max="8" width="9.85546875" style="324" customWidth="1"/>
    <col min="9" max="9" width="8.5703125" style="322" customWidth="1"/>
    <col min="10" max="252" width="9.140625" style="322"/>
    <col min="253" max="253" width="7" style="322" customWidth="1"/>
    <col min="254" max="254" width="26.5703125" style="322" customWidth="1"/>
    <col min="255" max="255" width="11" style="322" customWidth="1"/>
    <col min="256" max="256" width="8.5703125" style="322" customWidth="1"/>
    <col min="257" max="257" width="9.5703125" style="322" customWidth="1"/>
    <col min="258" max="259" width="9.140625" style="322"/>
    <col min="260" max="260" width="10.42578125" style="322" customWidth="1"/>
    <col min="261" max="261" width="8.5703125" style="322" customWidth="1"/>
    <col min="262" max="262" width="14.140625" style="322" customWidth="1"/>
    <col min="263" max="264" width="9.140625" style="322"/>
    <col min="265" max="265" width="11.140625" style="322" customWidth="1"/>
    <col min="266" max="508" width="9.140625" style="322"/>
    <col min="509" max="509" width="7" style="322" customWidth="1"/>
    <col min="510" max="510" width="26.5703125" style="322" customWidth="1"/>
    <col min="511" max="511" width="11" style="322" customWidth="1"/>
    <col min="512" max="512" width="8.5703125" style="322" customWidth="1"/>
    <col min="513" max="513" width="9.5703125" style="322" customWidth="1"/>
    <col min="514" max="515" width="9.140625" style="322"/>
    <col min="516" max="516" width="10.42578125" style="322" customWidth="1"/>
    <col min="517" max="517" width="8.5703125" style="322" customWidth="1"/>
    <col min="518" max="518" width="14.140625" style="322" customWidth="1"/>
    <col min="519" max="520" width="9.140625" style="322"/>
    <col min="521" max="521" width="11.140625" style="322" customWidth="1"/>
    <col min="522" max="764" width="9.140625" style="322"/>
    <col min="765" max="765" width="7" style="322" customWidth="1"/>
    <col min="766" max="766" width="26.5703125" style="322" customWidth="1"/>
    <col min="767" max="767" width="11" style="322" customWidth="1"/>
    <col min="768" max="768" width="8.5703125" style="322" customWidth="1"/>
    <col min="769" max="769" width="9.5703125" style="322" customWidth="1"/>
    <col min="770" max="771" width="9.140625" style="322"/>
    <col min="772" max="772" width="10.42578125" style="322" customWidth="1"/>
    <col min="773" max="773" width="8.5703125" style="322" customWidth="1"/>
    <col min="774" max="774" width="14.140625" style="322" customWidth="1"/>
    <col min="775" max="776" width="9.140625" style="322"/>
    <col min="777" max="777" width="11.140625" style="322" customWidth="1"/>
    <col min="778" max="1020" width="9.140625" style="322"/>
    <col min="1021" max="1021" width="7" style="322" customWidth="1"/>
    <col min="1022" max="1022" width="26.5703125" style="322" customWidth="1"/>
    <col min="1023" max="1023" width="11" style="322" customWidth="1"/>
    <col min="1024" max="1024" width="8.5703125" style="322" customWidth="1"/>
    <col min="1025" max="1025" width="9.5703125" style="322" customWidth="1"/>
    <col min="1026" max="1027" width="9.140625" style="322"/>
    <col min="1028" max="1028" width="10.42578125" style="322" customWidth="1"/>
    <col min="1029" max="1029" width="8.5703125" style="322" customWidth="1"/>
    <col min="1030" max="1030" width="14.140625" style="322" customWidth="1"/>
    <col min="1031" max="1032" width="9.140625" style="322"/>
    <col min="1033" max="1033" width="11.140625" style="322" customWidth="1"/>
    <col min="1034" max="1276" width="9.140625" style="322"/>
    <col min="1277" max="1277" width="7" style="322" customWidth="1"/>
    <col min="1278" max="1278" width="26.5703125" style="322" customWidth="1"/>
    <col min="1279" max="1279" width="11" style="322" customWidth="1"/>
    <col min="1280" max="1280" width="8.5703125" style="322" customWidth="1"/>
    <col min="1281" max="1281" width="9.5703125" style="322" customWidth="1"/>
    <col min="1282" max="1283" width="9.140625" style="322"/>
    <col min="1284" max="1284" width="10.42578125" style="322" customWidth="1"/>
    <col min="1285" max="1285" width="8.5703125" style="322" customWidth="1"/>
    <col min="1286" max="1286" width="14.140625" style="322" customWidth="1"/>
    <col min="1287" max="1288" width="9.140625" style="322"/>
    <col min="1289" max="1289" width="11.140625" style="322" customWidth="1"/>
    <col min="1290" max="1532" width="9.140625" style="322"/>
    <col min="1533" max="1533" width="7" style="322" customWidth="1"/>
    <col min="1534" max="1534" width="26.5703125" style="322" customWidth="1"/>
    <col min="1535" max="1535" width="11" style="322" customWidth="1"/>
    <col min="1536" max="1536" width="8.5703125" style="322" customWidth="1"/>
    <col min="1537" max="1537" width="9.5703125" style="322" customWidth="1"/>
    <col min="1538" max="1539" width="9.140625" style="322"/>
    <col min="1540" max="1540" width="10.42578125" style="322" customWidth="1"/>
    <col min="1541" max="1541" width="8.5703125" style="322" customWidth="1"/>
    <col min="1542" max="1542" width="14.140625" style="322" customWidth="1"/>
    <col min="1543" max="1544" width="9.140625" style="322"/>
    <col min="1545" max="1545" width="11.140625" style="322" customWidth="1"/>
    <col min="1546" max="1788" width="9.140625" style="322"/>
    <col min="1789" max="1789" width="7" style="322" customWidth="1"/>
    <col min="1790" max="1790" width="26.5703125" style="322" customWidth="1"/>
    <col min="1791" max="1791" width="11" style="322" customWidth="1"/>
    <col min="1792" max="1792" width="8.5703125" style="322" customWidth="1"/>
    <col min="1793" max="1793" width="9.5703125" style="322" customWidth="1"/>
    <col min="1794" max="1795" width="9.140625" style="322"/>
    <col min="1796" max="1796" width="10.42578125" style="322" customWidth="1"/>
    <col min="1797" max="1797" width="8.5703125" style="322" customWidth="1"/>
    <col min="1798" max="1798" width="14.140625" style="322" customWidth="1"/>
    <col min="1799" max="1800" width="9.140625" style="322"/>
    <col min="1801" max="1801" width="11.140625" style="322" customWidth="1"/>
    <col min="1802" max="2044" width="9.140625" style="322"/>
    <col min="2045" max="2045" width="7" style="322" customWidth="1"/>
    <col min="2046" max="2046" width="26.5703125" style="322" customWidth="1"/>
    <col min="2047" max="2047" width="11" style="322" customWidth="1"/>
    <col min="2048" max="2048" width="8.5703125" style="322" customWidth="1"/>
    <col min="2049" max="2049" width="9.5703125" style="322" customWidth="1"/>
    <col min="2050" max="2051" width="9.140625" style="322"/>
    <col min="2052" max="2052" width="10.42578125" style="322" customWidth="1"/>
    <col min="2053" max="2053" width="8.5703125" style="322" customWidth="1"/>
    <col min="2054" max="2054" width="14.140625" style="322" customWidth="1"/>
    <col min="2055" max="2056" width="9.140625" style="322"/>
    <col min="2057" max="2057" width="11.140625" style="322" customWidth="1"/>
    <col min="2058" max="2300" width="9.140625" style="322"/>
    <col min="2301" max="2301" width="7" style="322" customWidth="1"/>
    <col min="2302" max="2302" width="26.5703125" style="322" customWidth="1"/>
    <col min="2303" max="2303" width="11" style="322" customWidth="1"/>
    <col min="2304" max="2304" width="8.5703125" style="322" customWidth="1"/>
    <col min="2305" max="2305" width="9.5703125" style="322" customWidth="1"/>
    <col min="2306" max="2307" width="9.140625" style="322"/>
    <col min="2308" max="2308" width="10.42578125" style="322" customWidth="1"/>
    <col min="2309" max="2309" width="8.5703125" style="322" customWidth="1"/>
    <col min="2310" max="2310" width="14.140625" style="322" customWidth="1"/>
    <col min="2311" max="2312" width="9.140625" style="322"/>
    <col min="2313" max="2313" width="11.140625" style="322" customWidth="1"/>
    <col min="2314" max="2556" width="9.140625" style="322"/>
    <col min="2557" max="2557" width="7" style="322" customWidth="1"/>
    <col min="2558" max="2558" width="26.5703125" style="322" customWidth="1"/>
    <col min="2559" max="2559" width="11" style="322" customWidth="1"/>
    <col min="2560" max="2560" width="8.5703125" style="322" customWidth="1"/>
    <col min="2561" max="2561" width="9.5703125" style="322" customWidth="1"/>
    <col min="2562" max="2563" width="9.140625" style="322"/>
    <col min="2564" max="2564" width="10.42578125" style="322" customWidth="1"/>
    <col min="2565" max="2565" width="8.5703125" style="322" customWidth="1"/>
    <col min="2566" max="2566" width="14.140625" style="322" customWidth="1"/>
    <col min="2567" max="2568" width="9.140625" style="322"/>
    <col min="2569" max="2569" width="11.140625" style="322" customWidth="1"/>
    <col min="2570" max="2812" width="9.140625" style="322"/>
    <col min="2813" max="2813" width="7" style="322" customWidth="1"/>
    <col min="2814" max="2814" width="26.5703125" style="322" customWidth="1"/>
    <col min="2815" max="2815" width="11" style="322" customWidth="1"/>
    <col min="2816" max="2816" width="8.5703125" style="322" customWidth="1"/>
    <col min="2817" max="2817" width="9.5703125" style="322" customWidth="1"/>
    <col min="2818" max="2819" width="9.140625" style="322"/>
    <col min="2820" max="2820" width="10.42578125" style="322" customWidth="1"/>
    <col min="2821" max="2821" width="8.5703125" style="322" customWidth="1"/>
    <col min="2822" max="2822" width="14.140625" style="322" customWidth="1"/>
    <col min="2823" max="2824" width="9.140625" style="322"/>
    <col min="2825" max="2825" width="11.140625" style="322" customWidth="1"/>
    <col min="2826" max="3068" width="9.140625" style="322"/>
    <col min="3069" max="3069" width="7" style="322" customWidth="1"/>
    <col min="3070" max="3070" width="26.5703125" style="322" customWidth="1"/>
    <col min="3071" max="3071" width="11" style="322" customWidth="1"/>
    <col min="3072" max="3072" width="8.5703125" style="322" customWidth="1"/>
    <col min="3073" max="3073" width="9.5703125" style="322" customWidth="1"/>
    <col min="3074" max="3075" width="9.140625" style="322"/>
    <col min="3076" max="3076" width="10.42578125" style="322" customWidth="1"/>
    <col min="3077" max="3077" width="8.5703125" style="322" customWidth="1"/>
    <col min="3078" max="3078" width="14.140625" style="322" customWidth="1"/>
    <col min="3079" max="3080" width="9.140625" style="322"/>
    <col min="3081" max="3081" width="11.140625" style="322" customWidth="1"/>
    <col min="3082" max="3324" width="9.140625" style="322"/>
    <col min="3325" max="3325" width="7" style="322" customWidth="1"/>
    <col min="3326" max="3326" width="26.5703125" style="322" customWidth="1"/>
    <col min="3327" max="3327" width="11" style="322" customWidth="1"/>
    <col min="3328" max="3328" width="8.5703125" style="322" customWidth="1"/>
    <col min="3329" max="3329" width="9.5703125" style="322" customWidth="1"/>
    <col min="3330" max="3331" width="9.140625" style="322"/>
    <col min="3332" max="3332" width="10.42578125" style="322" customWidth="1"/>
    <col min="3333" max="3333" width="8.5703125" style="322" customWidth="1"/>
    <col min="3334" max="3334" width="14.140625" style="322" customWidth="1"/>
    <col min="3335" max="3336" width="9.140625" style="322"/>
    <col min="3337" max="3337" width="11.140625" style="322" customWidth="1"/>
    <col min="3338" max="3580" width="9.140625" style="322"/>
    <col min="3581" max="3581" width="7" style="322" customWidth="1"/>
    <col min="3582" max="3582" width="26.5703125" style="322" customWidth="1"/>
    <col min="3583" max="3583" width="11" style="322" customWidth="1"/>
    <col min="3584" max="3584" width="8.5703125" style="322" customWidth="1"/>
    <col min="3585" max="3585" width="9.5703125" style="322" customWidth="1"/>
    <col min="3586" max="3587" width="9.140625" style="322"/>
    <col min="3588" max="3588" width="10.42578125" style="322" customWidth="1"/>
    <col min="3589" max="3589" width="8.5703125" style="322" customWidth="1"/>
    <col min="3590" max="3590" width="14.140625" style="322" customWidth="1"/>
    <col min="3591" max="3592" width="9.140625" style="322"/>
    <col min="3593" max="3593" width="11.140625" style="322" customWidth="1"/>
    <col min="3594" max="3836" width="9.140625" style="322"/>
    <col min="3837" max="3837" width="7" style="322" customWidth="1"/>
    <col min="3838" max="3838" width="26.5703125" style="322" customWidth="1"/>
    <col min="3839" max="3839" width="11" style="322" customWidth="1"/>
    <col min="3840" max="3840" width="8.5703125" style="322" customWidth="1"/>
    <col min="3841" max="3841" width="9.5703125" style="322" customWidth="1"/>
    <col min="3842" max="3843" width="9.140625" style="322"/>
    <col min="3844" max="3844" width="10.42578125" style="322" customWidth="1"/>
    <col min="3845" max="3845" width="8.5703125" style="322" customWidth="1"/>
    <col min="3846" max="3846" width="14.140625" style="322" customWidth="1"/>
    <col min="3847" max="3848" width="9.140625" style="322"/>
    <col min="3849" max="3849" width="11.140625" style="322" customWidth="1"/>
    <col min="3850" max="4092" width="9.140625" style="322"/>
    <col min="4093" max="4093" width="7" style="322" customWidth="1"/>
    <col min="4094" max="4094" width="26.5703125" style="322" customWidth="1"/>
    <col min="4095" max="4095" width="11" style="322" customWidth="1"/>
    <col min="4096" max="4096" width="8.5703125" style="322" customWidth="1"/>
    <col min="4097" max="4097" width="9.5703125" style="322" customWidth="1"/>
    <col min="4098" max="4099" width="9.140625" style="322"/>
    <col min="4100" max="4100" width="10.42578125" style="322" customWidth="1"/>
    <col min="4101" max="4101" width="8.5703125" style="322" customWidth="1"/>
    <col min="4102" max="4102" width="14.140625" style="322" customWidth="1"/>
    <col min="4103" max="4104" width="9.140625" style="322"/>
    <col min="4105" max="4105" width="11.140625" style="322" customWidth="1"/>
    <col min="4106" max="4348" width="9.140625" style="322"/>
    <col min="4349" max="4349" width="7" style="322" customWidth="1"/>
    <col min="4350" max="4350" width="26.5703125" style="322" customWidth="1"/>
    <col min="4351" max="4351" width="11" style="322" customWidth="1"/>
    <col min="4352" max="4352" width="8.5703125" style="322" customWidth="1"/>
    <col min="4353" max="4353" width="9.5703125" style="322" customWidth="1"/>
    <col min="4354" max="4355" width="9.140625" style="322"/>
    <col min="4356" max="4356" width="10.42578125" style="322" customWidth="1"/>
    <col min="4357" max="4357" width="8.5703125" style="322" customWidth="1"/>
    <col min="4358" max="4358" width="14.140625" style="322" customWidth="1"/>
    <col min="4359" max="4360" width="9.140625" style="322"/>
    <col min="4361" max="4361" width="11.140625" style="322" customWidth="1"/>
    <col min="4362" max="4604" width="9.140625" style="322"/>
    <col min="4605" max="4605" width="7" style="322" customWidth="1"/>
    <col min="4606" max="4606" width="26.5703125" style="322" customWidth="1"/>
    <col min="4607" max="4607" width="11" style="322" customWidth="1"/>
    <col min="4608" max="4608" width="8.5703125" style="322" customWidth="1"/>
    <col min="4609" max="4609" width="9.5703125" style="322" customWidth="1"/>
    <col min="4610" max="4611" width="9.140625" style="322"/>
    <col min="4612" max="4612" width="10.42578125" style="322" customWidth="1"/>
    <col min="4613" max="4613" width="8.5703125" style="322" customWidth="1"/>
    <col min="4614" max="4614" width="14.140625" style="322" customWidth="1"/>
    <col min="4615" max="4616" width="9.140625" style="322"/>
    <col min="4617" max="4617" width="11.140625" style="322" customWidth="1"/>
    <col min="4618" max="4860" width="9.140625" style="322"/>
    <col min="4861" max="4861" width="7" style="322" customWidth="1"/>
    <col min="4862" max="4862" width="26.5703125" style="322" customWidth="1"/>
    <col min="4863" max="4863" width="11" style="322" customWidth="1"/>
    <col min="4864" max="4864" width="8.5703125" style="322" customWidth="1"/>
    <col min="4865" max="4865" width="9.5703125" style="322" customWidth="1"/>
    <col min="4866" max="4867" width="9.140625" style="322"/>
    <col min="4868" max="4868" width="10.42578125" style="322" customWidth="1"/>
    <col min="4869" max="4869" width="8.5703125" style="322" customWidth="1"/>
    <col min="4870" max="4870" width="14.140625" style="322" customWidth="1"/>
    <col min="4871" max="4872" width="9.140625" style="322"/>
    <col min="4873" max="4873" width="11.140625" style="322" customWidth="1"/>
    <col min="4874" max="5116" width="9.140625" style="322"/>
    <col min="5117" max="5117" width="7" style="322" customWidth="1"/>
    <col min="5118" max="5118" width="26.5703125" style="322" customWidth="1"/>
    <col min="5119" max="5119" width="11" style="322" customWidth="1"/>
    <col min="5120" max="5120" width="8.5703125" style="322" customWidth="1"/>
    <col min="5121" max="5121" width="9.5703125" style="322" customWidth="1"/>
    <col min="5122" max="5123" width="9.140625" style="322"/>
    <col min="5124" max="5124" width="10.42578125" style="322" customWidth="1"/>
    <col min="5125" max="5125" width="8.5703125" style="322" customWidth="1"/>
    <col min="5126" max="5126" width="14.140625" style="322" customWidth="1"/>
    <col min="5127" max="5128" width="9.140625" style="322"/>
    <col min="5129" max="5129" width="11.140625" style="322" customWidth="1"/>
    <col min="5130" max="5372" width="9.140625" style="322"/>
    <col min="5373" max="5373" width="7" style="322" customWidth="1"/>
    <col min="5374" max="5374" width="26.5703125" style="322" customWidth="1"/>
    <col min="5375" max="5375" width="11" style="322" customWidth="1"/>
    <col min="5376" max="5376" width="8.5703125" style="322" customWidth="1"/>
    <col min="5377" max="5377" width="9.5703125" style="322" customWidth="1"/>
    <col min="5378" max="5379" width="9.140625" style="322"/>
    <col min="5380" max="5380" width="10.42578125" style="322" customWidth="1"/>
    <col min="5381" max="5381" width="8.5703125" style="322" customWidth="1"/>
    <col min="5382" max="5382" width="14.140625" style="322" customWidth="1"/>
    <col min="5383" max="5384" width="9.140625" style="322"/>
    <col min="5385" max="5385" width="11.140625" style="322" customWidth="1"/>
    <col min="5386" max="5628" width="9.140625" style="322"/>
    <col min="5629" max="5629" width="7" style="322" customWidth="1"/>
    <col min="5630" max="5630" width="26.5703125" style="322" customWidth="1"/>
    <col min="5631" max="5631" width="11" style="322" customWidth="1"/>
    <col min="5632" max="5632" width="8.5703125" style="322" customWidth="1"/>
    <col min="5633" max="5633" width="9.5703125" style="322" customWidth="1"/>
    <col min="5634" max="5635" width="9.140625" style="322"/>
    <col min="5636" max="5636" width="10.42578125" style="322" customWidth="1"/>
    <col min="5637" max="5637" width="8.5703125" style="322" customWidth="1"/>
    <col min="5638" max="5638" width="14.140625" style="322" customWidth="1"/>
    <col min="5639" max="5640" width="9.140625" style="322"/>
    <col min="5641" max="5641" width="11.140625" style="322" customWidth="1"/>
    <col min="5642" max="5884" width="9.140625" style="322"/>
    <col min="5885" max="5885" width="7" style="322" customWidth="1"/>
    <col min="5886" max="5886" width="26.5703125" style="322" customWidth="1"/>
    <col min="5887" max="5887" width="11" style="322" customWidth="1"/>
    <col min="5888" max="5888" width="8.5703125" style="322" customWidth="1"/>
    <col min="5889" max="5889" width="9.5703125" style="322" customWidth="1"/>
    <col min="5890" max="5891" width="9.140625" style="322"/>
    <col min="5892" max="5892" width="10.42578125" style="322" customWidth="1"/>
    <col min="5893" max="5893" width="8.5703125" style="322" customWidth="1"/>
    <col min="5894" max="5894" width="14.140625" style="322" customWidth="1"/>
    <col min="5895" max="5896" width="9.140625" style="322"/>
    <col min="5897" max="5897" width="11.140625" style="322" customWidth="1"/>
    <col min="5898" max="6140" width="9.140625" style="322"/>
    <col min="6141" max="6141" width="7" style="322" customWidth="1"/>
    <col min="6142" max="6142" width="26.5703125" style="322" customWidth="1"/>
    <col min="6143" max="6143" width="11" style="322" customWidth="1"/>
    <col min="6144" max="6144" width="8.5703125" style="322" customWidth="1"/>
    <col min="6145" max="6145" width="9.5703125" style="322" customWidth="1"/>
    <col min="6146" max="6147" width="9.140625" style="322"/>
    <col min="6148" max="6148" width="10.42578125" style="322" customWidth="1"/>
    <col min="6149" max="6149" width="8.5703125" style="322" customWidth="1"/>
    <col min="6150" max="6150" width="14.140625" style="322" customWidth="1"/>
    <col min="6151" max="6152" width="9.140625" style="322"/>
    <col min="6153" max="6153" width="11.140625" style="322" customWidth="1"/>
    <col min="6154" max="6396" width="9.140625" style="322"/>
    <col min="6397" max="6397" width="7" style="322" customWidth="1"/>
    <col min="6398" max="6398" width="26.5703125" style="322" customWidth="1"/>
    <col min="6399" max="6399" width="11" style="322" customWidth="1"/>
    <col min="6400" max="6400" width="8.5703125" style="322" customWidth="1"/>
    <col min="6401" max="6401" width="9.5703125" style="322" customWidth="1"/>
    <col min="6402" max="6403" width="9.140625" style="322"/>
    <col min="6404" max="6404" width="10.42578125" style="322" customWidth="1"/>
    <col min="6405" max="6405" width="8.5703125" style="322" customWidth="1"/>
    <col min="6406" max="6406" width="14.140625" style="322" customWidth="1"/>
    <col min="6407" max="6408" width="9.140625" style="322"/>
    <col min="6409" max="6409" width="11.140625" style="322" customWidth="1"/>
    <col min="6410" max="6652" width="9.140625" style="322"/>
    <col min="6653" max="6653" width="7" style="322" customWidth="1"/>
    <col min="6654" max="6654" width="26.5703125" style="322" customWidth="1"/>
    <col min="6655" max="6655" width="11" style="322" customWidth="1"/>
    <col min="6656" max="6656" width="8.5703125" style="322" customWidth="1"/>
    <col min="6657" max="6657" width="9.5703125" style="322" customWidth="1"/>
    <col min="6658" max="6659" width="9.140625" style="322"/>
    <col min="6660" max="6660" width="10.42578125" style="322" customWidth="1"/>
    <col min="6661" max="6661" width="8.5703125" style="322" customWidth="1"/>
    <col min="6662" max="6662" width="14.140625" style="322" customWidth="1"/>
    <col min="6663" max="6664" width="9.140625" style="322"/>
    <col min="6665" max="6665" width="11.140625" style="322" customWidth="1"/>
    <col min="6666" max="6908" width="9.140625" style="322"/>
    <col min="6909" max="6909" width="7" style="322" customWidth="1"/>
    <col min="6910" max="6910" width="26.5703125" style="322" customWidth="1"/>
    <col min="6911" max="6911" width="11" style="322" customWidth="1"/>
    <col min="6912" max="6912" width="8.5703125" style="322" customWidth="1"/>
    <col min="6913" max="6913" width="9.5703125" style="322" customWidth="1"/>
    <col min="6914" max="6915" width="9.140625" style="322"/>
    <col min="6916" max="6916" width="10.42578125" style="322" customWidth="1"/>
    <col min="6917" max="6917" width="8.5703125" style="322" customWidth="1"/>
    <col min="6918" max="6918" width="14.140625" style="322" customWidth="1"/>
    <col min="6919" max="6920" width="9.140625" style="322"/>
    <col min="6921" max="6921" width="11.140625" style="322" customWidth="1"/>
    <col min="6922" max="7164" width="9.140625" style="322"/>
    <col min="7165" max="7165" width="7" style="322" customWidth="1"/>
    <col min="7166" max="7166" width="26.5703125" style="322" customWidth="1"/>
    <col min="7167" max="7167" width="11" style="322" customWidth="1"/>
    <col min="7168" max="7168" width="8.5703125" style="322" customWidth="1"/>
    <col min="7169" max="7169" width="9.5703125" style="322" customWidth="1"/>
    <col min="7170" max="7171" width="9.140625" style="322"/>
    <col min="7172" max="7172" width="10.42578125" style="322" customWidth="1"/>
    <col min="7173" max="7173" width="8.5703125" style="322" customWidth="1"/>
    <col min="7174" max="7174" width="14.140625" style="322" customWidth="1"/>
    <col min="7175" max="7176" width="9.140625" style="322"/>
    <col min="7177" max="7177" width="11.140625" style="322" customWidth="1"/>
    <col min="7178" max="7420" width="9.140625" style="322"/>
    <col min="7421" max="7421" width="7" style="322" customWidth="1"/>
    <col min="7422" max="7422" width="26.5703125" style="322" customWidth="1"/>
    <col min="7423" max="7423" width="11" style="322" customWidth="1"/>
    <col min="7424" max="7424" width="8.5703125" style="322" customWidth="1"/>
    <col min="7425" max="7425" width="9.5703125" style="322" customWidth="1"/>
    <col min="7426" max="7427" width="9.140625" style="322"/>
    <col min="7428" max="7428" width="10.42578125" style="322" customWidth="1"/>
    <col min="7429" max="7429" width="8.5703125" style="322" customWidth="1"/>
    <col min="7430" max="7430" width="14.140625" style="322" customWidth="1"/>
    <col min="7431" max="7432" width="9.140625" style="322"/>
    <col min="7433" max="7433" width="11.140625" style="322" customWidth="1"/>
    <col min="7434" max="7676" width="9.140625" style="322"/>
    <col min="7677" max="7677" width="7" style="322" customWidth="1"/>
    <col min="7678" max="7678" width="26.5703125" style="322" customWidth="1"/>
    <col min="7679" max="7679" width="11" style="322" customWidth="1"/>
    <col min="7680" max="7680" width="8.5703125" style="322" customWidth="1"/>
    <col min="7681" max="7681" width="9.5703125" style="322" customWidth="1"/>
    <col min="7682" max="7683" width="9.140625" style="322"/>
    <col min="7684" max="7684" width="10.42578125" style="322" customWidth="1"/>
    <col min="7685" max="7685" width="8.5703125" style="322" customWidth="1"/>
    <col min="7686" max="7686" width="14.140625" style="322" customWidth="1"/>
    <col min="7687" max="7688" width="9.140625" style="322"/>
    <col min="7689" max="7689" width="11.140625" style="322" customWidth="1"/>
    <col min="7690" max="7932" width="9.140625" style="322"/>
    <col min="7933" max="7933" width="7" style="322" customWidth="1"/>
    <col min="7934" max="7934" width="26.5703125" style="322" customWidth="1"/>
    <col min="7935" max="7935" width="11" style="322" customWidth="1"/>
    <col min="7936" max="7936" width="8.5703125" style="322" customWidth="1"/>
    <col min="7937" max="7937" width="9.5703125" style="322" customWidth="1"/>
    <col min="7938" max="7939" width="9.140625" style="322"/>
    <col min="7940" max="7940" width="10.42578125" style="322" customWidth="1"/>
    <col min="7941" max="7941" width="8.5703125" style="322" customWidth="1"/>
    <col min="7942" max="7942" width="14.140625" style="322" customWidth="1"/>
    <col min="7943" max="7944" width="9.140625" style="322"/>
    <col min="7945" max="7945" width="11.140625" style="322" customWidth="1"/>
    <col min="7946" max="8188" width="9.140625" style="322"/>
    <col min="8189" max="8189" width="7" style="322" customWidth="1"/>
    <col min="8190" max="8190" width="26.5703125" style="322" customWidth="1"/>
    <col min="8191" max="8191" width="11" style="322" customWidth="1"/>
    <col min="8192" max="8192" width="8.5703125" style="322" customWidth="1"/>
    <col min="8193" max="8193" width="9.5703125" style="322" customWidth="1"/>
    <col min="8194" max="8195" width="9.140625" style="322"/>
    <col min="8196" max="8196" width="10.42578125" style="322" customWidth="1"/>
    <col min="8197" max="8197" width="8.5703125" style="322" customWidth="1"/>
    <col min="8198" max="8198" width="14.140625" style="322" customWidth="1"/>
    <col min="8199" max="8200" width="9.140625" style="322"/>
    <col min="8201" max="8201" width="11.140625" style="322" customWidth="1"/>
    <col min="8202" max="8444" width="9.140625" style="322"/>
    <col min="8445" max="8445" width="7" style="322" customWidth="1"/>
    <col min="8446" max="8446" width="26.5703125" style="322" customWidth="1"/>
    <col min="8447" max="8447" width="11" style="322" customWidth="1"/>
    <col min="8448" max="8448" width="8.5703125" style="322" customWidth="1"/>
    <col min="8449" max="8449" width="9.5703125" style="322" customWidth="1"/>
    <col min="8450" max="8451" width="9.140625" style="322"/>
    <col min="8452" max="8452" width="10.42578125" style="322" customWidth="1"/>
    <col min="8453" max="8453" width="8.5703125" style="322" customWidth="1"/>
    <col min="8454" max="8454" width="14.140625" style="322" customWidth="1"/>
    <col min="8455" max="8456" width="9.140625" style="322"/>
    <col min="8457" max="8457" width="11.140625" style="322" customWidth="1"/>
    <col min="8458" max="8700" width="9.140625" style="322"/>
    <col min="8701" max="8701" width="7" style="322" customWidth="1"/>
    <col min="8702" max="8702" width="26.5703125" style="322" customWidth="1"/>
    <col min="8703" max="8703" width="11" style="322" customWidth="1"/>
    <col min="8704" max="8704" width="8.5703125" style="322" customWidth="1"/>
    <col min="8705" max="8705" width="9.5703125" style="322" customWidth="1"/>
    <col min="8706" max="8707" width="9.140625" style="322"/>
    <col min="8708" max="8708" width="10.42578125" style="322" customWidth="1"/>
    <col min="8709" max="8709" width="8.5703125" style="322" customWidth="1"/>
    <col min="8710" max="8710" width="14.140625" style="322" customWidth="1"/>
    <col min="8711" max="8712" width="9.140625" style="322"/>
    <col min="8713" max="8713" width="11.140625" style="322" customWidth="1"/>
    <col min="8714" max="8956" width="9.140625" style="322"/>
    <col min="8957" max="8957" width="7" style="322" customWidth="1"/>
    <col min="8958" max="8958" width="26.5703125" style="322" customWidth="1"/>
    <col min="8959" max="8959" width="11" style="322" customWidth="1"/>
    <col min="8960" max="8960" width="8.5703125" style="322" customWidth="1"/>
    <col min="8961" max="8961" width="9.5703125" style="322" customWidth="1"/>
    <col min="8962" max="8963" width="9.140625" style="322"/>
    <col min="8964" max="8964" width="10.42578125" style="322" customWidth="1"/>
    <col min="8965" max="8965" width="8.5703125" style="322" customWidth="1"/>
    <col min="8966" max="8966" width="14.140625" style="322" customWidth="1"/>
    <col min="8967" max="8968" width="9.140625" style="322"/>
    <col min="8969" max="8969" width="11.140625" style="322" customWidth="1"/>
    <col min="8970" max="9212" width="9.140625" style="322"/>
    <col min="9213" max="9213" width="7" style="322" customWidth="1"/>
    <col min="9214" max="9214" width="26.5703125" style="322" customWidth="1"/>
    <col min="9215" max="9215" width="11" style="322" customWidth="1"/>
    <col min="9216" max="9216" width="8.5703125" style="322" customWidth="1"/>
    <col min="9217" max="9217" width="9.5703125" style="322" customWidth="1"/>
    <col min="9218" max="9219" width="9.140625" style="322"/>
    <col min="9220" max="9220" width="10.42578125" style="322" customWidth="1"/>
    <col min="9221" max="9221" width="8.5703125" style="322" customWidth="1"/>
    <col min="9222" max="9222" width="14.140625" style="322" customWidth="1"/>
    <col min="9223" max="9224" width="9.140625" style="322"/>
    <col min="9225" max="9225" width="11.140625" style="322" customWidth="1"/>
    <col min="9226" max="9468" width="9.140625" style="322"/>
    <col min="9469" max="9469" width="7" style="322" customWidth="1"/>
    <col min="9470" max="9470" width="26.5703125" style="322" customWidth="1"/>
    <col min="9471" max="9471" width="11" style="322" customWidth="1"/>
    <col min="9472" max="9472" width="8.5703125" style="322" customWidth="1"/>
    <col min="9473" max="9473" width="9.5703125" style="322" customWidth="1"/>
    <col min="9474" max="9475" width="9.140625" style="322"/>
    <col min="9476" max="9476" width="10.42578125" style="322" customWidth="1"/>
    <col min="9477" max="9477" width="8.5703125" style="322" customWidth="1"/>
    <col min="9478" max="9478" width="14.140625" style="322" customWidth="1"/>
    <col min="9479" max="9480" width="9.140625" style="322"/>
    <col min="9481" max="9481" width="11.140625" style="322" customWidth="1"/>
    <col min="9482" max="9724" width="9.140625" style="322"/>
    <col min="9725" max="9725" width="7" style="322" customWidth="1"/>
    <col min="9726" max="9726" width="26.5703125" style="322" customWidth="1"/>
    <col min="9727" max="9727" width="11" style="322" customWidth="1"/>
    <col min="9728" max="9728" width="8.5703125" style="322" customWidth="1"/>
    <col min="9729" max="9729" width="9.5703125" style="322" customWidth="1"/>
    <col min="9730" max="9731" width="9.140625" style="322"/>
    <col min="9732" max="9732" width="10.42578125" style="322" customWidth="1"/>
    <col min="9733" max="9733" width="8.5703125" style="322" customWidth="1"/>
    <col min="9734" max="9734" width="14.140625" style="322" customWidth="1"/>
    <col min="9735" max="9736" width="9.140625" style="322"/>
    <col min="9737" max="9737" width="11.140625" style="322" customWidth="1"/>
    <col min="9738" max="9980" width="9.140625" style="322"/>
    <col min="9981" max="9981" width="7" style="322" customWidth="1"/>
    <col min="9982" max="9982" width="26.5703125" style="322" customWidth="1"/>
    <col min="9983" max="9983" width="11" style="322" customWidth="1"/>
    <col min="9984" max="9984" width="8.5703125" style="322" customWidth="1"/>
    <col min="9985" max="9985" width="9.5703125" style="322" customWidth="1"/>
    <col min="9986" max="9987" width="9.140625" style="322"/>
    <col min="9988" max="9988" width="10.42578125" style="322" customWidth="1"/>
    <col min="9989" max="9989" width="8.5703125" style="322" customWidth="1"/>
    <col min="9990" max="9990" width="14.140625" style="322" customWidth="1"/>
    <col min="9991" max="9992" width="9.140625" style="322"/>
    <col min="9993" max="9993" width="11.140625" style="322" customWidth="1"/>
    <col min="9994" max="10236" width="9.140625" style="322"/>
    <col min="10237" max="10237" width="7" style="322" customWidth="1"/>
    <col min="10238" max="10238" width="26.5703125" style="322" customWidth="1"/>
    <col min="10239" max="10239" width="11" style="322" customWidth="1"/>
    <col min="10240" max="10240" width="8.5703125" style="322" customWidth="1"/>
    <col min="10241" max="10241" width="9.5703125" style="322" customWidth="1"/>
    <col min="10242" max="10243" width="9.140625" style="322"/>
    <col min="10244" max="10244" width="10.42578125" style="322" customWidth="1"/>
    <col min="10245" max="10245" width="8.5703125" style="322" customWidth="1"/>
    <col min="10246" max="10246" width="14.140625" style="322" customWidth="1"/>
    <col min="10247" max="10248" width="9.140625" style="322"/>
    <col min="10249" max="10249" width="11.140625" style="322" customWidth="1"/>
    <col min="10250" max="10492" width="9.140625" style="322"/>
    <col min="10493" max="10493" width="7" style="322" customWidth="1"/>
    <col min="10494" max="10494" width="26.5703125" style="322" customWidth="1"/>
    <col min="10495" max="10495" width="11" style="322" customWidth="1"/>
    <col min="10496" max="10496" width="8.5703125" style="322" customWidth="1"/>
    <col min="10497" max="10497" width="9.5703125" style="322" customWidth="1"/>
    <col min="10498" max="10499" width="9.140625" style="322"/>
    <col min="10500" max="10500" width="10.42578125" style="322" customWidth="1"/>
    <col min="10501" max="10501" width="8.5703125" style="322" customWidth="1"/>
    <col min="10502" max="10502" width="14.140625" style="322" customWidth="1"/>
    <col min="10503" max="10504" width="9.140625" style="322"/>
    <col min="10505" max="10505" width="11.140625" style="322" customWidth="1"/>
    <col min="10506" max="10748" width="9.140625" style="322"/>
    <col min="10749" max="10749" width="7" style="322" customWidth="1"/>
    <col min="10750" max="10750" width="26.5703125" style="322" customWidth="1"/>
    <col min="10751" max="10751" width="11" style="322" customWidth="1"/>
    <col min="10752" max="10752" width="8.5703125" style="322" customWidth="1"/>
    <col min="10753" max="10753" width="9.5703125" style="322" customWidth="1"/>
    <col min="10754" max="10755" width="9.140625" style="322"/>
    <col min="10756" max="10756" width="10.42578125" style="322" customWidth="1"/>
    <col min="10757" max="10757" width="8.5703125" style="322" customWidth="1"/>
    <col min="10758" max="10758" width="14.140625" style="322" customWidth="1"/>
    <col min="10759" max="10760" width="9.140625" style="322"/>
    <col min="10761" max="10761" width="11.140625" style="322" customWidth="1"/>
    <col min="10762" max="11004" width="9.140625" style="322"/>
    <col min="11005" max="11005" width="7" style="322" customWidth="1"/>
    <col min="11006" max="11006" width="26.5703125" style="322" customWidth="1"/>
    <col min="11007" max="11007" width="11" style="322" customWidth="1"/>
    <col min="11008" max="11008" width="8.5703125" style="322" customWidth="1"/>
    <col min="11009" max="11009" width="9.5703125" style="322" customWidth="1"/>
    <col min="11010" max="11011" width="9.140625" style="322"/>
    <col min="11012" max="11012" width="10.42578125" style="322" customWidth="1"/>
    <col min="11013" max="11013" width="8.5703125" style="322" customWidth="1"/>
    <col min="11014" max="11014" width="14.140625" style="322" customWidth="1"/>
    <col min="11015" max="11016" width="9.140625" style="322"/>
    <col min="11017" max="11017" width="11.140625" style="322" customWidth="1"/>
    <col min="11018" max="11260" width="9.140625" style="322"/>
    <col min="11261" max="11261" width="7" style="322" customWidth="1"/>
    <col min="11262" max="11262" width="26.5703125" style="322" customWidth="1"/>
    <col min="11263" max="11263" width="11" style="322" customWidth="1"/>
    <col min="11264" max="11264" width="8.5703125" style="322" customWidth="1"/>
    <col min="11265" max="11265" width="9.5703125" style="322" customWidth="1"/>
    <col min="11266" max="11267" width="9.140625" style="322"/>
    <col min="11268" max="11268" width="10.42578125" style="322" customWidth="1"/>
    <col min="11269" max="11269" width="8.5703125" style="322" customWidth="1"/>
    <col min="11270" max="11270" width="14.140625" style="322" customWidth="1"/>
    <col min="11271" max="11272" width="9.140625" style="322"/>
    <col min="11273" max="11273" width="11.140625" style="322" customWidth="1"/>
    <col min="11274" max="11516" width="9.140625" style="322"/>
    <col min="11517" max="11517" width="7" style="322" customWidth="1"/>
    <col min="11518" max="11518" width="26.5703125" style="322" customWidth="1"/>
    <col min="11519" max="11519" width="11" style="322" customWidth="1"/>
    <col min="11520" max="11520" width="8.5703125" style="322" customWidth="1"/>
    <col min="11521" max="11521" width="9.5703125" style="322" customWidth="1"/>
    <col min="11522" max="11523" width="9.140625" style="322"/>
    <col min="11524" max="11524" width="10.42578125" style="322" customWidth="1"/>
    <col min="11525" max="11525" width="8.5703125" style="322" customWidth="1"/>
    <col min="11526" max="11526" width="14.140625" style="322" customWidth="1"/>
    <col min="11527" max="11528" width="9.140625" style="322"/>
    <col min="11529" max="11529" width="11.140625" style="322" customWidth="1"/>
    <col min="11530" max="11772" width="9.140625" style="322"/>
    <col min="11773" max="11773" width="7" style="322" customWidth="1"/>
    <col min="11774" max="11774" width="26.5703125" style="322" customWidth="1"/>
    <col min="11775" max="11775" width="11" style="322" customWidth="1"/>
    <col min="11776" max="11776" width="8.5703125" style="322" customWidth="1"/>
    <col min="11777" max="11777" width="9.5703125" style="322" customWidth="1"/>
    <col min="11778" max="11779" width="9.140625" style="322"/>
    <col min="11780" max="11780" width="10.42578125" style="322" customWidth="1"/>
    <col min="11781" max="11781" width="8.5703125" style="322" customWidth="1"/>
    <col min="11782" max="11782" width="14.140625" style="322" customWidth="1"/>
    <col min="11783" max="11784" width="9.140625" style="322"/>
    <col min="11785" max="11785" width="11.140625" style="322" customWidth="1"/>
    <col min="11786" max="12028" width="9.140625" style="322"/>
    <col min="12029" max="12029" width="7" style="322" customWidth="1"/>
    <col min="12030" max="12030" width="26.5703125" style="322" customWidth="1"/>
    <col min="12031" max="12031" width="11" style="322" customWidth="1"/>
    <col min="12032" max="12032" width="8.5703125" style="322" customWidth="1"/>
    <col min="12033" max="12033" width="9.5703125" style="322" customWidth="1"/>
    <col min="12034" max="12035" width="9.140625" style="322"/>
    <col min="12036" max="12036" width="10.42578125" style="322" customWidth="1"/>
    <col min="12037" max="12037" width="8.5703125" style="322" customWidth="1"/>
    <col min="12038" max="12038" width="14.140625" style="322" customWidth="1"/>
    <col min="12039" max="12040" width="9.140625" style="322"/>
    <col min="12041" max="12041" width="11.140625" style="322" customWidth="1"/>
    <col min="12042" max="12284" width="9.140625" style="322"/>
    <col min="12285" max="12285" width="7" style="322" customWidth="1"/>
    <col min="12286" max="12286" width="26.5703125" style="322" customWidth="1"/>
    <col min="12287" max="12287" width="11" style="322" customWidth="1"/>
    <col min="12288" max="12288" width="8.5703125" style="322" customWidth="1"/>
    <col min="12289" max="12289" width="9.5703125" style="322" customWidth="1"/>
    <col min="12290" max="12291" width="9.140625" style="322"/>
    <col min="12292" max="12292" width="10.42578125" style="322" customWidth="1"/>
    <col min="12293" max="12293" width="8.5703125" style="322" customWidth="1"/>
    <col min="12294" max="12294" width="14.140625" style="322" customWidth="1"/>
    <col min="12295" max="12296" width="9.140625" style="322"/>
    <col min="12297" max="12297" width="11.140625" style="322" customWidth="1"/>
    <col min="12298" max="12540" width="9.140625" style="322"/>
    <col min="12541" max="12541" width="7" style="322" customWidth="1"/>
    <col min="12542" max="12542" width="26.5703125" style="322" customWidth="1"/>
    <col min="12543" max="12543" width="11" style="322" customWidth="1"/>
    <col min="12544" max="12544" width="8.5703125" style="322" customWidth="1"/>
    <col min="12545" max="12545" width="9.5703125" style="322" customWidth="1"/>
    <col min="12546" max="12547" width="9.140625" style="322"/>
    <col min="12548" max="12548" width="10.42578125" style="322" customWidth="1"/>
    <col min="12549" max="12549" width="8.5703125" style="322" customWidth="1"/>
    <col min="12550" max="12550" width="14.140625" style="322" customWidth="1"/>
    <col min="12551" max="12552" width="9.140625" style="322"/>
    <col min="12553" max="12553" width="11.140625" style="322" customWidth="1"/>
    <col min="12554" max="12796" width="9.140625" style="322"/>
    <col min="12797" max="12797" width="7" style="322" customWidth="1"/>
    <col min="12798" max="12798" width="26.5703125" style="322" customWidth="1"/>
    <col min="12799" max="12799" width="11" style="322" customWidth="1"/>
    <col min="12800" max="12800" width="8.5703125" style="322" customWidth="1"/>
    <col min="12801" max="12801" width="9.5703125" style="322" customWidth="1"/>
    <col min="12802" max="12803" width="9.140625" style="322"/>
    <col min="12804" max="12804" width="10.42578125" style="322" customWidth="1"/>
    <col min="12805" max="12805" width="8.5703125" style="322" customWidth="1"/>
    <col min="12806" max="12806" width="14.140625" style="322" customWidth="1"/>
    <col min="12807" max="12808" width="9.140625" style="322"/>
    <col min="12809" max="12809" width="11.140625" style="322" customWidth="1"/>
    <col min="12810" max="13052" width="9.140625" style="322"/>
    <col min="13053" max="13053" width="7" style="322" customWidth="1"/>
    <col min="13054" max="13054" width="26.5703125" style="322" customWidth="1"/>
    <col min="13055" max="13055" width="11" style="322" customWidth="1"/>
    <col min="13056" max="13056" width="8.5703125" style="322" customWidth="1"/>
    <col min="13057" max="13057" width="9.5703125" style="322" customWidth="1"/>
    <col min="13058" max="13059" width="9.140625" style="322"/>
    <col min="13060" max="13060" width="10.42578125" style="322" customWidth="1"/>
    <col min="13061" max="13061" width="8.5703125" style="322" customWidth="1"/>
    <col min="13062" max="13062" width="14.140625" style="322" customWidth="1"/>
    <col min="13063" max="13064" width="9.140625" style="322"/>
    <col min="13065" max="13065" width="11.140625" style="322" customWidth="1"/>
    <col min="13066" max="13308" width="9.140625" style="322"/>
    <col min="13309" max="13309" width="7" style="322" customWidth="1"/>
    <col min="13310" max="13310" width="26.5703125" style="322" customWidth="1"/>
    <col min="13311" max="13311" width="11" style="322" customWidth="1"/>
    <col min="13312" max="13312" width="8.5703125" style="322" customWidth="1"/>
    <col min="13313" max="13313" width="9.5703125" style="322" customWidth="1"/>
    <col min="13314" max="13315" width="9.140625" style="322"/>
    <col min="13316" max="13316" width="10.42578125" style="322" customWidth="1"/>
    <col min="13317" max="13317" width="8.5703125" style="322" customWidth="1"/>
    <col min="13318" max="13318" width="14.140625" style="322" customWidth="1"/>
    <col min="13319" max="13320" width="9.140625" style="322"/>
    <col min="13321" max="13321" width="11.140625" style="322" customWidth="1"/>
    <col min="13322" max="13564" width="9.140625" style="322"/>
    <col min="13565" max="13565" width="7" style="322" customWidth="1"/>
    <col min="13566" max="13566" width="26.5703125" style="322" customWidth="1"/>
    <col min="13567" max="13567" width="11" style="322" customWidth="1"/>
    <col min="13568" max="13568" width="8.5703125" style="322" customWidth="1"/>
    <col min="13569" max="13569" width="9.5703125" style="322" customWidth="1"/>
    <col min="13570" max="13571" width="9.140625" style="322"/>
    <col min="13572" max="13572" width="10.42578125" style="322" customWidth="1"/>
    <col min="13573" max="13573" width="8.5703125" style="322" customWidth="1"/>
    <col min="13574" max="13574" width="14.140625" style="322" customWidth="1"/>
    <col min="13575" max="13576" width="9.140625" style="322"/>
    <col min="13577" max="13577" width="11.140625" style="322" customWidth="1"/>
    <col min="13578" max="13820" width="9.140625" style="322"/>
    <col min="13821" max="13821" width="7" style="322" customWidth="1"/>
    <col min="13822" max="13822" width="26.5703125" style="322" customWidth="1"/>
    <col min="13823" max="13823" width="11" style="322" customWidth="1"/>
    <col min="13824" max="13824" width="8.5703125" style="322" customWidth="1"/>
    <col min="13825" max="13825" width="9.5703125" style="322" customWidth="1"/>
    <col min="13826" max="13827" width="9.140625" style="322"/>
    <col min="13828" max="13828" width="10.42578125" style="322" customWidth="1"/>
    <col min="13829" max="13829" width="8.5703125" style="322" customWidth="1"/>
    <col min="13830" max="13830" width="14.140625" style="322" customWidth="1"/>
    <col min="13831" max="13832" width="9.140625" style="322"/>
    <col min="13833" max="13833" width="11.140625" style="322" customWidth="1"/>
    <col min="13834" max="14076" width="9.140625" style="322"/>
    <col min="14077" max="14077" width="7" style="322" customWidth="1"/>
    <col min="14078" max="14078" width="26.5703125" style="322" customWidth="1"/>
    <col min="14079" max="14079" width="11" style="322" customWidth="1"/>
    <col min="14080" max="14080" width="8.5703125" style="322" customWidth="1"/>
    <col min="14081" max="14081" width="9.5703125" style="322" customWidth="1"/>
    <col min="14082" max="14083" width="9.140625" style="322"/>
    <col min="14084" max="14084" width="10.42578125" style="322" customWidth="1"/>
    <col min="14085" max="14085" width="8.5703125" style="322" customWidth="1"/>
    <col min="14086" max="14086" width="14.140625" style="322" customWidth="1"/>
    <col min="14087" max="14088" width="9.140625" style="322"/>
    <col min="14089" max="14089" width="11.140625" style="322" customWidth="1"/>
    <col min="14090" max="14332" width="9.140625" style="322"/>
    <col min="14333" max="14333" width="7" style="322" customWidth="1"/>
    <col min="14334" max="14334" width="26.5703125" style="322" customWidth="1"/>
    <col min="14335" max="14335" width="11" style="322" customWidth="1"/>
    <col min="14336" max="14336" width="8.5703125" style="322" customWidth="1"/>
    <col min="14337" max="14337" width="9.5703125" style="322" customWidth="1"/>
    <col min="14338" max="14339" width="9.140625" style="322"/>
    <col min="14340" max="14340" width="10.42578125" style="322" customWidth="1"/>
    <col min="14341" max="14341" width="8.5703125" style="322" customWidth="1"/>
    <col min="14342" max="14342" width="14.140625" style="322" customWidth="1"/>
    <col min="14343" max="14344" width="9.140625" style="322"/>
    <col min="14345" max="14345" width="11.140625" style="322" customWidth="1"/>
    <col min="14346" max="14588" width="9.140625" style="322"/>
    <col min="14589" max="14589" width="7" style="322" customWidth="1"/>
    <col min="14590" max="14590" width="26.5703125" style="322" customWidth="1"/>
    <col min="14591" max="14591" width="11" style="322" customWidth="1"/>
    <col min="14592" max="14592" width="8.5703125" style="322" customWidth="1"/>
    <col min="14593" max="14593" width="9.5703125" style="322" customWidth="1"/>
    <col min="14594" max="14595" width="9.140625" style="322"/>
    <col min="14596" max="14596" width="10.42578125" style="322" customWidth="1"/>
    <col min="14597" max="14597" width="8.5703125" style="322" customWidth="1"/>
    <col min="14598" max="14598" width="14.140625" style="322" customWidth="1"/>
    <col min="14599" max="14600" width="9.140625" style="322"/>
    <col min="14601" max="14601" width="11.140625" style="322" customWidth="1"/>
    <col min="14602" max="14844" width="9.140625" style="322"/>
    <col min="14845" max="14845" width="7" style="322" customWidth="1"/>
    <col min="14846" max="14846" width="26.5703125" style="322" customWidth="1"/>
    <col min="14847" max="14847" width="11" style="322" customWidth="1"/>
    <col min="14848" max="14848" width="8.5703125" style="322" customWidth="1"/>
    <col min="14849" max="14849" width="9.5703125" style="322" customWidth="1"/>
    <col min="14850" max="14851" width="9.140625" style="322"/>
    <col min="14852" max="14852" width="10.42578125" style="322" customWidth="1"/>
    <col min="14853" max="14853" width="8.5703125" style="322" customWidth="1"/>
    <col min="14854" max="14854" width="14.140625" style="322" customWidth="1"/>
    <col min="14855" max="14856" width="9.140625" style="322"/>
    <col min="14857" max="14857" width="11.140625" style="322" customWidth="1"/>
    <col min="14858" max="15100" width="9.140625" style="322"/>
    <col min="15101" max="15101" width="7" style="322" customWidth="1"/>
    <col min="15102" max="15102" width="26.5703125" style="322" customWidth="1"/>
    <col min="15103" max="15103" width="11" style="322" customWidth="1"/>
    <col min="15104" max="15104" width="8.5703125" style="322" customWidth="1"/>
    <col min="15105" max="15105" width="9.5703125" style="322" customWidth="1"/>
    <col min="15106" max="15107" width="9.140625" style="322"/>
    <col min="15108" max="15108" width="10.42578125" style="322" customWidth="1"/>
    <col min="15109" max="15109" width="8.5703125" style="322" customWidth="1"/>
    <col min="15110" max="15110" width="14.140625" style="322" customWidth="1"/>
    <col min="15111" max="15112" width="9.140625" style="322"/>
    <col min="15113" max="15113" width="11.140625" style="322" customWidth="1"/>
    <col min="15114" max="15356" width="9.140625" style="322"/>
    <col min="15357" max="15357" width="7" style="322" customWidth="1"/>
    <col min="15358" max="15358" width="26.5703125" style="322" customWidth="1"/>
    <col min="15359" max="15359" width="11" style="322" customWidth="1"/>
    <col min="15360" max="15360" width="8.5703125" style="322" customWidth="1"/>
    <col min="15361" max="15361" width="9.5703125" style="322" customWidth="1"/>
    <col min="15362" max="15363" width="9.140625" style="322"/>
    <col min="15364" max="15364" width="10.42578125" style="322" customWidth="1"/>
    <col min="15365" max="15365" width="8.5703125" style="322" customWidth="1"/>
    <col min="15366" max="15366" width="14.140625" style="322" customWidth="1"/>
    <col min="15367" max="15368" width="9.140625" style="322"/>
    <col min="15369" max="15369" width="11.140625" style="322" customWidth="1"/>
    <col min="15370" max="15612" width="9.140625" style="322"/>
    <col min="15613" max="15613" width="7" style="322" customWidth="1"/>
    <col min="15614" max="15614" width="26.5703125" style="322" customWidth="1"/>
    <col min="15615" max="15615" width="11" style="322" customWidth="1"/>
    <col min="15616" max="15616" width="8.5703125" style="322" customWidth="1"/>
    <col min="15617" max="15617" width="9.5703125" style="322" customWidth="1"/>
    <col min="15618" max="15619" width="9.140625" style="322"/>
    <col min="15620" max="15620" width="10.42578125" style="322" customWidth="1"/>
    <col min="15621" max="15621" width="8.5703125" style="322" customWidth="1"/>
    <col min="15622" max="15622" width="14.140625" style="322" customWidth="1"/>
    <col min="15623" max="15624" width="9.140625" style="322"/>
    <col min="15625" max="15625" width="11.140625" style="322" customWidth="1"/>
    <col min="15626" max="15868" width="9.140625" style="322"/>
    <col min="15869" max="15869" width="7" style="322" customWidth="1"/>
    <col min="15870" max="15870" width="26.5703125" style="322" customWidth="1"/>
    <col min="15871" max="15871" width="11" style="322" customWidth="1"/>
    <col min="15872" max="15872" width="8.5703125" style="322" customWidth="1"/>
    <col min="15873" max="15873" width="9.5703125" style="322" customWidth="1"/>
    <col min="15874" max="15875" width="9.140625" style="322"/>
    <col min="15876" max="15876" width="10.42578125" style="322" customWidth="1"/>
    <col min="15877" max="15877" width="8.5703125" style="322" customWidth="1"/>
    <col min="15878" max="15878" width="14.140625" style="322" customWidth="1"/>
    <col min="15879" max="15880" width="9.140625" style="322"/>
    <col min="15881" max="15881" width="11.140625" style="322" customWidth="1"/>
    <col min="15882" max="16124" width="9.140625" style="322"/>
    <col min="16125" max="16125" width="7" style="322" customWidth="1"/>
    <col min="16126" max="16126" width="26.5703125" style="322" customWidth="1"/>
    <col min="16127" max="16127" width="11" style="322" customWidth="1"/>
    <col min="16128" max="16128" width="8.5703125" style="322" customWidth="1"/>
    <col min="16129" max="16129" width="9.5703125" style="322" customWidth="1"/>
    <col min="16130" max="16131" width="9.140625" style="322"/>
    <col min="16132" max="16132" width="10.42578125" style="322" customWidth="1"/>
    <col min="16133" max="16133" width="8.5703125" style="322" customWidth="1"/>
    <col min="16134" max="16134" width="14.140625" style="322" customWidth="1"/>
    <col min="16135" max="16136" width="9.140625" style="322"/>
    <col min="16137" max="16137" width="11.140625" style="322" customWidth="1"/>
    <col min="16138" max="16384" width="9.140625" style="322"/>
  </cols>
  <sheetData>
    <row r="1" spans="1:11" ht="16.5" customHeight="1" x14ac:dyDescent="0.25">
      <c r="B1" s="1034" t="s">
        <v>1278</v>
      </c>
      <c r="C1" s="1034"/>
      <c r="D1" s="1034"/>
      <c r="E1" s="1034"/>
      <c r="F1" s="1034"/>
      <c r="G1" s="1034"/>
      <c r="H1" s="1034"/>
      <c r="I1" s="1034"/>
    </row>
    <row r="2" spans="1:11" ht="16.5" x14ac:dyDescent="0.25">
      <c r="D2" s="1"/>
      <c r="E2" s="950"/>
      <c r="F2" s="950"/>
      <c r="G2" s="950"/>
      <c r="H2" s="950"/>
      <c r="I2" s="951" t="s">
        <v>1184</v>
      </c>
    </row>
    <row r="3" spans="1:11" ht="16.5" customHeight="1" x14ac:dyDescent="0.25">
      <c r="D3" s="1"/>
      <c r="E3" s="950"/>
      <c r="F3" s="950"/>
      <c r="G3" s="950"/>
      <c r="H3" s="950"/>
      <c r="I3" s="951" t="s">
        <v>1185</v>
      </c>
    </row>
    <row r="6" spans="1:11" s="315" customFormat="1" ht="12" x14ac:dyDescent="0.2">
      <c r="A6" s="315" t="s">
        <v>298</v>
      </c>
      <c r="B6" s="316"/>
      <c r="C6" s="561"/>
      <c r="D6" s="316"/>
      <c r="E6" s="316"/>
      <c r="F6" s="316"/>
      <c r="G6" s="316"/>
      <c r="H6" s="317"/>
      <c r="I6" s="316"/>
    </row>
    <row r="7" spans="1:11" s="315" customFormat="1" ht="12" x14ac:dyDescent="0.2">
      <c r="B7" s="316"/>
      <c r="C7" s="561"/>
      <c r="D7" s="316"/>
      <c r="E7" s="316"/>
      <c r="F7" s="316"/>
      <c r="G7" s="316"/>
      <c r="H7" s="317"/>
      <c r="I7" s="316"/>
    </row>
    <row r="8" spans="1:11" s="315" customFormat="1" ht="15.75" x14ac:dyDescent="0.25">
      <c r="A8" s="1165" t="s">
        <v>291</v>
      </c>
      <c r="B8" s="1165"/>
      <c r="C8" s="1165"/>
      <c r="D8" s="1165"/>
      <c r="E8" s="1165"/>
      <c r="F8" s="1165"/>
      <c r="G8" s="1165"/>
      <c r="H8" s="1165"/>
      <c r="I8" s="1165"/>
    </row>
    <row r="9" spans="1:11" s="315" customFormat="1" ht="15.75" x14ac:dyDescent="0.25">
      <c r="A9" s="315" t="s">
        <v>25</v>
      </c>
      <c r="C9" s="562" t="s">
        <v>630</v>
      </c>
      <c r="D9" s="319"/>
      <c r="E9" s="319"/>
      <c r="F9" s="319"/>
      <c r="G9" s="319"/>
      <c r="H9" s="318"/>
      <c r="I9" s="319"/>
    </row>
    <row r="10" spans="1:11" s="315" customFormat="1" ht="15.75" x14ac:dyDescent="0.25">
      <c r="C10" s="562"/>
      <c r="D10" s="319"/>
      <c r="E10" s="319"/>
      <c r="F10" s="319"/>
      <c r="G10" s="319"/>
      <c r="H10" s="318"/>
      <c r="I10" s="319"/>
    </row>
    <row r="11" spans="1:11" s="315" customFormat="1" ht="12" x14ac:dyDescent="0.2">
      <c r="A11" s="315" t="s">
        <v>1276</v>
      </c>
      <c r="C11" s="563"/>
      <c r="D11" s="320"/>
      <c r="E11" s="320"/>
      <c r="F11" s="320"/>
      <c r="G11" s="320"/>
      <c r="H11" s="321"/>
      <c r="I11" s="320"/>
    </row>
    <row r="12" spans="1:11" s="315" customFormat="1" ht="12" x14ac:dyDescent="0.2">
      <c r="A12" s="315" t="s">
        <v>1277</v>
      </c>
      <c r="C12" s="564"/>
      <c r="D12" s="320"/>
      <c r="E12" s="320"/>
      <c r="F12" s="320"/>
      <c r="G12" s="320"/>
      <c r="H12" s="321"/>
      <c r="I12" s="320"/>
    </row>
    <row r="13" spans="1:11" ht="33.75" x14ac:dyDescent="0.2">
      <c r="A13" s="560" t="s">
        <v>1</v>
      </c>
      <c r="B13" s="560" t="s">
        <v>2</v>
      </c>
      <c r="C13" s="551" t="s">
        <v>26</v>
      </c>
      <c r="D13" s="560" t="s">
        <v>27</v>
      </c>
      <c r="E13" s="560" t="s">
        <v>299</v>
      </c>
      <c r="F13" s="1154" t="s">
        <v>299</v>
      </c>
      <c r="G13" s="1154"/>
      <c r="H13" s="560" t="s">
        <v>6</v>
      </c>
      <c r="I13" s="560" t="s">
        <v>1190</v>
      </c>
    </row>
    <row r="14" spans="1:11" x14ac:dyDescent="0.2">
      <c r="A14" s="1166" t="s">
        <v>300</v>
      </c>
      <c r="B14" s="1167"/>
      <c r="C14" s="567">
        <f>C15+C202+C280</f>
        <v>753261</v>
      </c>
      <c r="D14" s="567">
        <f>SUM(D15,D280,D202)</f>
        <v>780811.63</v>
      </c>
      <c r="E14" s="567">
        <f>SUM(E15,E280,E202)</f>
        <v>1821435.79</v>
      </c>
      <c r="F14" s="567">
        <f>SUM(F15,F280,F202)</f>
        <v>1674620</v>
      </c>
      <c r="G14" s="567">
        <f>SUM(G15,G280,G202)</f>
        <v>1668050</v>
      </c>
      <c r="H14" s="567"/>
      <c r="I14" s="567">
        <f>SUM(I15,I280,I202)</f>
        <v>1490460</v>
      </c>
    </row>
    <row r="15" spans="1:11" x14ac:dyDescent="0.2">
      <c r="A15" s="1168" t="s">
        <v>631</v>
      </c>
      <c r="B15" s="1168"/>
      <c r="C15" s="406">
        <f>C16+C26+C34+C38+C41+C47++C65+C77+C98+C109+C116+C124+C126+C128+C130+C138+C142+C148+C152+C174+C178+C183+C193+C196+C200</f>
        <v>370495</v>
      </c>
      <c r="D15" s="567">
        <f>SUM(D16,D26,D34,J34,D38,D41,D47,D65,D77,D98,D109,D116,D124,D126,D128,D130,D138,D142,D148,D152,D174,D178,D183,D193,D196,D200)</f>
        <v>406715.63</v>
      </c>
      <c r="E15" s="567">
        <f>SUM(E16,E26,E34,K34,E38,E41,E47,E65,E77,E98,E109,E116,E124,E126,E128,E130,E138,E142,E148,E152,E174,E178,E183,E193,E196,E200)</f>
        <v>1143567.79</v>
      </c>
      <c r="F15" s="567">
        <f>SUM(F16,F26,F34,L34,F38,F41,F47,F65,F77,F98,F109,F116,F124,F126,F128,F130,F138,F142,F148,F152,F174,F178,F183,F193,F196,F200)</f>
        <v>1049444</v>
      </c>
      <c r="G15" s="567">
        <f>SUM(G16,G26,G34,M34,G38,G41,G47,G65,G77,G98,G109,G116,G124,G126,G128,G130,G138,G142,G148,G152,G174,G178,G183,G193,G196,G200)</f>
        <v>1043039</v>
      </c>
      <c r="H15" s="567"/>
      <c r="I15" s="567">
        <f>SUM(I16,I26,I34,I38,I41,I47,I65,I77,I98,I109,I116,I124,I126,I128,I130,I138,I142,I148,I152,I174,I178,I183,I193,I196,I200)</f>
        <v>1003022</v>
      </c>
      <c r="K15" s="323"/>
    </row>
    <row r="16" spans="1:11" s="324" customFormat="1" x14ac:dyDescent="0.2">
      <c r="A16" s="568">
        <v>1</v>
      </c>
      <c r="B16" s="569"/>
      <c r="C16" s="406">
        <f>SUM(C17:C25)</f>
        <v>11096</v>
      </c>
      <c r="D16" s="567">
        <f>SUM(D17:D24)</f>
        <v>11083</v>
      </c>
      <c r="E16" s="567">
        <f>SUM(E17:E24)</f>
        <v>11096</v>
      </c>
      <c r="F16" s="567">
        <f>SUM(F17:F24)</f>
        <v>11096</v>
      </c>
      <c r="G16" s="567">
        <f>SUM(G17:G25)</f>
        <v>11096</v>
      </c>
      <c r="H16" s="567"/>
      <c r="I16" s="567">
        <f>SUM(I17:I25)</f>
        <v>11096</v>
      </c>
    </row>
    <row r="17" spans="1:9" s="324" customFormat="1" x14ac:dyDescent="0.2">
      <c r="A17" s="1154" t="s">
        <v>31</v>
      </c>
      <c r="B17" s="1155" t="s">
        <v>632</v>
      </c>
      <c r="C17" s="544">
        <f>1566+500</f>
        <v>2066</v>
      </c>
      <c r="D17" s="1159">
        <v>8261</v>
      </c>
      <c r="E17" s="1159">
        <v>8261</v>
      </c>
      <c r="F17" s="1159">
        <v>8261</v>
      </c>
      <c r="G17" s="544">
        <v>2066</v>
      </c>
      <c r="H17" s="547">
        <v>2231</v>
      </c>
      <c r="I17" s="542">
        <v>2066</v>
      </c>
    </row>
    <row r="18" spans="1:9" s="324" customFormat="1" x14ac:dyDescent="0.2">
      <c r="A18" s="1154"/>
      <c r="B18" s="1155"/>
      <c r="C18" s="544">
        <v>570</v>
      </c>
      <c r="D18" s="1159"/>
      <c r="E18" s="1159"/>
      <c r="F18" s="1159"/>
      <c r="G18" s="544">
        <v>570</v>
      </c>
      <c r="H18" s="547">
        <v>2264</v>
      </c>
      <c r="I18" s="542">
        <v>570</v>
      </c>
    </row>
    <row r="19" spans="1:9" s="324" customFormat="1" x14ac:dyDescent="0.2">
      <c r="A19" s="1154"/>
      <c r="B19" s="1155"/>
      <c r="C19" s="544">
        <f>1566+834</f>
        <v>2400</v>
      </c>
      <c r="D19" s="1159"/>
      <c r="E19" s="1159"/>
      <c r="F19" s="1159"/>
      <c r="G19" s="544">
        <v>2400</v>
      </c>
      <c r="H19" s="547">
        <v>2279</v>
      </c>
      <c r="I19" s="542">
        <v>2400</v>
      </c>
    </row>
    <row r="20" spans="1:9" s="324" customFormat="1" x14ac:dyDescent="0.2">
      <c r="A20" s="1154"/>
      <c r="B20" s="1155"/>
      <c r="C20" s="544">
        <f>1281+1714+230</f>
        <v>3225</v>
      </c>
      <c r="D20" s="1159"/>
      <c r="E20" s="1159"/>
      <c r="F20" s="1159"/>
      <c r="G20" s="544">
        <f>2995+230</f>
        <v>3225</v>
      </c>
      <c r="H20" s="547">
        <v>2314</v>
      </c>
      <c r="I20" s="542">
        <v>3225</v>
      </c>
    </row>
    <row r="21" spans="1:9" s="324" customFormat="1" x14ac:dyDescent="0.2">
      <c r="A21" s="1154" t="s">
        <v>32</v>
      </c>
      <c r="B21" s="1155" t="s">
        <v>633</v>
      </c>
      <c r="C21" s="544">
        <v>143</v>
      </c>
      <c r="D21" s="1159">
        <v>2822</v>
      </c>
      <c r="E21" s="1159">
        <v>2835</v>
      </c>
      <c r="F21" s="1159">
        <v>2835</v>
      </c>
      <c r="G21" s="544">
        <v>150</v>
      </c>
      <c r="H21" s="547">
        <v>2262</v>
      </c>
      <c r="I21" s="542">
        <v>150</v>
      </c>
    </row>
    <row r="22" spans="1:9" s="324" customFormat="1" x14ac:dyDescent="0.2">
      <c r="A22" s="1154"/>
      <c r="B22" s="1155"/>
      <c r="C22" s="544">
        <v>285</v>
      </c>
      <c r="D22" s="1159"/>
      <c r="E22" s="1159"/>
      <c r="F22" s="1159"/>
      <c r="G22" s="544">
        <v>250</v>
      </c>
      <c r="H22" s="547">
        <v>2264</v>
      </c>
      <c r="I22" s="542">
        <v>250</v>
      </c>
    </row>
    <row r="23" spans="1:9" s="324" customFormat="1" x14ac:dyDescent="0.2">
      <c r="A23" s="1154"/>
      <c r="B23" s="1155"/>
      <c r="C23" s="544">
        <v>1410</v>
      </c>
      <c r="D23" s="1159"/>
      <c r="E23" s="1159"/>
      <c r="F23" s="1159"/>
      <c r="G23" s="544">
        <v>1335</v>
      </c>
      <c r="H23" s="547">
        <v>2312</v>
      </c>
      <c r="I23" s="542">
        <v>1335</v>
      </c>
    </row>
    <row r="24" spans="1:9" s="324" customFormat="1" x14ac:dyDescent="0.2">
      <c r="A24" s="1154"/>
      <c r="B24" s="1155"/>
      <c r="C24" s="544">
        <v>570</v>
      </c>
      <c r="D24" s="1159"/>
      <c r="E24" s="1159"/>
      <c r="F24" s="1159"/>
      <c r="G24" s="544">
        <v>600</v>
      </c>
      <c r="H24" s="547">
        <v>2361</v>
      </c>
      <c r="I24" s="542">
        <v>600</v>
      </c>
    </row>
    <row r="25" spans="1:9" s="324" customFormat="1" x14ac:dyDescent="0.2">
      <c r="A25" s="1154"/>
      <c r="B25" s="1155"/>
      <c r="C25" s="544">
        <v>427</v>
      </c>
      <c r="D25" s="1159"/>
      <c r="E25" s="1159"/>
      <c r="F25" s="1159"/>
      <c r="G25" s="544">
        <v>500</v>
      </c>
      <c r="H25" s="1023">
        <v>2314</v>
      </c>
      <c r="I25" s="542">
        <v>500</v>
      </c>
    </row>
    <row r="26" spans="1:9" s="324" customFormat="1" ht="12" customHeight="1" x14ac:dyDescent="0.2">
      <c r="A26" s="568">
        <v>2</v>
      </c>
      <c r="B26" s="569" t="s">
        <v>634</v>
      </c>
      <c r="C26" s="567">
        <f>SUM(C27:C33)</f>
        <v>6108</v>
      </c>
      <c r="D26" s="570">
        <f>SUM(D27:D33)</f>
        <v>6050</v>
      </c>
      <c r="E26" s="570">
        <f>SUM(E27:E33)</f>
        <v>6108</v>
      </c>
      <c r="F26" s="570">
        <f>SUM(F27:F33)</f>
        <v>6108</v>
      </c>
      <c r="G26" s="570">
        <f>SUM(G27:G33)</f>
        <v>6108</v>
      </c>
      <c r="H26" s="547"/>
      <c r="I26" s="567">
        <f>SUM(I27:I33)</f>
        <v>6108</v>
      </c>
    </row>
    <row r="27" spans="1:9" s="324" customFormat="1" x14ac:dyDescent="0.2">
      <c r="A27" s="1154" t="s">
        <v>35</v>
      </c>
      <c r="B27" s="1155" t="s">
        <v>635</v>
      </c>
      <c r="C27" s="544">
        <v>1253</v>
      </c>
      <c r="D27" s="1159">
        <v>5694</v>
      </c>
      <c r="E27" s="1159">
        <v>5694</v>
      </c>
      <c r="F27" s="1159">
        <v>5694</v>
      </c>
      <c r="G27" s="544">
        <v>1238</v>
      </c>
      <c r="H27" s="547">
        <v>2262</v>
      </c>
      <c r="I27" s="542">
        <v>1238</v>
      </c>
    </row>
    <row r="28" spans="1:9" s="324" customFormat="1" x14ac:dyDescent="0.2">
      <c r="A28" s="1154"/>
      <c r="B28" s="1155"/>
      <c r="C28" s="544">
        <v>427</v>
      </c>
      <c r="D28" s="1159"/>
      <c r="E28" s="1159"/>
      <c r="F28" s="1159"/>
      <c r="G28" s="544">
        <v>427</v>
      </c>
      <c r="H28" s="547">
        <v>2264</v>
      </c>
      <c r="I28" s="542">
        <v>427</v>
      </c>
    </row>
    <row r="29" spans="1:9" s="324" customFormat="1" x14ac:dyDescent="0.2">
      <c r="A29" s="1154"/>
      <c r="B29" s="1155"/>
      <c r="C29" s="544">
        <v>3017</v>
      </c>
      <c r="D29" s="1159"/>
      <c r="E29" s="1159"/>
      <c r="F29" s="1159"/>
      <c r="G29" s="544">
        <v>3017</v>
      </c>
      <c r="H29" s="547">
        <v>2279</v>
      </c>
      <c r="I29" s="542">
        <v>3017</v>
      </c>
    </row>
    <row r="30" spans="1:9" s="324" customFormat="1" x14ac:dyDescent="0.2">
      <c r="A30" s="1154"/>
      <c r="B30" s="1155"/>
      <c r="C30" s="544">
        <v>712</v>
      </c>
      <c r="D30" s="1159"/>
      <c r="E30" s="1159"/>
      <c r="F30" s="1159"/>
      <c r="G30" s="544">
        <v>712</v>
      </c>
      <c r="H30" s="547">
        <v>2312</v>
      </c>
      <c r="I30" s="542">
        <v>712</v>
      </c>
    </row>
    <row r="31" spans="1:9" s="324" customFormat="1" x14ac:dyDescent="0.2">
      <c r="A31" s="1154"/>
      <c r="B31" s="1155"/>
      <c r="C31" s="544">
        <v>285</v>
      </c>
      <c r="D31" s="1159"/>
      <c r="E31" s="1159"/>
      <c r="F31" s="1159"/>
      <c r="G31" s="544">
        <v>300</v>
      </c>
      <c r="H31" s="1023">
        <v>2314</v>
      </c>
      <c r="I31" s="542">
        <v>300</v>
      </c>
    </row>
    <row r="32" spans="1:9" s="324" customFormat="1" x14ac:dyDescent="0.2">
      <c r="A32" s="1154" t="s">
        <v>36</v>
      </c>
      <c r="B32" s="1155" t="s">
        <v>636</v>
      </c>
      <c r="C32" s="544">
        <v>143</v>
      </c>
      <c r="D32" s="1159">
        <v>356</v>
      </c>
      <c r="E32" s="1159">
        <v>414</v>
      </c>
      <c r="F32" s="1159">
        <v>414</v>
      </c>
      <c r="G32" s="544">
        <v>200</v>
      </c>
      <c r="H32" s="547">
        <v>2279</v>
      </c>
      <c r="I32" s="542">
        <v>200</v>
      </c>
    </row>
    <row r="33" spans="1:9" s="324" customFormat="1" x14ac:dyDescent="0.2">
      <c r="A33" s="1154"/>
      <c r="B33" s="1155"/>
      <c r="C33" s="544">
        <v>271</v>
      </c>
      <c r="D33" s="1159"/>
      <c r="E33" s="1159"/>
      <c r="F33" s="1159"/>
      <c r="G33" s="544">
        <v>214</v>
      </c>
      <c r="H33" s="1023">
        <v>2314</v>
      </c>
      <c r="I33" s="542">
        <v>214</v>
      </c>
    </row>
    <row r="34" spans="1:9" s="324" customFormat="1" ht="12.75" customHeight="1" x14ac:dyDescent="0.2">
      <c r="A34" s="568">
        <v>3</v>
      </c>
      <c r="B34" s="569" t="s">
        <v>637</v>
      </c>
      <c r="C34" s="567">
        <f>SUM(C35:C37)</f>
        <v>489</v>
      </c>
      <c r="D34" s="567">
        <f>SUM(D35:D37)</f>
        <v>557</v>
      </c>
      <c r="E34" s="567">
        <f>SUM(E35:E37)</f>
        <v>561</v>
      </c>
      <c r="F34" s="567">
        <f>SUM(F35:F37)</f>
        <v>561</v>
      </c>
      <c r="G34" s="567">
        <f>SUM(G35:G37)</f>
        <v>491</v>
      </c>
      <c r="H34" s="567"/>
      <c r="I34" s="567">
        <f>SUM(I35:I37)</f>
        <v>561</v>
      </c>
    </row>
    <row r="35" spans="1:9" s="324" customFormat="1" x14ac:dyDescent="0.2">
      <c r="A35" s="1154" t="s">
        <v>37</v>
      </c>
      <c r="B35" s="1155" t="s">
        <v>638</v>
      </c>
      <c r="C35" s="544">
        <v>173</v>
      </c>
      <c r="D35" s="1159">
        <v>557</v>
      </c>
      <c r="E35" s="1159">
        <v>561</v>
      </c>
      <c r="F35" s="1159">
        <v>561</v>
      </c>
      <c r="G35" s="544">
        <v>150</v>
      </c>
      <c r="H35" s="547">
        <v>2264</v>
      </c>
      <c r="I35" s="542">
        <v>150</v>
      </c>
    </row>
    <row r="36" spans="1:9" s="324" customFormat="1" ht="13.5" customHeight="1" x14ac:dyDescent="0.2">
      <c r="A36" s="1154"/>
      <c r="B36" s="1155"/>
      <c r="C36" s="544">
        <v>143</v>
      </c>
      <c r="D36" s="1159"/>
      <c r="E36" s="1159"/>
      <c r="F36" s="1159"/>
      <c r="G36" s="544">
        <v>170</v>
      </c>
      <c r="H36" s="547">
        <v>2279</v>
      </c>
      <c r="I36" s="542">
        <v>170</v>
      </c>
    </row>
    <row r="37" spans="1:9" s="324" customFormat="1" x14ac:dyDescent="0.2">
      <c r="A37" s="1154"/>
      <c r="B37" s="1155"/>
      <c r="C37" s="544">
        <v>173</v>
      </c>
      <c r="D37" s="1159"/>
      <c r="E37" s="1159"/>
      <c r="F37" s="1159"/>
      <c r="G37" s="544">
        <v>171</v>
      </c>
      <c r="H37" s="1023">
        <v>2314</v>
      </c>
      <c r="I37" s="542">
        <v>241</v>
      </c>
    </row>
    <row r="38" spans="1:9" s="324" customFormat="1" x14ac:dyDescent="0.2">
      <c r="A38" s="568">
        <v>4</v>
      </c>
      <c r="B38" s="569" t="s">
        <v>639</v>
      </c>
      <c r="C38" s="567">
        <f>SUM(C39:C40)</f>
        <v>9961</v>
      </c>
      <c r="D38" s="567">
        <f>SUM(D39:D40)</f>
        <v>9961</v>
      </c>
      <c r="E38" s="567">
        <f>SUM(E39:E40)</f>
        <v>35100</v>
      </c>
      <c r="F38" s="567">
        <f>SUM(F39:F40)</f>
        <v>10500</v>
      </c>
      <c r="G38" s="567">
        <f>SUM(G39:G40)</f>
        <v>10500</v>
      </c>
      <c r="H38" s="567"/>
      <c r="I38" s="567">
        <f>SUM(I39:I40)</f>
        <v>10000</v>
      </c>
    </row>
    <row r="39" spans="1:9" s="324" customFormat="1" x14ac:dyDescent="0.2">
      <c r="A39" s="560" t="s">
        <v>42</v>
      </c>
      <c r="B39" s="541" t="s">
        <v>640</v>
      </c>
      <c r="C39" s="544">
        <v>6403</v>
      </c>
      <c r="D39" s="544">
        <v>6403</v>
      </c>
      <c r="E39" s="544">
        <v>25100</v>
      </c>
      <c r="F39" s="544">
        <v>6500</v>
      </c>
      <c r="G39" s="544">
        <v>6500</v>
      </c>
      <c r="H39" s="547">
        <v>2279</v>
      </c>
      <c r="I39" s="544">
        <v>6000</v>
      </c>
    </row>
    <row r="40" spans="1:9" s="324" customFormat="1" x14ac:dyDescent="0.2">
      <c r="A40" s="560" t="s">
        <v>43</v>
      </c>
      <c r="B40" s="541" t="s">
        <v>641</v>
      </c>
      <c r="C40" s="544">
        <v>3558</v>
      </c>
      <c r="D40" s="544">
        <v>3558</v>
      </c>
      <c r="E40" s="544">
        <v>10000</v>
      </c>
      <c r="F40" s="544">
        <v>4000</v>
      </c>
      <c r="G40" s="544">
        <v>4000</v>
      </c>
      <c r="H40" s="547">
        <v>2279</v>
      </c>
      <c r="I40" s="544">
        <v>4000</v>
      </c>
    </row>
    <row r="41" spans="1:9" s="324" customFormat="1" ht="12.75" customHeight="1" x14ac:dyDescent="0.2">
      <c r="A41" s="568">
        <v>5</v>
      </c>
      <c r="B41" s="569" t="s">
        <v>642</v>
      </c>
      <c r="C41" s="567">
        <f>SUM(C42:C46)</f>
        <v>1710</v>
      </c>
      <c r="D41" s="567">
        <f>SUM(D42:D46)</f>
        <v>1710</v>
      </c>
      <c r="E41" s="567">
        <f>SUM(E42:E46)</f>
        <v>1710</v>
      </c>
      <c r="F41" s="567">
        <f>SUM(F42:F46)</f>
        <v>1710</v>
      </c>
      <c r="G41" s="567">
        <f>SUM(G42:G46)</f>
        <v>1710</v>
      </c>
      <c r="H41" s="567"/>
      <c r="I41" s="567">
        <f>SUM(I42:I46)</f>
        <v>1710</v>
      </c>
    </row>
    <row r="42" spans="1:9" s="324" customFormat="1" x14ac:dyDescent="0.2">
      <c r="A42" s="1154" t="s">
        <v>47</v>
      </c>
      <c r="B42" s="1155" t="s">
        <v>991</v>
      </c>
      <c r="C42" s="544">
        <v>143</v>
      </c>
      <c r="D42" s="1161">
        <v>1710</v>
      </c>
      <c r="E42" s="1161">
        <v>1710</v>
      </c>
      <c r="F42" s="1161">
        <v>1710</v>
      </c>
      <c r="G42" s="544">
        <v>143</v>
      </c>
      <c r="H42" s="547">
        <v>2261</v>
      </c>
      <c r="I42" s="542">
        <v>143</v>
      </c>
    </row>
    <row r="43" spans="1:9" s="324" customFormat="1" x14ac:dyDescent="0.2">
      <c r="A43" s="1154"/>
      <c r="B43" s="1155"/>
      <c r="C43" s="544">
        <v>285</v>
      </c>
      <c r="D43" s="1161"/>
      <c r="E43" s="1161"/>
      <c r="F43" s="1161"/>
      <c r="G43" s="544">
        <v>285</v>
      </c>
      <c r="H43" s="547">
        <v>2262</v>
      </c>
      <c r="I43" s="542">
        <v>285</v>
      </c>
    </row>
    <row r="44" spans="1:9" s="324" customFormat="1" x14ac:dyDescent="0.2">
      <c r="A44" s="1154"/>
      <c r="B44" s="1155"/>
      <c r="C44" s="544">
        <v>570</v>
      </c>
      <c r="D44" s="1161"/>
      <c r="E44" s="1161"/>
      <c r="F44" s="1161"/>
      <c r="G44" s="544">
        <v>570</v>
      </c>
      <c r="H44" s="547">
        <v>2264</v>
      </c>
      <c r="I44" s="542">
        <v>570</v>
      </c>
    </row>
    <row r="45" spans="1:9" s="324" customFormat="1" x14ac:dyDescent="0.2">
      <c r="A45" s="1154"/>
      <c r="B45" s="1155"/>
      <c r="C45" s="544">
        <v>427</v>
      </c>
      <c r="D45" s="1161"/>
      <c r="E45" s="1161"/>
      <c r="F45" s="1161"/>
      <c r="G45" s="544">
        <v>427</v>
      </c>
      <c r="H45" s="547">
        <v>2279</v>
      </c>
      <c r="I45" s="542">
        <v>427</v>
      </c>
    </row>
    <row r="46" spans="1:9" s="324" customFormat="1" x14ac:dyDescent="0.2">
      <c r="A46" s="1154"/>
      <c r="B46" s="1155"/>
      <c r="C46" s="544">
        <v>285</v>
      </c>
      <c r="D46" s="1161"/>
      <c r="E46" s="1161"/>
      <c r="F46" s="1161"/>
      <c r="G46" s="544">
        <v>285</v>
      </c>
      <c r="H46" s="547">
        <v>2314</v>
      </c>
      <c r="I46" s="542">
        <v>285</v>
      </c>
    </row>
    <row r="47" spans="1:9" s="324" customFormat="1" x14ac:dyDescent="0.2">
      <c r="A47" s="568">
        <v>6</v>
      </c>
      <c r="B47" s="569" t="s">
        <v>643</v>
      </c>
      <c r="C47" s="406">
        <f>SUM(C48:C64)</f>
        <v>2069</v>
      </c>
      <c r="D47" s="567">
        <f>SUM(D48:D64)</f>
        <v>1953</v>
      </c>
      <c r="E47" s="567">
        <f>SUM(E48:E64)</f>
        <v>6440</v>
      </c>
      <c r="F47" s="567">
        <f>SUM(F48:F64)</f>
        <v>4570</v>
      </c>
      <c r="G47" s="567">
        <f>SUM(G48:G64)</f>
        <v>4570</v>
      </c>
      <c r="H47" s="567"/>
      <c r="I47" s="567">
        <f>SUM(I48:I64)</f>
        <v>3670</v>
      </c>
    </row>
    <row r="48" spans="1:9" s="324" customFormat="1" x14ac:dyDescent="0.2">
      <c r="A48" s="1154" t="s">
        <v>51</v>
      </c>
      <c r="B48" s="1155" t="s">
        <v>644</v>
      </c>
      <c r="C48" s="542">
        <v>114</v>
      </c>
      <c r="D48" s="1164">
        <v>257</v>
      </c>
      <c r="E48" s="1164">
        <v>250</v>
      </c>
      <c r="F48" s="1164">
        <v>250</v>
      </c>
      <c r="G48" s="542">
        <v>100</v>
      </c>
      <c r="H48" s="547">
        <v>2279</v>
      </c>
      <c r="I48" s="542">
        <v>100</v>
      </c>
    </row>
    <row r="49" spans="1:9" s="324" customFormat="1" ht="12.75" customHeight="1" x14ac:dyDescent="0.2">
      <c r="A49" s="1154"/>
      <c r="B49" s="1155"/>
      <c r="C49" s="542">
        <v>143</v>
      </c>
      <c r="D49" s="1164"/>
      <c r="E49" s="1164"/>
      <c r="F49" s="1164"/>
      <c r="G49" s="542">
        <v>150</v>
      </c>
      <c r="H49" s="1023">
        <v>2314</v>
      </c>
      <c r="I49" s="542">
        <v>150</v>
      </c>
    </row>
    <row r="50" spans="1:9" s="324" customFormat="1" x14ac:dyDescent="0.2">
      <c r="A50" s="1154" t="s">
        <v>52</v>
      </c>
      <c r="B50" s="1155" t="s">
        <v>645</v>
      </c>
      <c r="C50" s="542">
        <v>114</v>
      </c>
      <c r="D50" s="1164">
        <v>257</v>
      </c>
      <c r="E50" s="1164">
        <v>250</v>
      </c>
      <c r="F50" s="1164">
        <v>250</v>
      </c>
      <c r="G50" s="542">
        <v>100</v>
      </c>
      <c r="H50" s="547">
        <v>2279</v>
      </c>
      <c r="I50" s="542">
        <v>100</v>
      </c>
    </row>
    <row r="51" spans="1:9" s="324" customFormat="1" ht="12.75" customHeight="1" x14ac:dyDescent="0.2">
      <c r="A51" s="1154"/>
      <c r="B51" s="1155"/>
      <c r="C51" s="542">
        <v>143</v>
      </c>
      <c r="D51" s="1164"/>
      <c r="E51" s="1164"/>
      <c r="F51" s="1164"/>
      <c r="G51" s="542">
        <v>150</v>
      </c>
      <c r="H51" s="1023">
        <v>2314</v>
      </c>
      <c r="I51" s="542">
        <v>150</v>
      </c>
    </row>
    <row r="52" spans="1:9" s="324" customFormat="1" x14ac:dyDescent="0.2">
      <c r="A52" s="1154" t="s">
        <v>53</v>
      </c>
      <c r="B52" s="1155" t="s">
        <v>646</v>
      </c>
      <c r="C52" s="542">
        <v>72</v>
      </c>
      <c r="D52" s="1159">
        <v>0</v>
      </c>
      <c r="E52" s="1159">
        <v>450</v>
      </c>
      <c r="F52" s="1159">
        <v>450</v>
      </c>
      <c r="G52" s="542">
        <v>100</v>
      </c>
      <c r="H52" s="547">
        <v>2262</v>
      </c>
      <c r="I52" s="542">
        <v>100</v>
      </c>
    </row>
    <row r="53" spans="1:9" s="324" customFormat="1" x14ac:dyDescent="0.2">
      <c r="A53" s="1154"/>
      <c r="B53" s="1155"/>
      <c r="C53" s="542">
        <v>72</v>
      </c>
      <c r="D53" s="1159"/>
      <c r="E53" s="1159"/>
      <c r="F53" s="1159"/>
      <c r="G53" s="542">
        <v>150</v>
      </c>
      <c r="H53" s="547">
        <v>2264</v>
      </c>
      <c r="I53" s="542">
        <v>150</v>
      </c>
    </row>
    <row r="54" spans="1:9" s="324" customFormat="1" x14ac:dyDescent="0.2">
      <c r="A54" s="1154"/>
      <c r="B54" s="1155"/>
      <c r="C54" s="542">
        <v>72</v>
      </c>
      <c r="D54" s="1159"/>
      <c r="E54" s="1159"/>
      <c r="F54" s="1159"/>
      <c r="G54" s="542">
        <v>100</v>
      </c>
      <c r="H54" s="547">
        <v>2279</v>
      </c>
      <c r="I54" s="542">
        <v>100</v>
      </c>
    </row>
    <row r="55" spans="1:9" s="324" customFormat="1" x14ac:dyDescent="0.2">
      <c r="A55" s="1154"/>
      <c r="B55" s="1155"/>
      <c r="C55" s="542">
        <v>114</v>
      </c>
      <c r="D55" s="1159"/>
      <c r="E55" s="1159"/>
      <c r="F55" s="1159"/>
      <c r="G55" s="542">
        <v>100</v>
      </c>
      <c r="H55" s="1023">
        <v>2314</v>
      </c>
      <c r="I55" s="542">
        <v>100</v>
      </c>
    </row>
    <row r="56" spans="1:9" s="324" customFormat="1" x14ac:dyDescent="0.2">
      <c r="A56" s="898" t="s">
        <v>54</v>
      </c>
      <c r="B56" s="899" t="s">
        <v>647</v>
      </c>
      <c r="C56" s="542">
        <v>214</v>
      </c>
      <c r="D56" s="907">
        <v>428</v>
      </c>
      <c r="E56" s="908">
        <v>750</v>
      </c>
      <c r="F56" s="907">
        <f>SUM(G56:G56)</f>
        <v>650</v>
      </c>
      <c r="G56" s="904">
        <v>650</v>
      </c>
      <c r="H56" s="906">
        <v>2279</v>
      </c>
      <c r="I56" s="903">
        <v>650</v>
      </c>
    </row>
    <row r="57" spans="1:9" s="324" customFormat="1" x14ac:dyDescent="0.2">
      <c r="A57" s="1154" t="s">
        <v>55</v>
      </c>
      <c r="B57" s="1155" t="s">
        <v>648</v>
      </c>
      <c r="C57" s="1159">
        <v>0</v>
      </c>
      <c r="D57" s="1159">
        <v>0</v>
      </c>
      <c r="E57" s="1160">
        <v>270</v>
      </c>
      <c r="F57" s="1159">
        <v>270</v>
      </c>
      <c r="G57" s="545">
        <v>70</v>
      </c>
      <c r="H57" s="543">
        <v>2311</v>
      </c>
      <c r="I57" s="542">
        <v>70</v>
      </c>
    </row>
    <row r="58" spans="1:9" s="324" customFormat="1" x14ac:dyDescent="0.2">
      <c r="A58" s="1154"/>
      <c r="B58" s="1155"/>
      <c r="C58" s="1159"/>
      <c r="D58" s="1159"/>
      <c r="E58" s="1160"/>
      <c r="F58" s="1159"/>
      <c r="G58" s="545">
        <v>120</v>
      </c>
      <c r="H58" s="543">
        <v>2312</v>
      </c>
      <c r="I58" s="544">
        <v>120</v>
      </c>
    </row>
    <row r="59" spans="1:9" s="324" customFormat="1" x14ac:dyDescent="0.2">
      <c r="A59" s="1154"/>
      <c r="B59" s="1155"/>
      <c r="C59" s="1159"/>
      <c r="D59" s="1159"/>
      <c r="E59" s="1160"/>
      <c r="F59" s="1159"/>
      <c r="G59" s="545">
        <v>80</v>
      </c>
      <c r="H59" s="1023">
        <v>2314</v>
      </c>
      <c r="I59" s="542">
        <v>80</v>
      </c>
    </row>
    <row r="60" spans="1:9" s="324" customFormat="1" x14ac:dyDescent="0.2">
      <c r="A60" s="1154" t="s">
        <v>109</v>
      </c>
      <c r="B60" s="1155" t="s">
        <v>649</v>
      </c>
      <c r="C60" s="1159">
        <v>0</v>
      </c>
      <c r="D60" s="1159">
        <v>0</v>
      </c>
      <c r="E60" s="1160">
        <v>700</v>
      </c>
      <c r="F60" s="1159">
        <v>700</v>
      </c>
      <c r="G60" s="545">
        <v>150</v>
      </c>
      <c r="H60" s="543">
        <v>2262</v>
      </c>
      <c r="I60" s="542">
        <v>150</v>
      </c>
    </row>
    <row r="61" spans="1:9" s="324" customFormat="1" x14ac:dyDescent="0.2">
      <c r="A61" s="1154"/>
      <c r="B61" s="1155"/>
      <c r="C61" s="1159"/>
      <c r="D61" s="1159"/>
      <c r="E61" s="1160"/>
      <c r="F61" s="1159"/>
      <c r="G61" s="545">
        <v>150</v>
      </c>
      <c r="H61" s="543">
        <v>2264</v>
      </c>
      <c r="I61" s="544">
        <v>150</v>
      </c>
    </row>
    <row r="62" spans="1:9" s="324" customFormat="1" x14ac:dyDescent="0.2">
      <c r="A62" s="1154"/>
      <c r="B62" s="1155"/>
      <c r="C62" s="1159"/>
      <c r="D62" s="1159"/>
      <c r="E62" s="1160"/>
      <c r="F62" s="1159"/>
      <c r="G62" s="545">
        <v>200</v>
      </c>
      <c r="H62" s="543">
        <v>2279</v>
      </c>
      <c r="I62" s="542">
        <v>200</v>
      </c>
    </row>
    <row r="63" spans="1:9" s="324" customFormat="1" x14ac:dyDescent="0.2">
      <c r="A63" s="1154"/>
      <c r="B63" s="1155"/>
      <c r="C63" s="1159"/>
      <c r="D63" s="1159"/>
      <c r="E63" s="1160"/>
      <c r="F63" s="1159"/>
      <c r="G63" s="545">
        <v>200</v>
      </c>
      <c r="H63" s="1023">
        <v>2314</v>
      </c>
      <c r="I63" s="542">
        <v>200</v>
      </c>
    </row>
    <row r="64" spans="1:9" s="324" customFormat="1" x14ac:dyDescent="0.2">
      <c r="A64" s="573" t="s">
        <v>110</v>
      </c>
      <c r="B64" s="541" t="s">
        <v>650</v>
      </c>
      <c r="C64" s="544">
        <v>1011</v>
      </c>
      <c r="D64" s="544">
        <v>1011</v>
      </c>
      <c r="E64" s="546">
        <v>3770</v>
      </c>
      <c r="F64" s="544">
        <v>2000</v>
      </c>
      <c r="G64" s="546">
        <v>2000</v>
      </c>
      <c r="H64" s="543">
        <v>2279</v>
      </c>
      <c r="I64" s="544">
        <v>1100</v>
      </c>
    </row>
    <row r="65" spans="1:9" s="324" customFormat="1" ht="12.75" customHeight="1" x14ac:dyDescent="0.2">
      <c r="A65" s="568">
        <v>7</v>
      </c>
      <c r="B65" s="569" t="s">
        <v>651</v>
      </c>
      <c r="C65" s="406">
        <f>SUM(C66:C76)</f>
        <v>1144</v>
      </c>
      <c r="D65" s="567">
        <f>SUM(D66:D76)</f>
        <v>1049</v>
      </c>
      <c r="E65" s="567">
        <f>SUM(E66:E76)</f>
        <v>1752</v>
      </c>
      <c r="F65" s="567">
        <f>SUM(F66:F76)</f>
        <v>1752</v>
      </c>
      <c r="G65" s="567">
        <f>SUM(G66:G76)</f>
        <v>1752</v>
      </c>
      <c r="H65" s="567"/>
      <c r="I65" s="567">
        <f>SUM(I66:I76)</f>
        <v>1578</v>
      </c>
    </row>
    <row r="66" spans="1:9" s="324" customFormat="1" x14ac:dyDescent="0.2">
      <c r="A66" s="1154" t="s">
        <v>56</v>
      </c>
      <c r="B66" s="1155" t="s">
        <v>652</v>
      </c>
      <c r="C66" s="544">
        <v>72</v>
      </c>
      <c r="D66" s="1159">
        <v>338</v>
      </c>
      <c r="E66" s="1159">
        <v>588</v>
      </c>
      <c r="F66" s="1159">
        <v>588</v>
      </c>
      <c r="G66" s="544">
        <v>144</v>
      </c>
      <c r="H66" s="547">
        <v>2261</v>
      </c>
      <c r="I66" s="907">
        <v>144</v>
      </c>
    </row>
    <row r="67" spans="1:9" s="324" customFormat="1" x14ac:dyDescent="0.2">
      <c r="A67" s="1154"/>
      <c r="B67" s="1155"/>
      <c r="C67" s="544">
        <v>72</v>
      </c>
      <c r="D67" s="1159"/>
      <c r="E67" s="1159"/>
      <c r="F67" s="1159"/>
      <c r="G67" s="544">
        <v>144</v>
      </c>
      <c r="H67" s="547">
        <v>2264</v>
      </c>
      <c r="I67" s="907">
        <v>72</v>
      </c>
    </row>
    <row r="68" spans="1:9" s="324" customFormat="1" x14ac:dyDescent="0.2">
      <c r="A68" s="1154"/>
      <c r="B68" s="1155"/>
      <c r="C68" s="544">
        <v>285</v>
      </c>
      <c r="D68" s="1159"/>
      <c r="E68" s="1159"/>
      <c r="F68" s="1159"/>
      <c r="G68" s="544">
        <v>300</v>
      </c>
      <c r="H68" s="1023">
        <v>2314</v>
      </c>
      <c r="I68" s="907">
        <v>285</v>
      </c>
    </row>
    <row r="69" spans="1:9" s="324" customFormat="1" x14ac:dyDescent="0.2">
      <c r="A69" s="1154" t="s">
        <v>57</v>
      </c>
      <c r="B69" s="1155" t="s">
        <v>653</v>
      </c>
      <c r="C69" s="544">
        <v>0</v>
      </c>
      <c r="D69" s="1159">
        <v>0</v>
      </c>
      <c r="E69" s="1159">
        <v>294</v>
      </c>
      <c r="F69" s="1159">
        <v>294</v>
      </c>
      <c r="G69" s="544">
        <v>72</v>
      </c>
      <c r="H69" s="547">
        <v>2261</v>
      </c>
      <c r="I69" s="907">
        <v>72</v>
      </c>
    </row>
    <row r="70" spans="1:9" s="324" customFormat="1" x14ac:dyDescent="0.2">
      <c r="A70" s="1154"/>
      <c r="B70" s="1155"/>
      <c r="C70" s="544">
        <v>0</v>
      </c>
      <c r="D70" s="1159"/>
      <c r="E70" s="1159"/>
      <c r="F70" s="1159"/>
      <c r="G70" s="544">
        <v>72</v>
      </c>
      <c r="H70" s="547">
        <v>2264</v>
      </c>
      <c r="I70" s="907">
        <v>72</v>
      </c>
    </row>
    <row r="71" spans="1:9" s="324" customFormat="1" x14ac:dyDescent="0.2">
      <c r="A71" s="1154"/>
      <c r="B71" s="1155"/>
      <c r="C71" s="544">
        <v>0</v>
      </c>
      <c r="D71" s="1159"/>
      <c r="E71" s="1159"/>
      <c r="F71" s="1159"/>
      <c r="G71" s="544">
        <v>150</v>
      </c>
      <c r="H71" s="1023">
        <v>2314</v>
      </c>
      <c r="I71" s="907">
        <v>150</v>
      </c>
    </row>
    <row r="72" spans="1:9" s="324" customFormat="1" x14ac:dyDescent="0.2">
      <c r="A72" s="1157" t="s">
        <v>58</v>
      </c>
      <c r="B72" s="1155" t="s">
        <v>654</v>
      </c>
      <c r="C72" s="544">
        <v>72</v>
      </c>
      <c r="D72" s="1159">
        <v>425</v>
      </c>
      <c r="E72" s="1159">
        <v>588</v>
      </c>
      <c r="F72" s="1159">
        <v>588</v>
      </c>
      <c r="G72" s="544">
        <v>144</v>
      </c>
      <c r="H72" s="547">
        <v>2261</v>
      </c>
      <c r="I72" s="542">
        <v>144</v>
      </c>
    </row>
    <row r="73" spans="1:9" s="324" customFormat="1" x14ac:dyDescent="0.2">
      <c r="A73" s="1157"/>
      <c r="B73" s="1155"/>
      <c r="C73" s="544">
        <v>72</v>
      </c>
      <c r="D73" s="1159"/>
      <c r="E73" s="1159"/>
      <c r="F73" s="1159"/>
      <c r="G73" s="544">
        <v>144</v>
      </c>
      <c r="H73" s="547">
        <v>2264</v>
      </c>
      <c r="I73" s="542">
        <v>72</v>
      </c>
    </row>
    <row r="74" spans="1:9" s="324" customFormat="1" x14ac:dyDescent="0.2">
      <c r="A74" s="1157"/>
      <c r="B74" s="1155"/>
      <c r="C74" s="544">
        <v>285</v>
      </c>
      <c r="D74" s="1159"/>
      <c r="E74" s="1159"/>
      <c r="F74" s="1159"/>
      <c r="G74" s="544">
        <v>300</v>
      </c>
      <c r="H74" s="1023">
        <v>2314</v>
      </c>
      <c r="I74" s="542">
        <v>285</v>
      </c>
    </row>
    <row r="75" spans="1:9" s="324" customFormat="1" x14ac:dyDescent="0.2">
      <c r="A75" s="1154" t="s">
        <v>59</v>
      </c>
      <c r="B75" s="1155" t="s">
        <v>655</v>
      </c>
      <c r="C75" s="544">
        <v>72</v>
      </c>
      <c r="D75" s="1159">
        <v>286</v>
      </c>
      <c r="E75" s="1159">
        <v>282</v>
      </c>
      <c r="F75" s="1159">
        <v>282</v>
      </c>
      <c r="G75" s="544">
        <v>72</v>
      </c>
      <c r="H75" s="547">
        <v>2261</v>
      </c>
      <c r="I75" s="542">
        <v>72</v>
      </c>
    </row>
    <row r="76" spans="1:9" s="324" customFormat="1" x14ac:dyDescent="0.2">
      <c r="A76" s="1154"/>
      <c r="B76" s="1155"/>
      <c r="C76" s="544">
        <v>214</v>
      </c>
      <c r="D76" s="1159"/>
      <c r="E76" s="1159"/>
      <c r="F76" s="1159"/>
      <c r="G76" s="544">
        <v>210</v>
      </c>
      <c r="H76" s="1023">
        <v>2314</v>
      </c>
      <c r="I76" s="542">
        <v>210</v>
      </c>
    </row>
    <row r="77" spans="1:9" s="324" customFormat="1" x14ac:dyDescent="0.2">
      <c r="A77" s="568">
        <v>8</v>
      </c>
      <c r="B77" s="569" t="s">
        <v>656</v>
      </c>
      <c r="C77" s="406">
        <f>SUM(C78:C97)</f>
        <v>3195</v>
      </c>
      <c r="D77" s="567">
        <f>SUM(D78:D97)</f>
        <v>4022</v>
      </c>
      <c r="E77" s="567">
        <f>SUM(E78:E97)</f>
        <v>5619</v>
      </c>
      <c r="F77" s="567">
        <f>SUM(F78:F97)</f>
        <v>5619</v>
      </c>
      <c r="G77" s="567">
        <f>SUM(G78:G97)</f>
        <v>4520</v>
      </c>
      <c r="H77" s="567"/>
      <c r="I77" s="567">
        <f>SUM(I78:I97)</f>
        <v>4801</v>
      </c>
    </row>
    <row r="78" spans="1:9" s="324" customFormat="1" x14ac:dyDescent="0.2">
      <c r="A78" s="560" t="s">
        <v>66</v>
      </c>
      <c r="B78" s="541" t="s">
        <v>657</v>
      </c>
      <c r="C78" s="542">
        <v>83</v>
      </c>
      <c r="D78" s="544">
        <v>83</v>
      </c>
      <c r="E78" s="544">
        <v>84</v>
      </c>
      <c r="F78" s="544">
        <v>84</v>
      </c>
      <c r="G78" s="544">
        <v>84</v>
      </c>
      <c r="H78" s="547">
        <v>2279</v>
      </c>
      <c r="I78" s="544">
        <v>84</v>
      </c>
    </row>
    <row r="79" spans="1:9" s="324" customFormat="1" x14ac:dyDescent="0.2">
      <c r="A79" s="560" t="s">
        <v>97</v>
      </c>
      <c r="B79" s="541" t="s">
        <v>658</v>
      </c>
      <c r="C79" s="542">
        <v>157</v>
      </c>
      <c r="D79" s="544">
        <v>157</v>
      </c>
      <c r="E79" s="544">
        <v>108</v>
      </c>
      <c r="F79" s="544">
        <v>108</v>
      </c>
      <c r="G79" s="544">
        <v>108</v>
      </c>
      <c r="H79" s="547">
        <v>2279</v>
      </c>
      <c r="I79" s="544">
        <v>108</v>
      </c>
    </row>
    <row r="80" spans="1:9" s="324" customFormat="1" x14ac:dyDescent="0.2">
      <c r="A80" s="560" t="s">
        <v>98</v>
      </c>
      <c r="B80" s="541" t="s">
        <v>659</v>
      </c>
      <c r="C80" s="542">
        <v>137</v>
      </c>
      <c r="D80" s="544">
        <v>137</v>
      </c>
      <c r="E80" s="544">
        <v>108</v>
      </c>
      <c r="F80" s="544">
        <v>108</v>
      </c>
      <c r="G80" s="544">
        <v>108</v>
      </c>
      <c r="H80" s="547">
        <v>2279</v>
      </c>
      <c r="I80" s="544">
        <v>108</v>
      </c>
    </row>
    <row r="81" spans="1:9" s="324" customFormat="1" x14ac:dyDescent="0.2">
      <c r="A81" s="560" t="s">
        <v>660</v>
      </c>
      <c r="B81" s="541" t="s">
        <v>661</v>
      </c>
      <c r="C81" s="542">
        <v>204</v>
      </c>
      <c r="D81" s="544">
        <v>204</v>
      </c>
      <c r="E81" s="544">
        <v>186</v>
      </c>
      <c r="F81" s="544">
        <v>186</v>
      </c>
      <c r="G81" s="544">
        <v>186</v>
      </c>
      <c r="H81" s="547">
        <v>2279</v>
      </c>
      <c r="I81" s="544">
        <v>186</v>
      </c>
    </row>
    <row r="82" spans="1:9" s="324" customFormat="1" x14ac:dyDescent="0.2">
      <c r="A82" s="560" t="s">
        <v>662</v>
      </c>
      <c r="B82" s="541" t="s">
        <v>663</v>
      </c>
      <c r="C82" s="542">
        <v>284</v>
      </c>
      <c r="D82" s="544">
        <v>284</v>
      </c>
      <c r="E82" s="544">
        <v>288</v>
      </c>
      <c r="F82" s="544">
        <v>288</v>
      </c>
      <c r="G82" s="544">
        <v>288</v>
      </c>
      <c r="H82" s="547">
        <v>2279</v>
      </c>
      <c r="I82" s="544">
        <v>288</v>
      </c>
    </row>
    <row r="83" spans="1:9" s="324" customFormat="1" x14ac:dyDescent="0.2">
      <c r="A83" s="560" t="s">
        <v>664</v>
      </c>
      <c r="B83" s="541" t="s">
        <v>665</v>
      </c>
      <c r="C83" s="542">
        <v>284</v>
      </c>
      <c r="D83" s="544">
        <v>284</v>
      </c>
      <c r="E83" s="544">
        <v>216</v>
      </c>
      <c r="F83" s="544">
        <v>216</v>
      </c>
      <c r="G83" s="544">
        <v>216</v>
      </c>
      <c r="H83" s="547">
        <v>2279</v>
      </c>
      <c r="I83" s="544">
        <v>216</v>
      </c>
    </row>
    <row r="84" spans="1:9" s="324" customFormat="1" x14ac:dyDescent="0.2">
      <c r="A84" s="560" t="s">
        <v>666</v>
      </c>
      <c r="B84" s="541" t="s">
        <v>667</v>
      </c>
      <c r="C84" s="542">
        <v>360</v>
      </c>
      <c r="D84" s="544">
        <v>360</v>
      </c>
      <c r="E84" s="544">
        <v>360</v>
      </c>
      <c r="F84" s="544">
        <v>360</v>
      </c>
      <c r="G84" s="544">
        <v>360</v>
      </c>
      <c r="H84" s="547">
        <v>2279</v>
      </c>
      <c r="I84" s="544">
        <v>360</v>
      </c>
    </row>
    <row r="85" spans="1:9" s="324" customFormat="1" x14ac:dyDescent="0.2">
      <c r="A85" s="560" t="s">
        <v>668</v>
      </c>
      <c r="B85" s="541" t="s">
        <v>669</v>
      </c>
      <c r="C85" s="542">
        <v>153</v>
      </c>
      <c r="D85" s="544">
        <v>153</v>
      </c>
      <c r="E85" s="544">
        <v>120</v>
      </c>
      <c r="F85" s="544">
        <v>120</v>
      </c>
      <c r="G85" s="544">
        <v>120</v>
      </c>
      <c r="H85" s="547">
        <v>2279</v>
      </c>
      <c r="I85" s="544">
        <v>120</v>
      </c>
    </row>
    <row r="86" spans="1:9" s="324" customFormat="1" x14ac:dyDescent="0.2">
      <c r="A86" s="560" t="s">
        <v>670</v>
      </c>
      <c r="B86" s="541" t="s">
        <v>671</v>
      </c>
      <c r="C86" s="542">
        <v>89</v>
      </c>
      <c r="D86" s="544">
        <v>89</v>
      </c>
      <c r="E86" s="544">
        <v>72</v>
      </c>
      <c r="F86" s="544">
        <v>72</v>
      </c>
      <c r="G86" s="544">
        <v>72</v>
      </c>
      <c r="H86" s="547">
        <v>2279</v>
      </c>
      <c r="I86" s="544">
        <v>72</v>
      </c>
    </row>
    <row r="87" spans="1:9" s="324" customFormat="1" x14ac:dyDescent="0.2">
      <c r="A87" s="560" t="s">
        <v>672</v>
      </c>
      <c r="B87" s="541" t="s">
        <v>673</v>
      </c>
      <c r="C87" s="542">
        <v>139</v>
      </c>
      <c r="D87" s="544">
        <v>139</v>
      </c>
      <c r="E87" s="544">
        <v>132</v>
      </c>
      <c r="F87" s="544">
        <v>132</v>
      </c>
      <c r="G87" s="544">
        <v>132</v>
      </c>
      <c r="H87" s="547">
        <v>2279</v>
      </c>
      <c r="I87" s="544">
        <v>132</v>
      </c>
    </row>
    <row r="88" spans="1:9" s="324" customFormat="1" x14ac:dyDescent="0.2">
      <c r="A88" s="560" t="s">
        <v>674</v>
      </c>
      <c r="B88" s="541" t="s">
        <v>675</v>
      </c>
      <c r="C88" s="542">
        <v>160</v>
      </c>
      <c r="D88" s="544">
        <v>160</v>
      </c>
      <c r="E88" s="544">
        <v>210</v>
      </c>
      <c r="F88" s="544">
        <v>210</v>
      </c>
      <c r="G88" s="544">
        <v>210</v>
      </c>
      <c r="H88" s="547">
        <v>2279</v>
      </c>
      <c r="I88" s="544">
        <v>210</v>
      </c>
    </row>
    <row r="89" spans="1:9" s="324" customFormat="1" x14ac:dyDescent="0.2">
      <c r="A89" s="560" t="s">
        <v>676</v>
      </c>
      <c r="B89" s="541" t="s">
        <v>677</v>
      </c>
      <c r="C89" s="542">
        <v>0</v>
      </c>
      <c r="D89" s="544">
        <v>0</v>
      </c>
      <c r="E89" s="544">
        <v>72</v>
      </c>
      <c r="F89" s="544">
        <v>72</v>
      </c>
      <c r="G89" s="544">
        <v>72</v>
      </c>
      <c r="H89" s="547">
        <v>2279</v>
      </c>
      <c r="I89" s="544">
        <v>72</v>
      </c>
    </row>
    <row r="90" spans="1:9" s="324" customFormat="1" x14ac:dyDescent="0.2">
      <c r="A90" s="560" t="s">
        <v>678</v>
      </c>
      <c r="B90" s="541" t="s">
        <v>679</v>
      </c>
      <c r="C90" s="542">
        <v>77</v>
      </c>
      <c r="D90" s="544">
        <v>77</v>
      </c>
      <c r="E90" s="544">
        <v>84</v>
      </c>
      <c r="F90" s="544">
        <v>84</v>
      </c>
      <c r="G90" s="544">
        <v>84</v>
      </c>
      <c r="H90" s="547">
        <v>2279</v>
      </c>
      <c r="I90" s="544">
        <v>84</v>
      </c>
    </row>
    <row r="91" spans="1:9" s="324" customFormat="1" x14ac:dyDescent="0.2">
      <c r="A91" s="1154" t="s">
        <v>680</v>
      </c>
      <c r="B91" s="1155" t="s">
        <v>681</v>
      </c>
      <c r="C91" s="544">
        <v>0</v>
      </c>
      <c r="D91" s="1159">
        <v>0</v>
      </c>
      <c r="E91" s="1159">
        <v>1204</v>
      </c>
      <c r="F91" s="544">
        <v>160</v>
      </c>
      <c r="G91" s="544">
        <v>160</v>
      </c>
      <c r="H91" s="547">
        <v>2264</v>
      </c>
      <c r="I91" s="544">
        <v>144</v>
      </c>
    </row>
    <row r="92" spans="1:9" s="324" customFormat="1" x14ac:dyDescent="0.2">
      <c r="A92" s="1154"/>
      <c r="B92" s="1155"/>
      <c r="C92" s="544">
        <v>0</v>
      </c>
      <c r="D92" s="1159"/>
      <c r="E92" s="1159"/>
      <c r="F92" s="544">
        <v>294</v>
      </c>
      <c r="G92" s="544">
        <v>294</v>
      </c>
      <c r="H92" s="547">
        <v>2279</v>
      </c>
      <c r="I92" s="544">
        <v>294</v>
      </c>
    </row>
    <row r="93" spans="1:9" s="324" customFormat="1" x14ac:dyDescent="0.2">
      <c r="A93" s="1154"/>
      <c r="B93" s="1155"/>
      <c r="C93" s="544">
        <v>0</v>
      </c>
      <c r="D93" s="1159"/>
      <c r="E93" s="1159"/>
      <c r="F93" s="544">
        <v>150</v>
      </c>
      <c r="G93" s="544">
        <v>150</v>
      </c>
      <c r="H93" s="547">
        <v>2312</v>
      </c>
      <c r="I93" s="544">
        <v>150</v>
      </c>
    </row>
    <row r="94" spans="1:9" s="324" customFormat="1" x14ac:dyDescent="0.2">
      <c r="A94" s="1154"/>
      <c r="B94" s="1155"/>
      <c r="C94" s="544">
        <v>0</v>
      </c>
      <c r="D94" s="1159"/>
      <c r="E94" s="1159"/>
      <c r="F94" s="544">
        <v>600</v>
      </c>
      <c r="G94" s="544">
        <v>600</v>
      </c>
      <c r="H94" s="1023">
        <v>2314</v>
      </c>
      <c r="I94" s="544">
        <v>400</v>
      </c>
    </row>
    <row r="95" spans="1:9" s="324" customFormat="1" x14ac:dyDescent="0.2">
      <c r="A95" s="898" t="s">
        <v>682</v>
      </c>
      <c r="B95" s="899" t="s">
        <v>683</v>
      </c>
      <c r="C95" s="544">
        <v>0</v>
      </c>
      <c r="D95" s="903">
        <v>262</v>
      </c>
      <c r="E95" s="903">
        <v>715</v>
      </c>
      <c r="F95" s="903">
        <v>715</v>
      </c>
      <c r="G95" s="544">
        <v>138</v>
      </c>
      <c r="H95" s="1023">
        <v>2314</v>
      </c>
      <c r="I95" s="542">
        <v>428</v>
      </c>
    </row>
    <row r="96" spans="1:9" s="324" customFormat="1" x14ac:dyDescent="0.2">
      <c r="A96" s="901" t="s">
        <v>684</v>
      </c>
      <c r="B96" s="899" t="s">
        <v>685</v>
      </c>
      <c r="C96" s="544">
        <v>356</v>
      </c>
      <c r="D96" s="904">
        <v>570</v>
      </c>
      <c r="E96" s="904">
        <v>660</v>
      </c>
      <c r="F96" s="904">
        <v>660</v>
      </c>
      <c r="G96" s="544">
        <v>138</v>
      </c>
      <c r="H96" s="1023">
        <v>2314</v>
      </c>
      <c r="I96" s="542">
        <v>345</v>
      </c>
    </row>
    <row r="97" spans="1:9" s="324" customFormat="1" x14ac:dyDescent="0.2">
      <c r="A97" s="898" t="s">
        <v>686</v>
      </c>
      <c r="B97" s="899" t="s">
        <v>687</v>
      </c>
      <c r="C97" s="544">
        <v>712</v>
      </c>
      <c r="D97" s="903">
        <v>1063</v>
      </c>
      <c r="E97" s="903">
        <v>1000</v>
      </c>
      <c r="F97" s="903">
        <v>1000</v>
      </c>
      <c r="G97" s="903">
        <v>1000</v>
      </c>
      <c r="H97" s="905">
        <v>2279</v>
      </c>
      <c r="I97" s="903">
        <v>1000</v>
      </c>
    </row>
    <row r="98" spans="1:9" s="324" customFormat="1" x14ac:dyDescent="0.2">
      <c r="A98" s="568">
        <v>9</v>
      </c>
      <c r="B98" s="569" t="s">
        <v>688</v>
      </c>
      <c r="C98" s="406">
        <f>SUM(C99:C108)</f>
        <v>1327</v>
      </c>
      <c r="D98" s="567">
        <f>SUM(D99:D108)</f>
        <v>1327</v>
      </c>
      <c r="E98" s="567">
        <f>SUM(E99:E108)</f>
        <v>5771</v>
      </c>
      <c r="F98" s="567">
        <f>SUM(F99:F108)</f>
        <v>4951</v>
      </c>
      <c r="G98" s="567">
        <f>SUM(G99:G108)</f>
        <v>4951</v>
      </c>
      <c r="H98" s="567"/>
      <c r="I98" s="567">
        <f>SUM(I99:I108)</f>
        <v>2688</v>
      </c>
    </row>
    <row r="99" spans="1:9" s="324" customFormat="1" x14ac:dyDescent="0.2">
      <c r="A99" s="560" t="s">
        <v>68</v>
      </c>
      <c r="B99" s="541" t="s">
        <v>689</v>
      </c>
      <c r="C99" s="542">
        <v>342</v>
      </c>
      <c r="D99" s="544">
        <v>342</v>
      </c>
      <c r="E99" s="544">
        <v>592</v>
      </c>
      <c r="F99" s="544">
        <v>592</v>
      </c>
      <c r="G99" s="544">
        <v>592</v>
      </c>
      <c r="H99" s="547">
        <v>2279</v>
      </c>
      <c r="I99" s="544">
        <v>342</v>
      </c>
    </row>
    <row r="100" spans="1:9" s="324" customFormat="1" x14ac:dyDescent="0.2">
      <c r="A100" s="560" t="s">
        <v>69</v>
      </c>
      <c r="B100" s="541" t="s">
        <v>690</v>
      </c>
      <c r="C100" s="542">
        <v>143</v>
      </c>
      <c r="D100" s="544">
        <v>143</v>
      </c>
      <c r="E100" s="544">
        <v>426</v>
      </c>
      <c r="F100" s="544">
        <v>406</v>
      </c>
      <c r="G100" s="544">
        <v>406</v>
      </c>
      <c r="H100" s="547">
        <v>2279</v>
      </c>
      <c r="I100" s="544">
        <v>426</v>
      </c>
    </row>
    <row r="101" spans="1:9" s="324" customFormat="1" x14ac:dyDescent="0.2">
      <c r="A101" s="560" t="s">
        <v>70</v>
      </c>
      <c r="B101" s="541" t="s">
        <v>691</v>
      </c>
      <c r="C101" s="542">
        <v>171</v>
      </c>
      <c r="D101" s="544">
        <v>171</v>
      </c>
      <c r="E101" s="544">
        <v>456</v>
      </c>
      <c r="F101" s="544">
        <v>406</v>
      </c>
      <c r="G101" s="544">
        <v>406</v>
      </c>
      <c r="H101" s="547">
        <v>2279</v>
      </c>
      <c r="I101" s="544">
        <v>171</v>
      </c>
    </row>
    <row r="102" spans="1:9" s="324" customFormat="1" x14ac:dyDescent="0.2">
      <c r="A102" s="560" t="s">
        <v>692</v>
      </c>
      <c r="B102" s="541" t="s">
        <v>693</v>
      </c>
      <c r="C102" s="542">
        <v>171</v>
      </c>
      <c r="D102" s="544">
        <v>171</v>
      </c>
      <c r="E102" s="544">
        <v>981</v>
      </c>
      <c r="F102" s="544">
        <v>681</v>
      </c>
      <c r="G102" s="544">
        <v>681</v>
      </c>
      <c r="H102" s="547">
        <v>2279</v>
      </c>
      <c r="I102" s="544">
        <v>171</v>
      </c>
    </row>
    <row r="103" spans="1:9" s="324" customFormat="1" x14ac:dyDescent="0.2">
      <c r="A103" s="560" t="s">
        <v>694</v>
      </c>
      <c r="B103" s="541" t="s">
        <v>695</v>
      </c>
      <c r="C103" s="542">
        <v>214</v>
      </c>
      <c r="D103" s="544">
        <v>214</v>
      </c>
      <c r="E103" s="544">
        <v>762</v>
      </c>
      <c r="F103" s="544">
        <v>562</v>
      </c>
      <c r="G103" s="544">
        <v>562</v>
      </c>
      <c r="H103" s="547">
        <v>2279</v>
      </c>
      <c r="I103" s="544">
        <v>220</v>
      </c>
    </row>
    <row r="104" spans="1:9" s="324" customFormat="1" x14ac:dyDescent="0.2">
      <c r="A104" s="560" t="s">
        <v>696</v>
      </c>
      <c r="B104" s="541" t="s">
        <v>697</v>
      </c>
      <c r="C104" s="542">
        <v>143</v>
      </c>
      <c r="D104" s="544">
        <v>143</v>
      </c>
      <c r="E104" s="544">
        <v>600</v>
      </c>
      <c r="F104" s="544">
        <v>500</v>
      </c>
      <c r="G104" s="544">
        <v>500</v>
      </c>
      <c r="H104" s="547">
        <v>2279</v>
      </c>
      <c r="I104" s="544">
        <v>150</v>
      </c>
    </row>
    <row r="105" spans="1:9" s="324" customFormat="1" x14ac:dyDescent="0.2">
      <c r="A105" s="573" t="s">
        <v>698</v>
      </c>
      <c r="B105" s="541" t="s">
        <v>700</v>
      </c>
      <c r="C105" s="542">
        <v>143</v>
      </c>
      <c r="D105" s="544">
        <v>143</v>
      </c>
      <c r="E105" s="544">
        <v>426</v>
      </c>
      <c r="F105" s="544">
        <v>376</v>
      </c>
      <c r="G105" s="544">
        <v>376</v>
      </c>
      <c r="H105" s="547">
        <v>2279</v>
      </c>
      <c r="I105" s="544">
        <v>150</v>
      </c>
    </row>
    <row r="106" spans="1:9" s="324" customFormat="1" x14ac:dyDescent="0.2">
      <c r="A106" s="560" t="s">
        <v>699</v>
      </c>
      <c r="B106" s="541" t="s">
        <v>702</v>
      </c>
      <c r="C106" s="542">
        <v>0</v>
      </c>
      <c r="D106" s="544">
        <v>0</v>
      </c>
      <c r="E106" s="544">
        <v>718</v>
      </c>
      <c r="F106" s="544">
        <v>618</v>
      </c>
      <c r="G106" s="544">
        <v>618</v>
      </c>
      <c r="H106" s="547">
        <v>2279</v>
      </c>
      <c r="I106" s="544">
        <v>618</v>
      </c>
    </row>
    <row r="107" spans="1:9" s="324" customFormat="1" x14ac:dyDescent="0.2">
      <c r="A107" s="560" t="s">
        <v>701</v>
      </c>
      <c r="B107" s="541" t="s">
        <v>704</v>
      </c>
      <c r="C107" s="542">
        <v>0</v>
      </c>
      <c r="D107" s="544">
        <v>0</v>
      </c>
      <c r="E107" s="544">
        <v>345</v>
      </c>
      <c r="F107" s="544">
        <v>345</v>
      </c>
      <c r="G107" s="544">
        <v>345</v>
      </c>
      <c r="H107" s="547">
        <v>2279</v>
      </c>
      <c r="I107" s="544">
        <v>220</v>
      </c>
    </row>
    <row r="108" spans="1:9" s="324" customFormat="1" x14ac:dyDescent="0.2">
      <c r="A108" s="560" t="s">
        <v>703</v>
      </c>
      <c r="B108" s="541" t="s">
        <v>705</v>
      </c>
      <c r="C108" s="542">
        <v>0</v>
      </c>
      <c r="D108" s="544">
        <v>0</v>
      </c>
      <c r="E108" s="544">
        <v>465</v>
      </c>
      <c r="F108" s="544">
        <v>465</v>
      </c>
      <c r="G108" s="544">
        <v>465</v>
      </c>
      <c r="H108" s="547">
        <v>2279</v>
      </c>
      <c r="I108" s="544">
        <v>220</v>
      </c>
    </row>
    <row r="109" spans="1:9" s="324" customFormat="1" x14ac:dyDescent="0.2">
      <c r="A109" s="568">
        <v>10</v>
      </c>
      <c r="B109" s="569" t="s">
        <v>706</v>
      </c>
      <c r="C109" s="406">
        <f>SUM(C110:C115)</f>
        <v>6697</v>
      </c>
      <c r="D109" s="567">
        <f>SUM(D110:D115)</f>
        <v>6059</v>
      </c>
      <c r="E109" s="567">
        <f>SUM(E110:E115)</f>
        <v>6457</v>
      </c>
      <c r="F109" s="567">
        <f>SUM(F110:F115)</f>
        <v>6457</v>
      </c>
      <c r="G109" s="567">
        <f>SUM(G110:G115)</f>
        <v>6457</v>
      </c>
      <c r="H109" s="567"/>
      <c r="I109" s="567">
        <f>SUM(I110:I115)</f>
        <v>6477</v>
      </c>
    </row>
    <row r="110" spans="1:9" s="324" customFormat="1" x14ac:dyDescent="0.2">
      <c r="A110" s="1154" t="s">
        <v>72</v>
      </c>
      <c r="B110" s="1155" t="s">
        <v>707</v>
      </c>
      <c r="C110" s="544">
        <v>570</v>
      </c>
      <c r="D110" s="1159">
        <v>2924</v>
      </c>
      <c r="E110" s="1159">
        <v>3275</v>
      </c>
      <c r="F110" s="1159">
        <v>3275</v>
      </c>
      <c r="G110" s="544">
        <v>570</v>
      </c>
      <c r="H110" s="547">
        <v>2264</v>
      </c>
      <c r="I110" s="542">
        <v>570</v>
      </c>
    </row>
    <row r="111" spans="1:9" s="324" customFormat="1" x14ac:dyDescent="0.2">
      <c r="A111" s="1154"/>
      <c r="B111" s="1155"/>
      <c r="C111" s="544">
        <f>499+712</f>
        <v>1211</v>
      </c>
      <c r="D111" s="1159"/>
      <c r="E111" s="1159"/>
      <c r="F111" s="1159"/>
      <c r="G111" s="544">
        <f>500+720</f>
        <v>1220</v>
      </c>
      <c r="H111" s="547">
        <v>2279</v>
      </c>
      <c r="I111" s="542">
        <v>1220</v>
      </c>
    </row>
    <row r="112" spans="1:9" s="324" customFormat="1" x14ac:dyDescent="0.2">
      <c r="A112" s="1154"/>
      <c r="B112" s="1155"/>
      <c r="C112" s="544">
        <f>499+997+285</f>
        <v>1781</v>
      </c>
      <c r="D112" s="1159"/>
      <c r="E112" s="1159"/>
      <c r="F112" s="1159"/>
      <c r="G112" s="544">
        <f>500+700+285</f>
        <v>1485</v>
      </c>
      <c r="H112" s="1023">
        <v>2314</v>
      </c>
      <c r="I112" s="542">
        <v>1485</v>
      </c>
    </row>
    <row r="113" spans="1:9" s="324" customFormat="1" x14ac:dyDescent="0.2">
      <c r="A113" s="1154" t="s">
        <v>73</v>
      </c>
      <c r="B113" s="1155" t="s">
        <v>708</v>
      </c>
      <c r="C113" s="542">
        <v>570</v>
      </c>
      <c r="D113" s="1159">
        <v>3135</v>
      </c>
      <c r="E113" s="1159">
        <v>3182</v>
      </c>
      <c r="F113" s="1159">
        <v>3182</v>
      </c>
      <c r="G113" s="544">
        <v>600</v>
      </c>
      <c r="H113" s="547">
        <v>2264</v>
      </c>
      <c r="I113" s="542">
        <v>600</v>
      </c>
    </row>
    <row r="114" spans="1:9" s="324" customFormat="1" x14ac:dyDescent="0.2">
      <c r="A114" s="1154"/>
      <c r="B114" s="1155"/>
      <c r="C114" s="542">
        <f>712+499</f>
        <v>1211</v>
      </c>
      <c r="D114" s="1159"/>
      <c r="E114" s="1159"/>
      <c r="F114" s="1159"/>
      <c r="G114" s="544">
        <f>712+500</f>
        <v>1212</v>
      </c>
      <c r="H114" s="547">
        <v>2279</v>
      </c>
      <c r="I114" s="542">
        <v>1212</v>
      </c>
    </row>
    <row r="115" spans="1:9" s="324" customFormat="1" x14ac:dyDescent="0.2">
      <c r="A115" s="1154"/>
      <c r="B115" s="1155"/>
      <c r="C115" s="542">
        <f>285+499+570</f>
        <v>1354</v>
      </c>
      <c r="D115" s="1159"/>
      <c r="E115" s="1159"/>
      <c r="F115" s="1159"/>
      <c r="G115" s="544">
        <f>300+500+570</f>
        <v>1370</v>
      </c>
      <c r="H115" s="1023">
        <v>2314</v>
      </c>
      <c r="I115" s="542">
        <v>1390</v>
      </c>
    </row>
    <row r="116" spans="1:9" s="324" customFormat="1" ht="14.25" customHeight="1" x14ac:dyDescent="0.2">
      <c r="A116" s="568">
        <v>11</v>
      </c>
      <c r="B116" s="569" t="s">
        <v>709</v>
      </c>
      <c r="C116" s="406">
        <f>SUM(C117:C123)</f>
        <v>16474</v>
      </c>
      <c r="D116" s="567">
        <f>SUM(D117:D123)</f>
        <v>16474</v>
      </c>
      <c r="E116" s="567">
        <f>SUM(E117:E123)</f>
        <v>380088.79</v>
      </c>
      <c r="F116" s="567">
        <f>SUM(F117:F123)</f>
        <v>377889</v>
      </c>
      <c r="G116" s="567">
        <f>SUM(G117:G123)</f>
        <v>377889</v>
      </c>
      <c r="H116" s="567"/>
      <c r="I116" s="567">
        <f>SUM(I117:I123)</f>
        <v>372164</v>
      </c>
    </row>
    <row r="117" spans="1:9" s="324" customFormat="1" x14ac:dyDescent="0.2">
      <c r="A117" s="560" t="s">
        <v>74</v>
      </c>
      <c r="B117" s="541" t="s">
        <v>710</v>
      </c>
      <c r="C117" s="544">
        <v>9249</v>
      </c>
      <c r="D117" s="325">
        <v>9249</v>
      </c>
      <c r="E117" s="325">
        <v>10050</v>
      </c>
      <c r="F117" s="325">
        <v>10050</v>
      </c>
      <c r="G117" s="325">
        <v>10050</v>
      </c>
      <c r="H117" s="543">
        <v>2279</v>
      </c>
      <c r="I117" s="542">
        <v>6000</v>
      </c>
    </row>
    <row r="118" spans="1:9" s="324" customFormat="1" x14ac:dyDescent="0.2">
      <c r="A118" s="560" t="s">
        <v>75</v>
      </c>
      <c r="B118" s="541" t="s">
        <v>711</v>
      </c>
      <c r="C118" s="544">
        <v>0</v>
      </c>
      <c r="D118" s="544">
        <v>0</v>
      </c>
      <c r="E118" s="546">
        <v>7100</v>
      </c>
      <c r="F118" s="544">
        <v>5100</v>
      </c>
      <c r="G118" s="546">
        <v>5100</v>
      </c>
      <c r="H118" s="543">
        <v>2279</v>
      </c>
      <c r="I118" s="544">
        <v>4000</v>
      </c>
    </row>
    <row r="119" spans="1:9" s="324" customFormat="1" x14ac:dyDescent="0.2">
      <c r="A119" s="560" t="s">
        <v>712</v>
      </c>
      <c r="B119" s="541" t="s">
        <v>713</v>
      </c>
      <c r="C119" s="544">
        <v>4625</v>
      </c>
      <c r="D119" s="542">
        <v>4625</v>
      </c>
      <c r="E119" s="545">
        <v>5400</v>
      </c>
      <c r="F119" s="542">
        <v>5200</v>
      </c>
      <c r="G119" s="545">
        <v>5200</v>
      </c>
      <c r="H119" s="543">
        <v>2279</v>
      </c>
      <c r="I119" s="544">
        <v>4625</v>
      </c>
    </row>
    <row r="120" spans="1:9" s="324" customFormat="1" x14ac:dyDescent="0.2">
      <c r="A120" s="560" t="s">
        <v>714</v>
      </c>
      <c r="B120" s="541" t="s">
        <v>716</v>
      </c>
      <c r="C120" s="544">
        <v>0</v>
      </c>
      <c r="D120" s="542">
        <v>0</v>
      </c>
      <c r="E120" s="545">
        <v>350898.79</v>
      </c>
      <c r="F120" s="542">
        <v>350899</v>
      </c>
      <c r="G120" s="545">
        <v>350899</v>
      </c>
      <c r="H120" s="326">
        <v>2279</v>
      </c>
      <c r="I120" s="544">
        <v>350899</v>
      </c>
    </row>
    <row r="121" spans="1:9" s="324" customFormat="1" x14ac:dyDescent="0.2">
      <c r="A121" s="1154" t="s">
        <v>715</v>
      </c>
      <c r="B121" s="1155" t="s">
        <v>718</v>
      </c>
      <c r="C121" s="1159">
        <v>0</v>
      </c>
      <c r="D121" s="1159">
        <v>0</v>
      </c>
      <c r="E121" s="1160">
        <v>1440</v>
      </c>
      <c r="F121" s="1159">
        <v>1440</v>
      </c>
      <c r="G121" s="545">
        <v>960</v>
      </c>
      <c r="H121" s="326">
        <v>2279</v>
      </c>
      <c r="I121" s="544">
        <v>960</v>
      </c>
    </row>
    <row r="122" spans="1:9" s="324" customFormat="1" x14ac:dyDescent="0.2">
      <c r="A122" s="1154"/>
      <c r="B122" s="1155"/>
      <c r="C122" s="1159"/>
      <c r="D122" s="1159"/>
      <c r="E122" s="1160"/>
      <c r="F122" s="1159"/>
      <c r="G122" s="545">
        <v>480</v>
      </c>
      <c r="H122" s="543">
        <v>2269</v>
      </c>
      <c r="I122" s="544">
        <v>480</v>
      </c>
    </row>
    <row r="123" spans="1:9" s="324" customFormat="1" x14ac:dyDescent="0.2">
      <c r="A123" s="560" t="s">
        <v>717</v>
      </c>
      <c r="B123" s="541" t="s">
        <v>719</v>
      </c>
      <c r="C123" s="544">
        <v>2600</v>
      </c>
      <c r="D123" s="544">
        <v>2600</v>
      </c>
      <c r="E123" s="546">
        <v>5200</v>
      </c>
      <c r="F123" s="544">
        <v>5200</v>
      </c>
      <c r="G123" s="546">
        <v>5200</v>
      </c>
      <c r="H123" s="543">
        <v>2279</v>
      </c>
      <c r="I123" s="572">
        <v>5200</v>
      </c>
    </row>
    <row r="124" spans="1:9" s="324" customFormat="1" x14ac:dyDescent="0.2">
      <c r="A124" s="568">
        <v>12</v>
      </c>
      <c r="B124" s="569" t="s">
        <v>720</v>
      </c>
      <c r="C124" s="567">
        <f>SUM(C125)</f>
        <v>1423</v>
      </c>
      <c r="D124" s="567">
        <f>SUM(D125)</f>
        <v>1417</v>
      </c>
      <c r="E124" s="567">
        <f>SUM(E125)</f>
        <v>4499</v>
      </c>
      <c r="F124" s="567">
        <f>SUM(F125)</f>
        <v>2600</v>
      </c>
      <c r="G124" s="567">
        <f>SUM(G125)</f>
        <v>2600</v>
      </c>
      <c r="H124" s="567"/>
      <c r="I124" s="567">
        <f>SUM(I125)</f>
        <v>1425</v>
      </c>
    </row>
    <row r="125" spans="1:9" s="324" customFormat="1" x14ac:dyDescent="0.2">
      <c r="A125" s="560" t="s">
        <v>76</v>
      </c>
      <c r="B125" s="541" t="s">
        <v>721</v>
      </c>
      <c r="C125" s="544">
        <v>1423</v>
      </c>
      <c r="D125" s="542">
        <v>1417</v>
      </c>
      <c r="E125" s="545">
        <v>4499</v>
      </c>
      <c r="F125" s="542">
        <v>2600</v>
      </c>
      <c r="G125" s="545">
        <v>2600</v>
      </c>
      <c r="H125" s="543">
        <v>2279</v>
      </c>
      <c r="I125" s="544">
        <v>1425</v>
      </c>
    </row>
    <row r="126" spans="1:9" s="324" customFormat="1" x14ac:dyDescent="0.2">
      <c r="A126" s="568">
        <v>13</v>
      </c>
      <c r="B126" s="569" t="s">
        <v>722</v>
      </c>
      <c r="C126" s="567">
        <f>SUM(C127:C127)</f>
        <v>0</v>
      </c>
      <c r="D126" s="567">
        <f>SUM(D127:D127)</f>
        <v>0</v>
      </c>
      <c r="E126" s="567">
        <f>SUM(E127:E127)</f>
        <v>395</v>
      </c>
      <c r="F126" s="567">
        <f>SUM(F127:F127)</f>
        <v>395</v>
      </c>
      <c r="G126" s="567">
        <f>SUM(G127:G127)</f>
        <v>395</v>
      </c>
      <c r="H126" s="567"/>
      <c r="I126" s="567">
        <f>SUM(I127)</f>
        <v>395</v>
      </c>
    </row>
    <row r="127" spans="1:9" s="324" customFormat="1" x14ac:dyDescent="0.2">
      <c r="A127" s="560" t="s">
        <v>77</v>
      </c>
      <c r="B127" s="541" t="s">
        <v>723</v>
      </c>
      <c r="C127" s="544">
        <v>0</v>
      </c>
      <c r="D127" s="544">
        <v>0</v>
      </c>
      <c r="E127" s="544">
        <v>395</v>
      </c>
      <c r="F127" s="544">
        <v>395</v>
      </c>
      <c r="G127" s="544">
        <v>395</v>
      </c>
      <c r="H127" s="547">
        <v>2279</v>
      </c>
      <c r="I127" s="903">
        <v>395</v>
      </c>
    </row>
    <row r="128" spans="1:9" s="324" customFormat="1" x14ac:dyDescent="0.2">
      <c r="A128" s="568">
        <v>14</v>
      </c>
      <c r="B128" s="569" t="s">
        <v>724</v>
      </c>
      <c r="C128" s="567">
        <f>SUM(C129:C129)</f>
        <v>0</v>
      </c>
      <c r="D128" s="567">
        <f>SUM(D129:D129)</f>
        <v>512</v>
      </c>
      <c r="E128" s="567">
        <f>SUM(E129:E129)</f>
        <v>980</v>
      </c>
      <c r="F128" s="567">
        <f>SUM(F129:F129)</f>
        <v>750</v>
      </c>
      <c r="G128" s="567">
        <f>SUM(G129:G129)</f>
        <v>750</v>
      </c>
      <c r="H128" s="567"/>
      <c r="I128" s="567">
        <f>SUM(I129:I129)</f>
        <v>550</v>
      </c>
    </row>
    <row r="129" spans="1:9" s="324" customFormat="1" x14ac:dyDescent="0.2">
      <c r="A129" s="898" t="s">
        <v>79</v>
      </c>
      <c r="B129" s="899" t="s">
        <v>725</v>
      </c>
      <c r="C129" s="544">
        <v>0</v>
      </c>
      <c r="D129" s="542">
        <v>512</v>
      </c>
      <c r="E129" s="545">
        <v>980</v>
      </c>
      <c r="F129" s="542">
        <v>750</v>
      </c>
      <c r="G129" s="545">
        <v>750</v>
      </c>
      <c r="H129" s="326">
        <v>2279</v>
      </c>
      <c r="I129" s="542">
        <v>550</v>
      </c>
    </row>
    <row r="130" spans="1:9" s="324" customFormat="1" x14ac:dyDescent="0.2">
      <c r="A130" s="568">
        <v>15</v>
      </c>
      <c r="B130" s="569" t="s">
        <v>726</v>
      </c>
      <c r="C130" s="567">
        <f>SUM(C131:C137)</f>
        <v>1697</v>
      </c>
      <c r="D130" s="567">
        <f>SUM(D131:D137)</f>
        <v>1178</v>
      </c>
      <c r="E130" s="567">
        <f>SUM(E131:E137)</f>
        <v>2463</v>
      </c>
      <c r="F130" s="567">
        <f>SUM(F131:F137)</f>
        <v>1962</v>
      </c>
      <c r="G130" s="567">
        <f>SUM(G131:G137)</f>
        <v>1712</v>
      </c>
      <c r="H130" s="567"/>
      <c r="I130" s="567">
        <f>SUM(I131:I137)</f>
        <v>1962</v>
      </c>
    </row>
    <row r="131" spans="1:9" s="324" customFormat="1" x14ac:dyDescent="0.2">
      <c r="A131" s="1154" t="s">
        <v>80</v>
      </c>
      <c r="B131" s="1155" t="s">
        <v>727</v>
      </c>
      <c r="C131" s="544">
        <v>242</v>
      </c>
      <c r="D131" s="1159">
        <v>1178</v>
      </c>
      <c r="E131" s="1160">
        <v>1423</v>
      </c>
      <c r="F131" s="1159">
        <v>1172</v>
      </c>
      <c r="G131" s="544">
        <v>142</v>
      </c>
      <c r="H131" s="543">
        <v>2261</v>
      </c>
      <c r="I131" s="542">
        <v>142</v>
      </c>
    </row>
    <row r="132" spans="1:9" s="324" customFormat="1" x14ac:dyDescent="0.2">
      <c r="A132" s="1154"/>
      <c r="B132" s="1155"/>
      <c r="C132" s="544">
        <f>129+385</f>
        <v>514</v>
      </c>
      <c r="D132" s="1159"/>
      <c r="E132" s="1160"/>
      <c r="F132" s="1159"/>
      <c r="G132" s="544">
        <f>255+306</f>
        <v>561</v>
      </c>
      <c r="H132" s="543">
        <v>2264</v>
      </c>
      <c r="I132" s="542">
        <v>561</v>
      </c>
    </row>
    <row r="133" spans="1:9" s="324" customFormat="1" x14ac:dyDescent="0.2">
      <c r="A133" s="1154"/>
      <c r="B133" s="1155"/>
      <c r="C133" s="544">
        <v>0</v>
      </c>
      <c r="D133" s="1159"/>
      <c r="E133" s="1160"/>
      <c r="F133" s="1159"/>
      <c r="G133" s="544">
        <v>327</v>
      </c>
      <c r="H133" s="543">
        <v>2322</v>
      </c>
      <c r="I133" s="542">
        <v>327</v>
      </c>
    </row>
    <row r="134" spans="1:9" s="324" customFormat="1" x14ac:dyDescent="0.2">
      <c r="A134" s="1154"/>
      <c r="B134" s="1155"/>
      <c r="C134" s="544">
        <f>242+185</f>
        <v>427</v>
      </c>
      <c r="D134" s="1159"/>
      <c r="E134" s="1160"/>
      <c r="F134" s="1159"/>
      <c r="G134" s="544">
        <v>142</v>
      </c>
      <c r="H134" s="1023">
        <v>2314</v>
      </c>
      <c r="I134" s="542">
        <v>142</v>
      </c>
    </row>
    <row r="135" spans="1:9" s="324" customFormat="1" x14ac:dyDescent="0.2">
      <c r="A135" s="1154" t="s">
        <v>81</v>
      </c>
      <c r="B135" s="1155" t="s">
        <v>728</v>
      </c>
      <c r="C135" s="544">
        <v>86</v>
      </c>
      <c r="D135" s="1159">
        <v>0</v>
      </c>
      <c r="E135" s="1160">
        <v>1040</v>
      </c>
      <c r="F135" s="1159">
        <v>790</v>
      </c>
      <c r="G135" s="544">
        <v>0</v>
      </c>
      <c r="H135" s="543">
        <v>2264</v>
      </c>
      <c r="I135" s="542">
        <v>250</v>
      </c>
    </row>
    <row r="136" spans="1:9" s="324" customFormat="1" ht="15" customHeight="1" x14ac:dyDescent="0.2">
      <c r="A136" s="1154"/>
      <c r="B136" s="1155"/>
      <c r="C136" s="544">
        <v>0</v>
      </c>
      <c r="D136" s="1159"/>
      <c r="E136" s="1160"/>
      <c r="F136" s="1159"/>
      <c r="G136" s="544">
        <v>250</v>
      </c>
      <c r="H136" s="543">
        <v>2322</v>
      </c>
      <c r="I136" s="542">
        <v>250</v>
      </c>
    </row>
    <row r="137" spans="1:9" s="324" customFormat="1" ht="15" customHeight="1" x14ac:dyDescent="0.2">
      <c r="A137" s="1154"/>
      <c r="B137" s="1155"/>
      <c r="C137" s="544">
        <f>285+143</f>
        <v>428</v>
      </c>
      <c r="D137" s="1159"/>
      <c r="E137" s="1160"/>
      <c r="F137" s="1159"/>
      <c r="G137" s="544">
        <f>220+70</f>
        <v>290</v>
      </c>
      <c r="H137" s="1023">
        <v>2314</v>
      </c>
      <c r="I137" s="542">
        <v>290</v>
      </c>
    </row>
    <row r="138" spans="1:9" s="324" customFormat="1" x14ac:dyDescent="0.2">
      <c r="A138" s="568">
        <v>16</v>
      </c>
      <c r="B138" s="569" t="s">
        <v>729</v>
      </c>
      <c r="C138" s="406">
        <f>SUM(C139:C141)</f>
        <v>5124</v>
      </c>
      <c r="D138" s="567">
        <f>SUM(D139:D141)</f>
        <v>5124</v>
      </c>
      <c r="E138" s="567">
        <f>SUM(E139:E141)</f>
        <v>9463</v>
      </c>
      <c r="F138" s="567">
        <f>SUM(F139:F141)</f>
        <v>6463</v>
      </c>
      <c r="G138" s="567">
        <f>SUM(G139:G141)</f>
        <v>6463</v>
      </c>
      <c r="H138" s="567"/>
      <c r="I138" s="567">
        <f>SUM(I139:I141)</f>
        <v>5663</v>
      </c>
    </row>
    <row r="139" spans="1:9" s="324" customFormat="1" x14ac:dyDescent="0.2">
      <c r="A139" s="560" t="s">
        <v>82</v>
      </c>
      <c r="B139" s="541" t="s">
        <v>730</v>
      </c>
      <c r="C139" s="544">
        <v>3558</v>
      </c>
      <c r="D139" s="544">
        <v>3558</v>
      </c>
      <c r="E139" s="546">
        <v>6100</v>
      </c>
      <c r="F139" s="544">
        <v>4100</v>
      </c>
      <c r="G139" s="546">
        <v>4100</v>
      </c>
      <c r="H139" s="547">
        <v>2279</v>
      </c>
      <c r="I139" s="544">
        <v>3600</v>
      </c>
    </row>
    <row r="140" spans="1:9" s="324" customFormat="1" x14ac:dyDescent="0.2">
      <c r="A140" s="560" t="s">
        <v>83</v>
      </c>
      <c r="B140" s="541" t="s">
        <v>731</v>
      </c>
      <c r="C140" s="544">
        <v>1566</v>
      </c>
      <c r="D140" s="544">
        <v>1566</v>
      </c>
      <c r="E140" s="546">
        <v>3000</v>
      </c>
      <c r="F140" s="544">
        <v>2000</v>
      </c>
      <c r="G140" s="546">
        <v>2000</v>
      </c>
      <c r="H140" s="547">
        <v>2279</v>
      </c>
      <c r="I140" s="544">
        <v>1700</v>
      </c>
    </row>
    <row r="141" spans="1:9" s="324" customFormat="1" x14ac:dyDescent="0.2">
      <c r="A141" s="560" t="s">
        <v>84</v>
      </c>
      <c r="B141" s="541" t="s">
        <v>732</v>
      </c>
      <c r="C141" s="544">
        <v>0</v>
      </c>
      <c r="D141" s="542">
        <v>0</v>
      </c>
      <c r="E141" s="545">
        <v>363</v>
      </c>
      <c r="F141" s="542">
        <v>363</v>
      </c>
      <c r="G141" s="542">
        <v>363</v>
      </c>
      <c r="H141" s="547">
        <v>2279</v>
      </c>
      <c r="I141" s="542">
        <v>363</v>
      </c>
    </row>
    <row r="142" spans="1:9" s="324" customFormat="1" x14ac:dyDescent="0.2">
      <c r="A142" s="568">
        <v>17</v>
      </c>
      <c r="B142" s="569" t="s">
        <v>733</v>
      </c>
      <c r="C142" s="406">
        <f>SUM(C143:C147)</f>
        <v>150885</v>
      </c>
      <c r="D142" s="567">
        <f>SUM(D143:D147)</f>
        <v>150760.46</v>
      </c>
      <c r="E142" s="567">
        <f>SUM(E143:E147)</f>
        <v>110900</v>
      </c>
      <c r="F142" s="567">
        <f>SUM(F143:F147)</f>
        <v>110900</v>
      </c>
      <c r="G142" s="567">
        <f>SUM(G143:G147)</f>
        <v>110900</v>
      </c>
      <c r="H142" s="547"/>
      <c r="I142" s="567">
        <f>SUM(I143:I147)</f>
        <v>110900</v>
      </c>
    </row>
    <row r="143" spans="1:9" s="324" customFormat="1" x14ac:dyDescent="0.2">
      <c r="A143" s="560" t="s">
        <v>86</v>
      </c>
      <c r="B143" s="541" t="s">
        <v>734</v>
      </c>
      <c r="C143" s="544">
        <v>314</v>
      </c>
      <c r="D143" s="544">
        <v>190.46</v>
      </c>
      <c r="E143" s="546">
        <v>320</v>
      </c>
      <c r="F143" s="544">
        <v>320</v>
      </c>
      <c r="G143" s="546">
        <v>320</v>
      </c>
      <c r="H143" s="1023">
        <v>2314</v>
      </c>
      <c r="I143" s="544">
        <v>320</v>
      </c>
    </row>
    <row r="144" spans="1:9" s="324" customFormat="1" x14ac:dyDescent="0.2">
      <c r="A144" s="1154" t="s">
        <v>87</v>
      </c>
      <c r="B144" s="1155" t="s">
        <v>735</v>
      </c>
      <c r="C144" s="544">
        <v>143</v>
      </c>
      <c r="D144" s="1159">
        <v>570</v>
      </c>
      <c r="E144" s="1160">
        <v>580</v>
      </c>
      <c r="F144" s="1159">
        <f>SUM(G144:G146)</f>
        <v>580</v>
      </c>
      <c r="G144" s="546">
        <v>150</v>
      </c>
      <c r="H144" s="547">
        <v>2264</v>
      </c>
      <c r="I144" s="542">
        <v>150</v>
      </c>
    </row>
    <row r="145" spans="1:9" s="324" customFormat="1" x14ac:dyDescent="0.2">
      <c r="A145" s="1154"/>
      <c r="B145" s="1155"/>
      <c r="C145" s="544">
        <v>72</v>
      </c>
      <c r="D145" s="1159"/>
      <c r="E145" s="1160"/>
      <c r="F145" s="1159"/>
      <c r="G145" s="546">
        <v>70</v>
      </c>
      <c r="H145" s="547">
        <v>2279</v>
      </c>
      <c r="I145" s="542">
        <v>70</v>
      </c>
    </row>
    <row r="146" spans="1:9" s="324" customFormat="1" x14ac:dyDescent="0.2">
      <c r="A146" s="1154"/>
      <c r="B146" s="1155"/>
      <c r="C146" s="544">
        <v>356</v>
      </c>
      <c r="D146" s="1159"/>
      <c r="E146" s="1160"/>
      <c r="F146" s="1159"/>
      <c r="G146" s="546">
        <v>360</v>
      </c>
      <c r="H146" s="1023">
        <v>2314</v>
      </c>
      <c r="I146" s="542">
        <v>360</v>
      </c>
    </row>
    <row r="147" spans="1:9" s="324" customFormat="1" x14ac:dyDescent="0.2">
      <c r="A147" s="560" t="s">
        <v>88</v>
      </c>
      <c r="B147" s="541" t="s">
        <v>736</v>
      </c>
      <c r="C147" s="544">
        <v>150000</v>
      </c>
      <c r="D147" s="544">
        <v>150000</v>
      </c>
      <c r="E147" s="546">
        <v>110000</v>
      </c>
      <c r="F147" s="544">
        <v>110000</v>
      </c>
      <c r="G147" s="546">
        <v>110000</v>
      </c>
      <c r="H147" s="547">
        <v>2279</v>
      </c>
      <c r="I147" s="544">
        <v>110000</v>
      </c>
    </row>
    <row r="148" spans="1:9" s="324" customFormat="1" x14ac:dyDescent="0.2">
      <c r="A148" s="568">
        <v>18</v>
      </c>
      <c r="B148" s="569" t="s">
        <v>737</v>
      </c>
      <c r="C148" s="406">
        <f>SUM(C149:C151)</f>
        <v>1424</v>
      </c>
      <c r="D148" s="567">
        <f>SUM(D149:D151)</f>
        <v>712</v>
      </c>
      <c r="E148" s="567">
        <f>SUM(E149:E151)</f>
        <v>16910</v>
      </c>
      <c r="F148" s="567">
        <f>SUM(F149:F151)</f>
        <v>5840</v>
      </c>
      <c r="G148" s="567">
        <f>SUM(G149:G151)</f>
        <v>5840</v>
      </c>
      <c r="H148" s="547"/>
      <c r="I148" s="567">
        <f>SUM(I149:I151)</f>
        <v>4200</v>
      </c>
    </row>
    <row r="149" spans="1:9" s="324" customFormat="1" ht="12" customHeight="1" x14ac:dyDescent="0.2">
      <c r="A149" s="575" t="s">
        <v>90</v>
      </c>
      <c r="B149" s="541" t="s">
        <v>738</v>
      </c>
      <c r="C149" s="544">
        <v>712</v>
      </c>
      <c r="D149" s="544">
        <v>0</v>
      </c>
      <c r="E149" s="546">
        <v>6000</v>
      </c>
      <c r="F149" s="544">
        <v>1500</v>
      </c>
      <c r="G149" s="546">
        <v>1500</v>
      </c>
      <c r="H149" s="547">
        <v>2279</v>
      </c>
      <c r="I149" s="327">
        <v>1100</v>
      </c>
    </row>
    <row r="150" spans="1:9" x14ac:dyDescent="0.2">
      <c r="A150" s="575" t="s">
        <v>91</v>
      </c>
      <c r="B150" s="541" t="s">
        <v>740</v>
      </c>
      <c r="C150" s="544">
        <v>712</v>
      </c>
      <c r="D150" s="544">
        <v>712</v>
      </c>
      <c r="E150" s="546">
        <v>5000</v>
      </c>
      <c r="F150" s="544">
        <v>1500</v>
      </c>
      <c r="G150" s="546">
        <v>1500</v>
      </c>
      <c r="H150" s="547">
        <v>2279</v>
      </c>
      <c r="I150" s="327">
        <v>1100</v>
      </c>
    </row>
    <row r="151" spans="1:9" x14ac:dyDescent="0.2">
      <c r="A151" s="575" t="s">
        <v>739</v>
      </c>
      <c r="B151" s="541" t="s">
        <v>741</v>
      </c>
      <c r="C151" s="544">
        <v>0</v>
      </c>
      <c r="D151" s="544">
        <v>0</v>
      </c>
      <c r="E151" s="546">
        <v>5910</v>
      </c>
      <c r="F151" s="544">
        <v>2840</v>
      </c>
      <c r="G151" s="546">
        <v>2840</v>
      </c>
      <c r="H151" s="547">
        <v>2279</v>
      </c>
      <c r="I151" s="327">
        <v>2000</v>
      </c>
    </row>
    <row r="152" spans="1:9" x14ac:dyDescent="0.2">
      <c r="A152" s="568">
        <v>19</v>
      </c>
      <c r="B152" s="569" t="s">
        <v>742</v>
      </c>
      <c r="C152" s="406">
        <f>SUM(C153:C173)</f>
        <v>65518</v>
      </c>
      <c r="D152" s="567">
        <f>SUM(D153:D173)</f>
        <v>102494.17</v>
      </c>
      <c r="E152" s="567">
        <f>SUM(E153:E173)</f>
        <v>247195</v>
      </c>
      <c r="F152" s="567">
        <f>SUM(F153:F173)</f>
        <v>214967</v>
      </c>
      <c r="G152" s="567">
        <f>SUM(G153:G173)</f>
        <v>214967</v>
      </c>
      <c r="H152" s="547"/>
      <c r="I152" s="567">
        <f>SUM(I153:I173)</f>
        <v>189768</v>
      </c>
    </row>
    <row r="153" spans="1:9" x14ac:dyDescent="0.2">
      <c r="A153" s="560" t="s">
        <v>743</v>
      </c>
      <c r="B153" s="541" t="s">
        <v>744</v>
      </c>
      <c r="C153" s="542">
        <v>2135</v>
      </c>
      <c r="D153" s="544">
        <v>2100</v>
      </c>
      <c r="E153" s="544">
        <v>2280</v>
      </c>
      <c r="F153" s="544">
        <v>2280</v>
      </c>
      <c r="G153" s="544">
        <v>2280</v>
      </c>
      <c r="H153" s="547">
        <v>2279</v>
      </c>
      <c r="I153" s="544">
        <v>2100</v>
      </c>
    </row>
    <row r="154" spans="1:9" x14ac:dyDescent="0.2">
      <c r="A154" s="1154" t="s">
        <v>745</v>
      </c>
      <c r="B154" s="1155" t="s">
        <v>746</v>
      </c>
      <c r="C154" s="542">
        <v>143</v>
      </c>
      <c r="D154" s="1159">
        <v>340.17</v>
      </c>
      <c r="E154" s="1160">
        <v>550</v>
      </c>
      <c r="F154" s="1159">
        <v>550</v>
      </c>
      <c r="G154" s="546">
        <v>150</v>
      </c>
      <c r="H154" s="547">
        <v>2264</v>
      </c>
      <c r="I154" s="542">
        <v>143</v>
      </c>
    </row>
    <row r="155" spans="1:9" x14ac:dyDescent="0.2">
      <c r="A155" s="1154"/>
      <c r="B155" s="1155"/>
      <c r="C155" s="542">
        <v>143</v>
      </c>
      <c r="D155" s="1159"/>
      <c r="E155" s="1160"/>
      <c r="F155" s="1159"/>
      <c r="G155" s="546">
        <v>100</v>
      </c>
      <c r="H155" s="547">
        <v>2279</v>
      </c>
      <c r="I155" s="542">
        <v>100</v>
      </c>
    </row>
    <row r="156" spans="1:9" x14ac:dyDescent="0.2">
      <c r="A156" s="1154"/>
      <c r="B156" s="1155"/>
      <c r="C156" s="542">
        <v>72</v>
      </c>
      <c r="D156" s="1159"/>
      <c r="E156" s="1160"/>
      <c r="F156" s="1159"/>
      <c r="G156" s="546">
        <v>300</v>
      </c>
      <c r="H156" s="1023">
        <v>2314</v>
      </c>
      <c r="I156" s="542">
        <v>300</v>
      </c>
    </row>
    <row r="157" spans="1:9" x14ac:dyDescent="0.2">
      <c r="A157" s="560" t="s">
        <v>747</v>
      </c>
      <c r="B157" s="541" t="s">
        <v>748</v>
      </c>
      <c r="C157" s="542">
        <v>3679</v>
      </c>
      <c r="D157" s="542">
        <v>3679</v>
      </c>
      <c r="E157" s="545">
        <v>3679</v>
      </c>
      <c r="F157" s="328">
        <v>3679</v>
      </c>
      <c r="G157" s="545">
        <v>3679</v>
      </c>
      <c r="H157" s="547">
        <v>2279</v>
      </c>
      <c r="I157" s="328">
        <v>3679</v>
      </c>
    </row>
    <row r="158" spans="1:9" x14ac:dyDescent="0.2">
      <c r="A158" s="560" t="s">
        <v>749</v>
      </c>
      <c r="B158" s="541" t="s">
        <v>750</v>
      </c>
      <c r="C158" s="542">
        <v>2135</v>
      </c>
      <c r="D158" s="542">
        <v>2135</v>
      </c>
      <c r="E158" s="545">
        <v>2135</v>
      </c>
      <c r="F158" s="328">
        <v>2135</v>
      </c>
      <c r="G158" s="545">
        <v>2135</v>
      </c>
      <c r="H158" s="547">
        <v>2279</v>
      </c>
      <c r="I158" s="328">
        <v>2135</v>
      </c>
    </row>
    <row r="159" spans="1:9" ht="12" customHeight="1" x14ac:dyDescent="0.2">
      <c r="A159" s="560" t="s">
        <v>751</v>
      </c>
      <c r="B159" s="330" t="s">
        <v>753</v>
      </c>
      <c r="C159" s="542">
        <v>14215</v>
      </c>
      <c r="D159" s="544">
        <v>14215</v>
      </c>
      <c r="E159" s="546">
        <v>15000</v>
      </c>
      <c r="F159" s="329">
        <v>15000</v>
      </c>
      <c r="G159" s="546">
        <v>15000</v>
      </c>
      <c r="H159" s="547">
        <v>2279</v>
      </c>
      <c r="I159" s="329">
        <v>15000</v>
      </c>
    </row>
    <row r="160" spans="1:9" s="324" customFormat="1" x14ac:dyDescent="0.2">
      <c r="A160" s="560" t="s">
        <v>752</v>
      </c>
      <c r="B160" s="330" t="s">
        <v>755</v>
      </c>
      <c r="C160" s="542">
        <v>32015</v>
      </c>
      <c r="D160" s="544">
        <v>32015</v>
      </c>
      <c r="E160" s="546">
        <v>32250</v>
      </c>
      <c r="F160" s="329">
        <v>30000</v>
      </c>
      <c r="G160" s="546">
        <v>30000</v>
      </c>
      <c r="H160" s="547">
        <v>2279</v>
      </c>
      <c r="I160" s="329">
        <v>30000</v>
      </c>
    </row>
    <row r="161" spans="1:9" s="324" customFormat="1" x14ac:dyDescent="0.2">
      <c r="A161" s="560" t="s">
        <v>754</v>
      </c>
      <c r="B161" s="541" t="s">
        <v>758</v>
      </c>
      <c r="C161" s="542">
        <v>427</v>
      </c>
      <c r="D161" s="542">
        <v>427</v>
      </c>
      <c r="E161" s="545">
        <v>2526</v>
      </c>
      <c r="F161" s="328">
        <v>1000</v>
      </c>
      <c r="G161" s="545">
        <v>1000</v>
      </c>
      <c r="H161" s="547">
        <v>2279</v>
      </c>
      <c r="I161" s="329">
        <v>1000</v>
      </c>
    </row>
    <row r="162" spans="1:9" s="324" customFormat="1" x14ac:dyDescent="0.2">
      <c r="A162" s="560" t="s">
        <v>756</v>
      </c>
      <c r="B162" s="541" t="s">
        <v>761</v>
      </c>
      <c r="C162" s="542">
        <v>427</v>
      </c>
      <c r="D162" s="542">
        <v>427</v>
      </c>
      <c r="E162" s="545">
        <v>2250</v>
      </c>
      <c r="F162" s="542">
        <v>2250</v>
      </c>
      <c r="G162" s="542">
        <v>2250</v>
      </c>
      <c r="H162" s="547">
        <v>2279</v>
      </c>
      <c r="I162" s="542">
        <v>430</v>
      </c>
    </row>
    <row r="163" spans="1:9" s="324" customFormat="1" x14ac:dyDescent="0.2">
      <c r="A163" s="560" t="s">
        <v>757</v>
      </c>
      <c r="B163" s="541" t="s">
        <v>764</v>
      </c>
      <c r="C163" s="542">
        <v>0</v>
      </c>
      <c r="D163" s="542">
        <v>0</v>
      </c>
      <c r="E163" s="545">
        <v>2000</v>
      </c>
      <c r="F163" s="545">
        <v>2000</v>
      </c>
      <c r="G163" s="542">
        <v>2000</v>
      </c>
      <c r="H163" s="547">
        <v>2279</v>
      </c>
      <c r="I163" s="542">
        <v>1800</v>
      </c>
    </row>
    <row r="164" spans="1:9" s="324" customFormat="1" x14ac:dyDescent="0.2">
      <c r="A164" s="560" t="s">
        <v>759</v>
      </c>
      <c r="B164" s="541" t="s">
        <v>766</v>
      </c>
      <c r="C164" s="542">
        <v>0</v>
      </c>
      <c r="D164" s="544">
        <v>37029</v>
      </c>
      <c r="E164" s="545">
        <v>70000</v>
      </c>
      <c r="F164" s="542">
        <v>70000</v>
      </c>
      <c r="G164" s="542">
        <v>70000</v>
      </c>
      <c r="H164" s="547">
        <v>2279</v>
      </c>
      <c r="I164" s="542">
        <v>70000</v>
      </c>
    </row>
    <row r="165" spans="1:9" s="324" customFormat="1" x14ac:dyDescent="0.2">
      <c r="A165" s="560" t="s">
        <v>760</v>
      </c>
      <c r="B165" s="541" t="s">
        <v>768</v>
      </c>
      <c r="C165" s="542">
        <v>3415</v>
      </c>
      <c r="D165" s="542">
        <v>3415</v>
      </c>
      <c r="E165" s="545">
        <v>3500</v>
      </c>
      <c r="F165" s="542">
        <v>1500</v>
      </c>
      <c r="G165" s="542">
        <v>1500</v>
      </c>
      <c r="H165" s="547">
        <v>2279</v>
      </c>
      <c r="I165" s="544">
        <v>1500</v>
      </c>
    </row>
    <row r="166" spans="1:9" s="324" customFormat="1" x14ac:dyDescent="0.2">
      <c r="A166" s="560" t="s">
        <v>762</v>
      </c>
      <c r="B166" s="541" t="s">
        <v>770</v>
      </c>
      <c r="C166" s="542">
        <v>712</v>
      </c>
      <c r="D166" s="542">
        <v>712</v>
      </c>
      <c r="E166" s="545">
        <v>5985</v>
      </c>
      <c r="F166" s="542">
        <v>2992</v>
      </c>
      <c r="G166" s="542">
        <v>2992</v>
      </c>
      <c r="H166" s="547">
        <v>2279</v>
      </c>
      <c r="I166" s="542">
        <v>800</v>
      </c>
    </row>
    <row r="167" spans="1:9" s="324" customFormat="1" x14ac:dyDescent="0.2">
      <c r="A167" s="560" t="s">
        <v>763</v>
      </c>
      <c r="B167" s="541" t="s">
        <v>772</v>
      </c>
      <c r="C167" s="542">
        <v>0</v>
      </c>
      <c r="D167" s="542">
        <v>0</v>
      </c>
      <c r="E167" s="545">
        <v>25000</v>
      </c>
      <c r="F167" s="542">
        <v>20000</v>
      </c>
      <c r="G167" s="542">
        <v>20000</v>
      </c>
      <c r="H167" s="547">
        <v>2279</v>
      </c>
      <c r="I167" s="542">
        <v>5000</v>
      </c>
    </row>
    <row r="168" spans="1:9" s="324" customFormat="1" x14ac:dyDescent="0.2">
      <c r="A168" s="560" t="s">
        <v>765</v>
      </c>
      <c r="B168" s="541" t="s">
        <v>774</v>
      </c>
      <c r="C168" s="542">
        <v>0</v>
      </c>
      <c r="D168" s="542">
        <v>0</v>
      </c>
      <c r="E168" s="545">
        <v>1450</v>
      </c>
      <c r="F168" s="542">
        <v>551</v>
      </c>
      <c r="G168" s="542">
        <v>551</v>
      </c>
      <c r="H168" s="547">
        <v>2279</v>
      </c>
      <c r="I168" s="542">
        <v>551</v>
      </c>
    </row>
    <row r="169" spans="1:9" s="324" customFormat="1" x14ac:dyDescent="0.2">
      <c r="A169" s="560" t="s">
        <v>767</v>
      </c>
      <c r="B169" s="541" t="s">
        <v>776</v>
      </c>
      <c r="C169" s="542">
        <v>0</v>
      </c>
      <c r="D169" s="542">
        <v>0</v>
      </c>
      <c r="E169" s="545">
        <v>2730</v>
      </c>
      <c r="F169" s="542">
        <v>2530</v>
      </c>
      <c r="G169" s="542">
        <v>2530</v>
      </c>
      <c r="H169" s="547">
        <v>2279</v>
      </c>
      <c r="I169" s="542">
        <v>2530</v>
      </c>
    </row>
    <row r="170" spans="1:9" s="324" customFormat="1" x14ac:dyDescent="0.2">
      <c r="A170" s="560" t="s">
        <v>769</v>
      </c>
      <c r="B170" s="541" t="s">
        <v>777</v>
      </c>
      <c r="C170" s="542">
        <v>0</v>
      </c>
      <c r="D170" s="542">
        <v>0</v>
      </c>
      <c r="E170" s="545">
        <v>58360</v>
      </c>
      <c r="F170" s="542">
        <v>35000</v>
      </c>
      <c r="G170" s="542">
        <v>35000</v>
      </c>
      <c r="H170" s="547">
        <v>2279</v>
      </c>
      <c r="I170" s="542">
        <v>30000</v>
      </c>
    </row>
    <row r="171" spans="1:9" s="324" customFormat="1" x14ac:dyDescent="0.2">
      <c r="A171" s="773" t="s">
        <v>771</v>
      </c>
      <c r="B171" s="774" t="s">
        <v>1164</v>
      </c>
      <c r="C171" s="776">
        <v>0</v>
      </c>
      <c r="D171" s="776">
        <v>0</v>
      </c>
      <c r="E171" s="777">
        <v>16000</v>
      </c>
      <c r="F171" s="776">
        <v>16000</v>
      </c>
      <c r="G171" s="776">
        <v>16000</v>
      </c>
      <c r="H171" s="775">
        <v>2279</v>
      </c>
      <c r="I171" s="776">
        <v>16000</v>
      </c>
    </row>
    <row r="172" spans="1:9" s="324" customFormat="1" x14ac:dyDescent="0.2">
      <c r="A172" s="560" t="s">
        <v>773</v>
      </c>
      <c r="B172" s="541" t="s">
        <v>778</v>
      </c>
      <c r="C172" s="542">
        <v>0</v>
      </c>
      <c r="D172" s="542">
        <v>0</v>
      </c>
      <c r="E172" s="545">
        <v>1500</v>
      </c>
      <c r="F172" s="542">
        <v>1500</v>
      </c>
      <c r="G172" s="542">
        <v>1500</v>
      </c>
      <c r="H172" s="547">
        <v>2279</v>
      </c>
      <c r="I172" s="542">
        <v>1300</v>
      </c>
    </row>
    <row r="173" spans="1:9" s="324" customFormat="1" ht="15" customHeight="1" x14ac:dyDescent="0.2">
      <c r="A173" s="560" t="s">
        <v>775</v>
      </c>
      <c r="B173" s="541" t="s">
        <v>779</v>
      </c>
      <c r="C173" s="542">
        <v>6000</v>
      </c>
      <c r="D173" s="542">
        <v>6000</v>
      </c>
      <c r="E173" s="545">
        <v>0</v>
      </c>
      <c r="F173" s="542">
        <v>6000</v>
      </c>
      <c r="G173" s="542">
        <v>6000</v>
      </c>
      <c r="H173" s="547">
        <v>2279</v>
      </c>
      <c r="I173" s="542">
        <v>5400</v>
      </c>
    </row>
    <row r="174" spans="1:9" s="324" customFormat="1" x14ac:dyDescent="0.2">
      <c r="A174" s="568">
        <v>20</v>
      </c>
      <c r="B174" s="569" t="s">
        <v>780</v>
      </c>
      <c r="C174" s="567">
        <f>SUM(C175:C177)</f>
        <v>1711</v>
      </c>
      <c r="D174" s="547">
        <f>SUM(D175:D177)</f>
        <v>2851</v>
      </c>
      <c r="E174" s="547">
        <f>SUM(E175:E177)</f>
        <v>5810</v>
      </c>
      <c r="F174" s="547">
        <f>SUM(F175:F177)</f>
        <v>4710</v>
      </c>
      <c r="G174" s="547">
        <f>SUM(G175:G177)</f>
        <v>2060</v>
      </c>
      <c r="H174" s="547"/>
      <c r="I174" s="567">
        <f>SUM(I175:I177)</f>
        <v>2860</v>
      </c>
    </row>
    <row r="175" spans="1:9" s="324" customFormat="1" x14ac:dyDescent="0.2">
      <c r="A175" s="898" t="s">
        <v>781</v>
      </c>
      <c r="B175" s="899" t="s">
        <v>782</v>
      </c>
      <c r="C175" s="544">
        <v>143</v>
      </c>
      <c r="D175" s="903">
        <v>784</v>
      </c>
      <c r="E175" s="904">
        <v>1650</v>
      </c>
      <c r="F175" s="909">
        <v>1650</v>
      </c>
      <c r="G175" s="545">
        <v>0</v>
      </c>
      <c r="H175" s="547">
        <v>2279</v>
      </c>
      <c r="I175" s="328">
        <v>785</v>
      </c>
    </row>
    <row r="176" spans="1:9" s="324" customFormat="1" x14ac:dyDescent="0.2">
      <c r="A176" s="898" t="s">
        <v>783</v>
      </c>
      <c r="B176" s="899" t="s">
        <v>784</v>
      </c>
      <c r="C176" s="544">
        <v>143</v>
      </c>
      <c r="D176" s="903">
        <v>642</v>
      </c>
      <c r="E176" s="904">
        <v>1000</v>
      </c>
      <c r="F176" s="909">
        <v>1000</v>
      </c>
      <c r="G176" s="545">
        <v>0</v>
      </c>
      <c r="H176" s="547">
        <v>2279</v>
      </c>
      <c r="I176" s="328">
        <v>650</v>
      </c>
    </row>
    <row r="177" spans="1:9" s="324" customFormat="1" x14ac:dyDescent="0.2">
      <c r="A177" s="560" t="s">
        <v>785</v>
      </c>
      <c r="B177" s="541" t="s">
        <v>786</v>
      </c>
      <c r="C177" s="544">
        <v>1425</v>
      </c>
      <c r="D177" s="544">
        <v>1425</v>
      </c>
      <c r="E177" s="546">
        <v>3160</v>
      </c>
      <c r="F177" s="329">
        <v>2060</v>
      </c>
      <c r="G177" s="546">
        <v>2060</v>
      </c>
      <c r="H177" s="547">
        <v>2279</v>
      </c>
      <c r="I177" s="329">
        <v>1425</v>
      </c>
    </row>
    <row r="178" spans="1:9" x14ac:dyDescent="0.2">
      <c r="A178" s="568">
        <v>21</v>
      </c>
      <c r="B178" s="569" t="s">
        <v>787</v>
      </c>
      <c r="C178" s="567">
        <f>SUM(C179:C182)</f>
        <v>4699</v>
      </c>
      <c r="D178" s="567">
        <f>SUM(D179:D182)</f>
        <v>3697</v>
      </c>
      <c r="E178" s="567">
        <f>SUM(E179:E182)</f>
        <v>6350</v>
      </c>
      <c r="F178" s="567">
        <f>SUM(F179:F182)</f>
        <v>6350</v>
      </c>
      <c r="G178" s="567">
        <f>SUM(G179:G182)</f>
        <v>6350</v>
      </c>
      <c r="H178" s="547"/>
      <c r="I178" s="567">
        <f>SUM(I179:I182)</f>
        <v>5730</v>
      </c>
    </row>
    <row r="179" spans="1:9" x14ac:dyDescent="0.2">
      <c r="A179" s="1154" t="s">
        <v>788</v>
      </c>
      <c r="B179" s="1155" t="s">
        <v>789</v>
      </c>
      <c r="C179" s="544">
        <f>143+499</f>
        <v>642</v>
      </c>
      <c r="D179" s="1159">
        <v>857</v>
      </c>
      <c r="E179" s="1160">
        <v>2150</v>
      </c>
      <c r="F179" s="1163">
        <v>2150</v>
      </c>
      <c r="G179" s="546">
        <f>300+500</f>
        <v>800</v>
      </c>
      <c r="H179" s="547">
        <v>2279</v>
      </c>
      <c r="I179" s="328">
        <v>650</v>
      </c>
    </row>
    <row r="180" spans="1:9" x14ac:dyDescent="0.2">
      <c r="A180" s="1154"/>
      <c r="B180" s="1155"/>
      <c r="C180" s="544">
        <f>427+285+499</f>
        <v>1211</v>
      </c>
      <c r="D180" s="1159"/>
      <c r="E180" s="1160"/>
      <c r="F180" s="1163"/>
      <c r="G180" s="546">
        <f>550+300+500</f>
        <v>1350</v>
      </c>
      <c r="H180" s="1023">
        <v>2314</v>
      </c>
      <c r="I180" s="328">
        <v>1300</v>
      </c>
    </row>
    <row r="181" spans="1:9" x14ac:dyDescent="0.2">
      <c r="A181" s="560" t="s">
        <v>790</v>
      </c>
      <c r="B181" s="541" t="s">
        <v>792</v>
      </c>
      <c r="C181" s="544">
        <v>2846</v>
      </c>
      <c r="D181" s="544">
        <v>2840</v>
      </c>
      <c r="E181" s="546">
        <v>2100</v>
      </c>
      <c r="F181" s="544">
        <v>2100</v>
      </c>
      <c r="G181" s="546">
        <v>2100</v>
      </c>
      <c r="H181" s="547">
        <v>2279</v>
      </c>
      <c r="I181" s="544">
        <v>1890</v>
      </c>
    </row>
    <row r="182" spans="1:9" x14ac:dyDescent="0.2">
      <c r="A182" s="560" t="s">
        <v>791</v>
      </c>
      <c r="B182" s="541" t="s">
        <v>793</v>
      </c>
      <c r="C182" s="544">
        <v>0</v>
      </c>
      <c r="D182" s="544">
        <v>0</v>
      </c>
      <c r="E182" s="546">
        <v>2100</v>
      </c>
      <c r="F182" s="544">
        <v>2100</v>
      </c>
      <c r="G182" s="545">
        <v>2100</v>
      </c>
      <c r="H182" s="547">
        <v>2279</v>
      </c>
      <c r="I182" s="542">
        <v>1890</v>
      </c>
    </row>
    <row r="183" spans="1:9" x14ac:dyDescent="0.2">
      <c r="A183" s="568">
        <v>22</v>
      </c>
      <c r="B183" s="569" t="s">
        <v>794</v>
      </c>
      <c r="C183" s="567">
        <f>SUM(C184:C192)</f>
        <v>2763</v>
      </c>
      <c r="D183" s="547">
        <f>SUM(D184:D192)</f>
        <v>2756</v>
      </c>
      <c r="E183" s="547">
        <f>SUM(E184:E192)</f>
        <v>8694</v>
      </c>
      <c r="F183" s="547">
        <f>SUM(F184:F192)</f>
        <v>7294</v>
      </c>
      <c r="G183" s="547">
        <f>SUM(G184:G192)</f>
        <v>4958</v>
      </c>
      <c r="H183" s="547"/>
      <c r="I183" s="547">
        <f>SUM(I184:I192)</f>
        <v>4093</v>
      </c>
    </row>
    <row r="184" spans="1:9" x14ac:dyDescent="0.2">
      <c r="A184" s="560" t="s">
        <v>795</v>
      </c>
      <c r="B184" s="541" t="s">
        <v>796</v>
      </c>
      <c r="C184" s="544">
        <v>2135</v>
      </c>
      <c r="D184" s="547">
        <v>2135</v>
      </c>
      <c r="E184" s="547">
        <v>3000</v>
      </c>
      <c r="F184" s="547">
        <v>3000</v>
      </c>
      <c r="G184" s="547">
        <v>3000</v>
      </c>
      <c r="H184" s="547">
        <v>2279</v>
      </c>
      <c r="I184" s="548">
        <v>2135</v>
      </c>
    </row>
    <row r="185" spans="1:9" x14ac:dyDescent="0.2">
      <c r="A185" s="1154" t="s">
        <v>797</v>
      </c>
      <c r="B185" s="1155" t="s">
        <v>798</v>
      </c>
      <c r="C185" s="544">
        <v>0</v>
      </c>
      <c r="D185" s="1159">
        <v>214</v>
      </c>
      <c r="E185" s="1160">
        <v>1051</v>
      </c>
      <c r="F185" s="1159">
        <v>801</v>
      </c>
      <c r="G185" s="544">
        <v>100</v>
      </c>
      <c r="H185" s="547">
        <v>2264</v>
      </c>
      <c r="I185" s="544">
        <v>100</v>
      </c>
    </row>
    <row r="186" spans="1:9" x14ac:dyDescent="0.2">
      <c r="A186" s="1154"/>
      <c r="B186" s="1155"/>
      <c r="C186" s="544">
        <v>214</v>
      </c>
      <c r="D186" s="1159"/>
      <c r="E186" s="1160"/>
      <c r="F186" s="1159"/>
      <c r="G186" s="546">
        <v>357</v>
      </c>
      <c r="H186" s="1023">
        <v>2314</v>
      </c>
      <c r="I186" s="542">
        <v>357</v>
      </c>
    </row>
    <row r="187" spans="1:9" x14ac:dyDescent="0.2">
      <c r="A187" s="1154" t="s">
        <v>799</v>
      </c>
      <c r="B187" s="1155" t="s">
        <v>800</v>
      </c>
      <c r="C187" s="544">
        <v>0</v>
      </c>
      <c r="D187" s="1159">
        <v>200</v>
      </c>
      <c r="E187" s="1160">
        <v>1881</v>
      </c>
      <c r="F187" s="1159">
        <v>1381</v>
      </c>
      <c r="G187" s="546">
        <v>200</v>
      </c>
      <c r="H187" s="547">
        <v>2264</v>
      </c>
      <c r="I187" s="544">
        <v>200</v>
      </c>
    </row>
    <row r="188" spans="1:9" x14ac:dyDescent="0.2">
      <c r="A188" s="1154"/>
      <c r="B188" s="1155"/>
      <c r="C188" s="544">
        <v>207</v>
      </c>
      <c r="D188" s="1159"/>
      <c r="E188" s="1160"/>
      <c r="F188" s="1159"/>
      <c r="G188" s="546">
        <v>357</v>
      </c>
      <c r="H188" s="1023">
        <v>2314</v>
      </c>
      <c r="I188" s="544">
        <v>357</v>
      </c>
    </row>
    <row r="189" spans="1:9" x14ac:dyDescent="0.2">
      <c r="A189" s="1154" t="s">
        <v>801</v>
      </c>
      <c r="B189" s="1155" t="s">
        <v>802</v>
      </c>
      <c r="C189" s="544">
        <v>0</v>
      </c>
      <c r="D189" s="1159">
        <v>207</v>
      </c>
      <c r="E189" s="1160">
        <v>1811</v>
      </c>
      <c r="F189" s="1159">
        <v>1311</v>
      </c>
      <c r="G189" s="546">
        <v>200</v>
      </c>
      <c r="H189" s="547">
        <v>2264</v>
      </c>
      <c r="I189" s="544">
        <v>200</v>
      </c>
    </row>
    <row r="190" spans="1:9" x14ac:dyDescent="0.2">
      <c r="A190" s="1154"/>
      <c r="B190" s="1155"/>
      <c r="C190" s="544">
        <v>207</v>
      </c>
      <c r="D190" s="1159"/>
      <c r="E190" s="1160"/>
      <c r="F190" s="1159"/>
      <c r="G190" s="546">
        <v>287</v>
      </c>
      <c r="H190" s="1023">
        <v>2314</v>
      </c>
      <c r="I190" s="544">
        <v>287</v>
      </c>
    </row>
    <row r="191" spans="1:9" x14ac:dyDescent="0.2">
      <c r="A191" s="1154" t="s">
        <v>803</v>
      </c>
      <c r="B191" s="1155" t="s">
        <v>804</v>
      </c>
      <c r="C191" s="544">
        <v>0</v>
      </c>
      <c r="D191" s="1159">
        <v>0</v>
      </c>
      <c r="E191" s="1160">
        <v>951</v>
      </c>
      <c r="F191" s="1159">
        <v>801</v>
      </c>
      <c r="G191" s="546">
        <v>100</v>
      </c>
      <c r="H191" s="547">
        <v>2264</v>
      </c>
      <c r="I191" s="544">
        <v>100</v>
      </c>
    </row>
    <row r="192" spans="1:9" x14ac:dyDescent="0.2">
      <c r="A192" s="1154"/>
      <c r="B192" s="1155"/>
      <c r="C192" s="544">
        <v>0</v>
      </c>
      <c r="D192" s="1159"/>
      <c r="E192" s="1160"/>
      <c r="F192" s="1159"/>
      <c r="G192" s="546">
        <v>357</v>
      </c>
      <c r="H192" s="1023">
        <v>2314</v>
      </c>
      <c r="I192" s="544">
        <v>357</v>
      </c>
    </row>
    <row r="193" spans="1:9" x14ac:dyDescent="0.2">
      <c r="A193" s="568">
        <v>23</v>
      </c>
      <c r="B193" s="569" t="s">
        <v>805</v>
      </c>
      <c r="C193" s="406">
        <f>SUM(C194:C195)</f>
        <v>4269</v>
      </c>
      <c r="D193" s="571">
        <f>SUM(D194:D195)</f>
        <v>4269</v>
      </c>
      <c r="E193" s="571">
        <f>SUM(E194:E195)</f>
        <v>8206</v>
      </c>
      <c r="F193" s="571">
        <f>SUM(F194:F195)</f>
        <v>5000</v>
      </c>
      <c r="G193" s="571">
        <f>SUM(G194:G195)</f>
        <v>5000</v>
      </c>
      <c r="H193" s="547"/>
      <c r="I193" s="406">
        <f>SUM(I194:I195)</f>
        <v>3923</v>
      </c>
    </row>
    <row r="194" spans="1:9" ht="13.5" customHeight="1" x14ac:dyDescent="0.2">
      <c r="A194" s="560" t="s">
        <v>806</v>
      </c>
      <c r="B194" s="541" t="s">
        <v>807</v>
      </c>
      <c r="C194" s="544">
        <v>2846</v>
      </c>
      <c r="D194" s="542">
        <v>2846</v>
      </c>
      <c r="E194" s="545">
        <v>2976</v>
      </c>
      <c r="F194" s="542">
        <v>2500</v>
      </c>
      <c r="G194" s="546">
        <v>2500</v>
      </c>
      <c r="H194" s="547">
        <v>2279</v>
      </c>
      <c r="I194" s="542">
        <v>2500</v>
      </c>
    </row>
    <row r="195" spans="1:9" x14ac:dyDescent="0.2">
      <c r="A195" s="560" t="s">
        <v>808</v>
      </c>
      <c r="B195" s="541" t="s">
        <v>809</v>
      </c>
      <c r="C195" s="544">
        <v>1423</v>
      </c>
      <c r="D195" s="544">
        <v>1423</v>
      </c>
      <c r="E195" s="546">
        <v>5230</v>
      </c>
      <c r="F195" s="544">
        <v>2500</v>
      </c>
      <c r="G195" s="546">
        <v>2500</v>
      </c>
      <c r="H195" s="547">
        <v>2279</v>
      </c>
      <c r="I195" s="542">
        <v>1423</v>
      </c>
    </row>
    <row r="196" spans="1:9" ht="12.75" customHeight="1" x14ac:dyDescent="0.2">
      <c r="A196" s="568">
        <v>24</v>
      </c>
      <c r="B196" s="569" t="s">
        <v>810</v>
      </c>
      <c r="C196" s="567">
        <f>SUM(C197:C199)</f>
        <v>70712</v>
      </c>
      <c r="D196" s="571">
        <f>SUM(D197:D199)</f>
        <v>70700</v>
      </c>
      <c r="E196" s="571">
        <f>SUM(E197:E199)</f>
        <v>141000</v>
      </c>
      <c r="F196" s="571">
        <f>SUM(F197:F199)</f>
        <v>141000</v>
      </c>
      <c r="G196" s="406">
        <f>SUM(G197:G199)</f>
        <v>141000</v>
      </c>
      <c r="H196" s="406"/>
      <c r="I196" s="406">
        <f>SUM(I197:I199)</f>
        <v>140700</v>
      </c>
    </row>
    <row r="197" spans="1:9" x14ac:dyDescent="0.2">
      <c r="A197" s="560" t="s">
        <v>811</v>
      </c>
      <c r="B197" s="541" t="s">
        <v>812</v>
      </c>
      <c r="C197" s="542">
        <v>712</v>
      </c>
      <c r="D197" s="542">
        <v>700</v>
      </c>
      <c r="E197" s="545">
        <v>1000</v>
      </c>
      <c r="F197" s="542">
        <v>1000</v>
      </c>
      <c r="G197" s="542">
        <v>1000</v>
      </c>
      <c r="H197" s="547">
        <v>2279</v>
      </c>
      <c r="I197" s="542">
        <v>700</v>
      </c>
    </row>
    <row r="198" spans="1:9" ht="11.25" customHeight="1" x14ac:dyDescent="0.2">
      <c r="A198" s="560" t="s">
        <v>813</v>
      </c>
      <c r="B198" s="541" t="s">
        <v>814</v>
      </c>
      <c r="C198" s="542">
        <v>0</v>
      </c>
      <c r="D198" s="544">
        <v>0</v>
      </c>
      <c r="E198" s="545">
        <v>70000</v>
      </c>
      <c r="F198" s="542">
        <v>70000</v>
      </c>
      <c r="G198" s="546">
        <v>70000</v>
      </c>
      <c r="H198" s="547">
        <v>2279</v>
      </c>
      <c r="I198" s="542">
        <v>70000</v>
      </c>
    </row>
    <row r="199" spans="1:9" x14ac:dyDescent="0.2">
      <c r="A199" s="560" t="s">
        <v>815</v>
      </c>
      <c r="B199" s="541" t="s">
        <v>816</v>
      </c>
      <c r="C199" s="542">
        <v>70000</v>
      </c>
      <c r="D199" s="542">
        <v>70000</v>
      </c>
      <c r="E199" s="545">
        <v>70000</v>
      </c>
      <c r="F199" s="542">
        <v>70000</v>
      </c>
      <c r="G199" s="542">
        <v>70000</v>
      </c>
      <c r="H199" s="547">
        <v>2279</v>
      </c>
      <c r="I199" s="542">
        <v>70000</v>
      </c>
    </row>
    <row r="200" spans="1:9" x14ac:dyDescent="0.2">
      <c r="A200" s="568">
        <v>25</v>
      </c>
      <c r="B200" s="569" t="s">
        <v>817</v>
      </c>
      <c r="C200" s="406">
        <f>SUM(C201:C201)</f>
        <v>0</v>
      </c>
      <c r="D200" s="571">
        <f>SUM(D201:D201)</f>
        <v>0</v>
      </c>
      <c r="E200" s="571">
        <f>SUM(E201:E201)</f>
        <v>120000</v>
      </c>
      <c r="F200" s="571">
        <f>SUM(F201:F201)</f>
        <v>110000</v>
      </c>
      <c r="G200" s="571">
        <f>SUM(G201:G201)</f>
        <v>110000</v>
      </c>
      <c r="H200" s="571"/>
      <c r="I200" s="406">
        <f>SUM(I201:I201)</f>
        <v>110000</v>
      </c>
    </row>
    <row r="201" spans="1:9" x14ac:dyDescent="0.2">
      <c r="A201" s="560" t="s">
        <v>818</v>
      </c>
      <c r="B201" s="541" t="s">
        <v>819</v>
      </c>
      <c r="C201" s="542">
        <v>0</v>
      </c>
      <c r="D201" s="544">
        <v>0</v>
      </c>
      <c r="E201" s="545">
        <v>120000</v>
      </c>
      <c r="F201" s="542">
        <v>110000</v>
      </c>
      <c r="G201" s="546">
        <v>110000</v>
      </c>
      <c r="H201" s="547">
        <v>2279</v>
      </c>
      <c r="I201" s="542">
        <v>110000</v>
      </c>
    </row>
    <row r="202" spans="1:9" ht="23.25" customHeight="1" x14ac:dyDescent="0.2">
      <c r="A202" s="1162" t="s">
        <v>820</v>
      </c>
      <c r="B202" s="1162"/>
      <c r="C202" s="406">
        <f>SUM(C203:C279)</f>
        <v>373993</v>
      </c>
      <c r="D202" s="571">
        <f>SUM(D203:D279)</f>
        <v>365323</v>
      </c>
      <c r="E202" s="571">
        <f>SUM(E203:E279)</f>
        <v>597868</v>
      </c>
      <c r="F202" s="571">
        <f>SUM(F203:F279)</f>
        <v>545176</v>
      </c>
      <c r="G202" s="406">
        <f>SUM(G203:G279)</f>
        <v>545011</v>
      </c>
      <c r="H202" s="406"/>
      <c r="I202" s="406">
        <f>SUM(I203:I279)</f>
        <v>430112</v>
      </c>
    </row>
    <row r="203" spans="1:9" x14ac:dyDescent="0.2">
      <c r="A203" s="560">
        <v>1</v>
      </c>
      <c r="B203" s="541" t="s">
        <v>821</v>
      </c>
      <c r="C203" s="544">
        <v>105384</v>
      </c>
      <c r="D203" s="544">
        <v>105384</v>
      </c>
      <c r="E203" s="546">
        <v>108000</v>
      </c>
      <c r="F203" s="544">
        <v>108000</v>
      </c>
      <c r="G203" s="546">
        <v>108000</v>
      </c>
      <c r="H203" s="547">
        <v>2279</v>
      </c>
      <c r="I203" s="542">
        <v>70000</v>
      </c>
    </row>
    <row r="204" spans="1:9" x14ac:dyDescent="0.2">
      <c r="A204" s="560">
        <v>2</v>
      </c>
      <c r="B204" s="541" t="s">
        <v>822</v>
      </c>
      <c r="C204" s="544">
        <v>42687</v>
      </c>
      <c r="D204" s="544">
        <v>42687</v>
      </c>
      <c r="E204" s="546">
        <v>42687</v>
      </c>
      <c r="F204" s="544">
        <v>42687</v>
      </c>
      <c r="G204" s="550">
        <v>42687</v>
      </c>
      <c r="H204" s="547">
        <v>2279</v>
      </c>
      <c r="I204" s="542">
        <v>40000</v>
      </c>
    </row>
    <row r="205" spans="1:9" x14ac:dyDescent="0.2">
      <c r="A205" s="560">
        <v>3</v>
      </c>
      <c r="B205" s="541" t="s">
        <v>823</v>
      </c>
      <c r="C205" s="544">
        <v>28458</v>
      </c>
      <c r="D205" s="544">
        <v>28458</v>
      </c>
      <c r="E205" s="546">
        <v>43870</v>
      </c>
      <c r="F205" s="544">
        <v>42000</v>
      </c>
      <c r="G205" s="546">
        <v>42000</v>
      </c>
      <c r="H205" s="547">
        <v>2279</v>
      </c>
      <c r="I205" s="542">
        <v>30000</v>
      </c>
    </row>
    <row r="206" spans="1:9" x14ac:dyDescent="0.2">
      <c r="A206" s="560">
        <v>4</v>
      </c>
      <c r="B206" s="541" t="s">
        <v>824</v>
      </c>
      <c r="C206" s="544">
        <v>16188</v>
      </c>
      <c r="D206" s="544">
        <v>9249</v>
      </c>
      <c r="E206" s="546">
        <v>10949</v>
      </c>
      <c r="F206" s="544">
        <v>3000</v>
      </c>
      <c r="G206" s="546">
        <v>3000</v>
      </c>
      <c r="H206" s="547">
        <v>2279</v>
      </c>
      <c r="I206" s="542">
        <v>3000</v>
      </c>
    </row>
    <row r="207" spans="1:9" x14ac:dyDescent="0.2">
      <c r="A207" s="1154">
        <v>5</v>
      </c>
      <c r="B207" s="1155" t="s">
        <v>825</v>
      </c>
      <c r="C207" s="544">
        <v>2685</v>
      </c>
      <c r="D207" s="1159">
        <v>10497</v>
      </c>
      <c r="E207" s="1160">
        <v>10107</v>
      </c>
      <c r="F207" s="1159">
        <v>10107</v>
      </c>
      <c r="G207" s="544">
        <v>3685</v>
      </c>
      <c r="H207" s="547">
        <v>2262</v>
      </c>
      <c r="I207" s="542">
        <v>3685</v>
      </c>
    </row>
    <row r="208" spans="1:9" x14ac:dyDescent="0.2">
      <c r="A208" s="1154"/>
      <c r="B208" s="1155"/>
      <c r="C208" s="544">
        <v>3196</v>
      </c>
      <c r="D208" s="1159"/>
      <c r="E208" s="1160"/>
      <c r="F208" s="1159"/>
      <c r="G208" s="544">
        <v>3100</v>
      </c>
      <c r="H208" s="547">
        <v>2279</v>
      </c>
      <c r="I208" s="542">
        <v>3100</v>
      </c>
    </row>
    <row r="209" spans="1:9" x14ac:dyDescent="0.2">
      <c r="A209" s="1154"/>
      <c r="B209" s="1155"/>
      <c r="C209" s="544">
        <v>5322</v>
      </c>
      <c r="D209" s="1159"/>
      <c r="E209" s="1160"/>
      <c r="F209" s="1159"/>
      <c r="G209" s="546">
        <v>3322</v>
      </c>
      <c r="H209" s="547">
        <v>2361</v>
      </c>
      <c r="I209" s="542">
        <v>3322</v>
      </c>
    </row>
    <row r="210" spans="1:9" x14ac:dyDescent="0.2">
      <c r="A210" s="1154">
        <v>6</v>
      </c>
      <c r="B210" s="1155" t="s">
        <v>826</v>
      </c>
      <c r="C210" s="544">
        <v>0</v>
      </c>
      <c r="D210" s="1159">
        <v>300</v>
      </c>
      <c r="E210" s="1160">
        <v>7000</v>
      </c>
      <c r="F210" s="1159">
        <v>7000</v>
      </c>
      <c r="G210" s="544">
        <v>1500</v>
      </c>
      <c r="H210" s="547">
        <v>2231</v>
      </c>
      <c r="I210" s="542">
        <v>1500</v>
      </c>
    </row>
    <row r="211" spans="1:9" ht="15" customHeight="1" x14ac:dyDescent="0.2">
      <c r="A211" s="1154"/>
      <c r="B211" s="1155"/>
      <c r="C211" s="544">
        <v>0</v>
      </c>
      <c r="D211" s="1159"/>
      <c r="E211" s="1160"/>
      <c r="F211" s="1159"/>
      <c r="G211" s="544">
        <v>3000</v>
      </c>
      <c r="H211" s="547">
        <v>2261</v>
      </c>
      <c r="I211" s="542">
        <v>3000</v>
      </c>
    </row>
    <row r="212" spans="1:9" ht="14.25" customHeight="1" x14ac:dyDescent="0.2">
      <c r="A212" s="1154"/>
      <c r="B212" s="1155"/>
      <c r="C212" s="544">
        <v>0</v>
      </c>
      <c r="D212" s="1159"/>
      <c r="E212" s="1160"/>
      <c r="F212" s="1159"/>
      <c r="G212" s="544">
        <v>1500</v>
      </c>
      <c r="H212" s="547">
        <v>2262</v>
      </c>
      <c r="I212" s="542">
        <v>1500</v>
      </c>
    </row>
    <row r="213" spans="1:9" ht="15.75" customHeight="1" x14ac:dyDescent="0.2">
      <c r="A213" s="1154"/>
      <c r="B213" s="1155"/>
      <c r="C213" s="544">
        <v>395</v>
      </c>
      <c r="D213" s="1159"/>
      <c r="E213" s="1160"/>
      <c r="F213" s="1159"/>
      <c r="G213" s="544">
        <v>1000</v>
      </c>
      <c r="H213" s="547">
        <v>2361</v>
      </c>
      <c r="I213" s="542">
        <v>1000</v>
      </c>
    </row>
    <row r="214" spans="1:9" ht="12.75" customHeight="1" x14ac:dyDescent="0.2">
      <c r="A214" s="1154">
        <v>7</v>
      </c>
      <c r="B214" s="1155" t="s">
        <v>827</v>
      </c>
      <c r="C214" s="544">
        <v>0</v>
      </c>
      <c r="D214" s="1159">
        <v>0</v>
      </c>
      <c r="E214" s="1160">
        <v>32858</v>
      </c>
      <c r="F214" s="1159">
        <v>32858</v>
      </c>
      <c r="G214" s="544">
        <v>7595</v>
      </c>
      <c r="H214" s="547">
        <v>2231</v>
      </c>
      <c r="I214" s="542">
        <v>7595</v>
      </c>
    </row>
    <row r="215" spans="1:9" ht="15" customHeight="1" x14ac:dyDescent="0.2">
      <c r="A215" s="1154"/>
      <c r="B215" s="1155"/>
      <c r="C215" s="544">
        <v>0</v>
      </c>
      <c r="D215" s="1159"/>
      <c r="E215" s="1160"/>
      <c r="F215" s="1159"/>
      <c r="G215" s="544">
        <v>7805</v>
      </c>
      <c r="H215" s="547">
        <v>2261</v>
      </c>
      <c r="I215" s="542">
        <v>7805</v>
      </c>
    </row>
    <row r="216" spans="1:9" x14ac:dyDescent="0.2">
      <c r="A216" s="1154"/>
      <c r="B216" s="1155"/>
      <c r="C216" s="544">
        <v>0</v>
      </c>
      <c r="D216" s="1159"/>
      <c r="E216" s="1160"/>
      <c r="F216" s="1159"/>
      <c r="G216" s="544">
        <f>6173+144</f>
        <v>6317</v>
      </c>
      <c r="H216" s="547">
        <v>2262</v>
      </c>
      <c r="I216" s="542">
        <v>6317</v>
      </c>
    </row>
    <row r="217" spans="1:9" ht="15" customHeight="1" x14ac:dyDescent="0.2">
      <c r="A217" s="1154"/>
      <c r="B217" s="1155"/>
      <c r="C217" s="544">
        <v>0</v>
      </c>
      <c r="D217" s="1159"/>
      <c r="E217" s="1160"/>
      <c r="F217" s="1159"/>
      <c r="G217" s="544">
        <v>11285</v>
      </c>
      <c r="H217" s="547">
        <v>2361</v>
      </c>
      <c r="I217" s="542">
        <v>11285</v>
      </c>
    </row>
    <row r="218" spans="1:9" x14ac:dyDescent="0.2">
      <c r="A218" s="1154"/>
      <c r="B218" s="1155"/>
      <c r="C218" s="544">
        <v>0</v>
      </c>
      <c r="D218" s="544"/>
      <c r="E218" s="546"/>
      <c r="F218" s="544"/>
      <c r="G218" s="544">
        <v>372</v>
      </c>
      <c r="H218" s="547">
        <v>2264</v>
      </c>
      <c r="I218" s="542">
        <v>372</v>
      </c>
    </row>
    <row r="219" spans="1:9" ht="12" customHeight="1" x14ac:dyDescent="0.2">
      <c r="A219" s="1154"/>
      <c r="B219" s="1155"/>
      <c r="C219" s="544">
        <v>0</v>
      </c>
      <c r="D219" s="544"/>
      <c r="E219" s="546"/>
      <c r="F219" s="544"/>
      <c r="G219" s="544">
        <v>28</v>
      </c>
      <c r="H219" s="547">
        <v>2311</v>
      </c>
      <c r="I219" s="542">
        <v>28</v>
      </c>
    </row>
    <row r="220" spans="1:9" x14ac:dyDescent="0.2">
      <c r="A220" s="1154"/>
      <c r="B220" s="1155"/>
      <c r="C220" s="544">
        <v>0</v>
      </c>
      <c r="D220" s="544"/>
      <c r="E220" s="546"/>
      <c r="F220" s="544"/>
      <c r="G220" s="544">
        <v>346</v>
      </c>
      <c r="H220" s="547">
        <v>2312</v>
      </c>
      <c r="I220" s="542">
        <v>346</v>
      </c>
    </row>
    <row r="221" spans="1:9" x14ac:dyDescent="0.2">
      <c r="A221" s="560">
        <v>8</v>
      </c>
      <c r="B221" s="541" t="s">
        <v>828</v>
      </c>
      <c r="C221" s="544">
        <v>7115</v>
      </c>
      <c r="D221" s="544">
        <v>7115</v>
      </c>
      <c r="E221" s="546">
        <v>25000</v>
      </c>
      <c r="F221" s="544">
        <v>25000</v>
      </c>
      <c r="G221" s="546">
        <v>25000</v>
      </c>
      <c r="H221" s="547">
        <v>2279</v>
      </c>
      <c r="I221" s="542">
        <v>23000</v>
      </c>
    </row>
    <row r="222" spans="1:9" x14ac:dyDescent="0.2">
      <c r="A222" s="560">
        <v>9</v>
      </c>
      <c r="B222" s="541" t="s">
        <v>829</v>
      </c>
      <c r="C222" s="544">
        <v>7115</v>
      </c>
      <c r="D222" s="544">
        <v>7115</v>
      </c>
      <c r="E222" s="546">
        <v>10700</v>
      </c>
      <c r="F222" s="544">
        <v>7300</v>
      </c>
      <c r="G222" s="546">
        <v>7300</v>
      </c>
      <c r="H222" s="547">
        <v>2279</v>
      </c>
      <c r="I222" s="542">
        <v>7300</v>
      </c>
    </row>
    <row r="223" spans="1:9" x14ac:dyDescent="0.2">
      <c r="A223" s="560">
        <v>10</v>
      </c>
      <c r="B223" s="541" t="s">
        <v>830</v>
      </c>
      <c r="C223" s="544">
        <v>7115</v>
      </c>
      <c r="D223" s="544">
        <v>7115</v>
      </c>
      <c r="E223" s="546">
        <v>13800</v>
      </c>
      <c r="F223" s="544">
        <v>7300</v>
      </c>
      <c r="G223" s="546">
        <v>7300</v>
      </c>
      <c r="H223" s="547">
        <v>2279</v>
      </c>
      <c r="I223" s="542">
        <v>7300</v>
      </c>
    </row>
    <row r="224" spans="1:9" x14ac:dyDescent="0.2">
      <c r="A224" s="560">
        <v>11</v>
      </c>
      <c r="B224" s="541" t="s">
        <v>831</v>
      </c>
      <c r="C224" s="544">
        <v>712</v>
      </c>
      <c r="D224" s="544">
        <v>0</v>
      </c>
      <c r="E224" s="546">
        <v>2800</v>
      </c>
      <c r="F224" s="544">
        <v>712</v>
      </c>
      <c r="G224" s="546">
        <v>712</v>
      </c>
      <c r="H224" s="547">
        <v>2279</v>
      </c>
      <c r="I224" s="542">
        <v>712</v>
      </c>
    </row>
    <row r="225" spans="1:9" x14ac:dyDescent="0.2">
      <c r="A225" s="560">
        <v>12</v>
      </c>
      <c r="B225" s="541" t="s">
        <v>832</v>
      </c>
      <c r="C225" s="544">
        <v>7115</v>
      </c>
      <c r="D225" s="544">
        <v>7115</v>
      </c>
      <c r="E225" s="546">
        <v>7280</v>
      </c>
      <c r="F225" s="544">
        <v>7280</v>
      </c>
      <c r="G225" s="546">
        <v>7280</v>
      </c>
      <c r="H225" s="547">
        <v>2279</v>
      </c>
      <c r="I225" s="542">
        <v>7280</v>
      </c>
    </row>
    <row r="226" spans="1:9" x14ac:dyDescent="0.2">
      <c r="A226" s="560">
        <v>13</v>
      </c>
      <c r="B226" s="541" t="s">
        <v>833</v>
      </c>
      <c r="C226" s="544">
        <v>0</v>
      </c>
      <c r="D226" s="544">
        <v>0</v>
      </c>
      <c r="E226" s="546">
        <v>1700</v>
      </c>
      <c r="F226" s="544">
        <v>1700</v>
      </c>
      <c r="G226" s="546">
        <v>1700</v>
      </c>
      <c r="H226" s="547">
        <v>2279</v>
      </c>
      <c r="I226" s="542">
        <v>1000</v>
      </c>
    </row>
    <row r="227" spans="1:9" x14ac:dyDescent="0.2">
      <c r="A227" s="560">
        <v>14</v>
      </c>
      <c r="B227" s="541" t="s">
        <v>834</v>
      </c>
      <c r="C227" s="544">
        <v>5692</v>
      </c>
      <c r="D227" s="544">
        <v>5692</v>
      </c>
      <c r="E227" s="546">
        <v>6000</v>
      </c>
      <c r="F227" s="544">
        <v>5692</v>
      </c>
      <c r="G227" s="546">
        <v>5692</v>
      </c>
      <c r="H227" s="547">
        <v>2279</v>
      </c>
      <c r="I227" s="542">
        <v>5692</v>
      </c>
    </row>
    <row r="228" spans="1:9" x14ac:dyDescent="0.2">
      <c r="A228" s="560">
        <v>15</v>
      </c>
      <c r="B228" s="541" t="s">
        <v>835</v>
      </c>
      <c r="C228" s="544">
        <v>5692</v>
      </c>
      <c r="D228" s="544">
        <v>5692</v>
      </c>
      <c r="E228" s="546">
        <v>5880</v>
      </c>
      <c r="F228" s="544">
        <v>5692</v>
      </c>
      <c r="G228" s="331">
        <v>5692</v>
      </c>
      <c r="H228" s="547">
        <v>2279</v>
      </c>
      <c r="I228" s="542">
        <v>5692</v>
      </c>
    </row>
    <row r="229" spans="1:9" x14ac:dyDescent="0.2">
      <c r="A229" s="1154">
        <v>16</v>
      </c>
      <c r="B229" s="1155" t="s">
        <v>836</v>
      </c>
      <c r="C229" s="544">
        <v>641</v>
      </c>
      <c r="D229" s="1159">
        <v>2144</v>
      </c>
      <c r="E229" s="1160">
        <v>2341</v>
      </c>
      <c r="F229" s="1161">
        <v>2041</v>
      </c>
      <c r="G229" s="546">
        <v>641</v>
      </c>
      <c r="H229" s="547">
        <v>2262</v>
      </c>
      <c r="I229" s="542">
        <v>641</v>
      </c>
    </row>
    <row r="230" spans="1:9" x14ac:dyDescent="0.2">
      <c r="A230" s="1154"/>
      <c r="B230" s="1155"/>
      <c r="C230" s="544">
        <v>712</v>
      </c>
      <c r="D230" s="1159"/>
      <c r="E230" s="1160"/>
      <c r="F230" s="1161"/>
      <c r="G230" s="546">
        <v>700</v>
      </c>
      <c r="H230" s="547">
        <v>2279</v>
      </c>
      <c r="I230" s="542">
        <v>700</v>
      </c>
    </row>
    <row r="231" spans="1:9" x14ac:dyDescent="0.2">
      <c r="A231" s="1154"/>
      <c r="B231" s="1155"/>
      <c r="C231" s="544">
        <v>0</v>
      </c>
      <c r="D231" s="1159"/>
      <c r="E231" s="1160"/>
      <c r="F231" s="1161"/>
      <c r="G231" s="546">
        <v>700</v>
      </c>
      <c r="H231" s="547">
        <v>2312</v>
      </c>
      <c r="I231" s="542">
        <v>700</v>
      </c>
    </row>
    <row r="232" spans="1:9" x14ac:dyDescent="0.2">
      <c r="A232" s="574">
        <v>17</v>
      </c>
      <c r="B232" s="549" t="s">
        <v>837</v>
      </c>
      <c r="C232" s="546">
        <v>356</v>
      </c>
      <c r="D232" s="545">
        <v>350</v>
      </c>
      <c r="E232" s="545">
        <v>525</v>
      </c>
      <c r="F232" s="545">
        <v>825</v>
      </c>
      <c r="G232" s="546">
        <v>825</v>
      </c>
      <c r="H232" s="547">
        <v>2361</v>
      </c>
      <c r="I232" s="542">
        <v>400</v>
      </c>
    </row>
    <row r="233" spans="1:9" x14ac:dyDescent="0.2">
      <c r="A233" s="575">
        <v>18</v>
      </c>
      <c r="B233" s="332" t="s">
        <v>838</v>
      </c>
      <c r="C233" s="565">
        <v>2704</v>
      </c>
      <c r="D233" s="546">
        <v>2704</v>
      </c>
      <c r="E233" s="546">
        <v>3790</v>
      </c>
      <c r="F233" s="546">
        <v>2704</v>
      </c>
      <c r="G233" s="546">
        <v>2704</v>
      </c>
      <c r="H233" s="547">
        <v>2279</v>
      </c>
      <c r="I233" s="542">
        <v>2704</v>
      </c>
    </row>
    <row r="234" spans="1:9" x14ac:dyDescent="0.2">
      <c r="A234" s="575">
        <v>19</v>
      </c>
      <c r="B234" s="332" t="s">
        <v>839</v>
      </c>
      <c r="C234" s="565">
        <v>7115</v>
      </c>
      <c r="D234" s="546">
        <v>7115</v>
      </c>
      <c r="E234" s="546">
        <v>8500</v>
      </c>
      <c r="F234" s="546">
        <v>8500</v>
      </c>
      <c r="G234" s="546">
        <v>8500</v>
      </c>
      <c r="H234" s="547">
        <v>2279</v>
      </c>
      <c r="I234" s="542">
        <v>8500</v>
      </c>
    </row>
    <row r="235" spans="1:9" x14ac:dyDescent="0.2">
      <c r="A235" s="560">
        <v>20</v>
      </c>
      <c r="B235" s="541" t="s">
        <v>840</v>
      </c>
      <c r="C235" s="544">
        <v>5692</v>
      </c>
      <c r="D235" s="544">
        <v>5692</v>
      </c>
      <c r="E235" s="546">
        <v>6000</v>
      </c>
      <c r="F235" s="544">
        <v>5692</v>
      </c>
      <c r="G235" s="546">
        <v>5692</v>
      </c>
      <c r="H235" s="547">
        <v>2279</v>
      </c>
      <c r="I235" s="542">
        <v>5692</v>
      </c>
    </row>
    <row r="236" spans="1:9" x14ac:dyDescent="0.2">
      <c r="A236" s="575">
        <v>21</v>
      </c>
      <c r="B236" s="541" t="s">
        <v>841</v>
      </c>
      <c r="C236" s="544">
        <v>2419</v>
      </c>
      <c r="D236" s="544">
        <v>2419</v>
      </c>
      <c r="E236" s="546">
        <v>3000</v>
      </c>
      <c r="F236" s="544">
        <v>2419</v>
      </c>
      <c r="G236" s="546">
        <v>2419</v>
      </c>
      <c r="H236" s="547">
        <v>2279</v>
      </c>
      <c r="I236" s="542">
        <v>2419</v>
      </c>
    </row>
    <row r="237" spans="1:9" x14ac:dyDescent="0.2">
      <c r="A237" s="898">
        <v>22</v>
      </c>
      <c r="B237" s="541" t="s">
        <v>842</v>
      </c>
      <c r="C237" s="544">
        <v>4269</v>
      </c>
      <c r="D237" s="544">
        <v>4269</v>
      </c>
      <c r="E237" s="546">
        <v>6985</v>
      </c>
      <c r="F237" s="544">
        <v>5985</v>
      </c>
      <c r="G237" s="546">
        <v>5985</v>
      </c>
      <c r="H237" s="547">
        <v>2279</v>
      </c>
      <c r="I237" s="542">
        <v>4269</v>
      </c>
    </row>
    <row r="238" spans="1:9" x14ac:dyDescent="0.2">
      <c r="A238" s="575">
        <v>23</v>
      </c>
      <c r="B238" s="541" t="s">
        <v>843</v>
      </c>
      <c r="C238" s="544">
        <v>5432</v>
      </c>
      <c r="D238" s="544">
        <v>5432</v>
      </c>
      <c r="E238" s="546">
        <v>7930</v>
      </c>
      <c r="F238" s="544">
        <v>5930</v>
      </c>
      <c r="G238" s="546">
        <v>5930</v>
      </c>
      <c r="H238" s="547">
        <v>2279</v>
      </c>
      <c r="I238" s="542">
        <v>5930</v>
      </c>
    </row>
    <row r="239" spans="1:9" x14ac:dyDescent="0.2">
      <c r="A239" s="898">
        <v>24</v>
      </c>
      <c r="B239" s="541" t="s">
        <v>844</v>
      </c>
      <c r="C239" s="544">
        <v>7115</v>
      </c>
      <c r="D239" s="544">
        <v>7115</v>
      </c>
      <c r="E239" s="546">
        <v>10000</v>
      </c>
      <c r="F239" s="329">
        <v>10000</v>
      </c>
      <c r="G239" s="546">
        <v>10000</v>
      </c>
      <c r="H239" s="547">
        <v>2279</v>
      </c>
      <c r="I239" s="328">
        <v>10000</v>
      </c>
    </row>
    <row r="240" spans="1:9" x14ac:dyDescent="0.2">
      <c r="A240" s="575">
        <v>25</v>
      </c>
      <c r="B240" s="541" t="s">
        <v>845</v>
      </c>
      <c r="C240" s="544">
        <v>4269</v>
      </c>
      <c r="D240" s="544">
        <v>4269</v>
      </c>
      <c r="E240" s="546">
        <v>7400</v>
      </c>
      <c r="F240" s="329">
        <v>5400</v>
      </c>
      <c r="G240" s="546">
        <v>5400</v>
      </c>
      <c r="H240" s="547">
        <v>2279</v>
      </c>
      <c r="I240" s="328">
        <v>5400</v>
      </c>
    </row>
    <row r="241" spans="1:9" x14ac:dyDescent="0.2">
      <c r="A241" s="898">
        <v>26</v>
      </c>
      <c r="B241" s="541" t="s">
        <v>846</v>
      </c>
      <c r="C241" s="544">
        <v>2419</v>
      </c>
      <c r="D241" s="544">
        <v>2419</v>
      </c>
      <c r="E241" s="546">
        <v>2845</v>
      </c>
      <c r="F241" s="329">
        <v>2419</v>
      </c>
      <c r="G241" s="546">
        <v>2419</v>
      </c>
      <c r="H241" s="547">
        <v>2279</v>
      </c>
      <c r="I241" s="328">
        <v>2419</v>
      </c>
    </row>
    <row r="242" spans="1:9" x14ac:dyDescent="0.2">
      <c r="A242" s="575">
        <v>27</v>
      </c>
      <c r="B242" s="541" t="s">
        <v>847</v>
      </c>
      <c r="C242" s="544">
        <v>1410</v>
      </c>
      <c r="D242" s="544">
        <v>1410</v>
      </c>
      <c r="E242" s="546">
        <v>1900</v>
      </c>
      <c r="F242" s="329">
        <v>1900</v>
      </c>
      <c r="G242" s="546">
        <v>1900</v>
      </c>
      <c r="H242" s="547">
        <v>2279</v>
      </c>
      <c r="I242" s="328">
        <v>1410</v>
      </c>
    </row>
    <row r="243" spans="1:9" x14ac:dyDescent="0.2">
      <c r="A243" s="898">
        <v>28</v>
      </c>
      <c r="B243" s="541" t="s">
        <v>848</v>
      </c>
      <c r="C243" s="544">
        <v>2846</v>
      </c>
      <c r="D243" s="544">
        <v>2846</v>
      </c>
      <c r="E243" s="546">
        <v>4000</v>
      </c>
      <c r="F243" s="329">
        <v>2846</v>
      </c>
      <c r="G243" s="546">
        <v>2846</v>
      </c>
      <c r="H243" s="547">
        <v>2279</v>
      </c>
      <c r="I243" s="328">
        <v>2846</v>
      </c>
    </row>
    <row r="244" spans="1:9" x14ac:dyDescent="0.2">
      <c r="A244" s="575">
        <v>29</v>
      </c>
      <c r="B244" s="541" t="s">
        <v>849</v>
      </c>
      <c r="C244" s="544">
        <v>0</v>
      </c>
      <c r="D244" s="544">
        <v>0</v>
      </c>
      <c r="E244" s="546">
        <v>500</v>
      </c>
      <c r="F244" s="329">
        <v>500</v>
      </c>
      <c r="G244" s="546">
        <v>500</v>
      </c>
      <c r="H244" s="547">
        <v>2279</v>
      </c>
      <c r="I244" s="328">
        <v>500</v>
      </c>
    </row>
    <row r="245" spans="1:9" x14ac:dyDescent="0.2">
      <c r="A245" s="898">
        <v>30</v>
      </c>
      <c r="B245" s="541" t="s">
        <v>850</v>
      </c>
      <c r="C245" s="544">
        <v>712</v>
      </c>
      <c r="D245" s="544">
        <v>711</v>
      </c>
      <c r="E245" s="546">
        <v>1500</v>
      </c>
      <c r="F245" s="329">
        <v>1000</v>
      </c>
      <c r="G245" s="546">
        <v>1000</v>
      </c>
      <c r="H245" s="547">
        <v>2279</v>
      </c>
      <c r="I245" s="328">
        <v>750</v>
      </c>
    </row>
    <row r="246" spans="1:9" x14ac:dyDescent="0.2">
      <c r="A246" s="575">
        <v>31</v>
      </c>
      <c r="B246" s="902" t="s">
        <v>851</v>
      </c>
      <c r="C246" s="546">
        <v>143</v>
      </c>
      <c r="D246" s="900">
        <v>855</v>
      </c>
      <c r="E246" s="900">
        <v>2255</v>
      </c>
      <c r="F246" s="900">
        <v>1055</v>
      </c>
      <c r="G246" s="545"/>
      <c r="H246" s="547">
        <v>2279</v>
      </c>
      <c r="I246" s="328">
        <v>1055</v>
      </c>
    </row>
    <row r="247" spans="1:9" x14ac:dyDescent="0.2">
      <c r="A247" s="898">
        <v>32</v>
      </c>
      <c r="B247" s="549" t="s">
        <v>852</v>
      </c>
      <c r="C247" s="546">
        <v>7115</v>
      </c>
      <c r="D247" s="550">
        <v>7115</v>
      </c>
      <c r="E247" s="550">
        <v>12400</v>
      </c>
      <c r="F247" s="550">
        <v>7115</v>
      </c>
      <c r="G247" s="546">
        <v>7115</v>
      </c>
      <c r="H247" s="547">
        <v>2279</v>
      </c>
      <c r="I247" s="328">
        <v>7115</v>
      </c>
    </row>
    <row r="248" spans="1:9" x14ac:dyDescent="0.2">
      <c r="A248" s="575">
        <v>33</v>
      </c>
      <c r="B248" s="541" t="s">
        <v>853</v>
      </c>
      <c r="C248" s="546">
        <v>2846</v>
      </c>
      <c r="D248" s="550">
        <v>2846</v>
      </c>
      <c r="E248" s="550">
        <v>2846</v>
      </c>
      <c r="F248" s="550">
        <v>2846</v>
      </c>
      <c r="G248" s="546">
        <v>2846</v>
      </c>
      <c r="H248" s="547">
        <v>2279</v>
      </c>
      <c r="I248" s="328">
        <v>2846</v>
      </c>
    </row>
    <row r="249" spans="1:9" x14ac:dyDescent="0.2">
      <c r="A249" s="898">
        <v>34</v>
      </c>
      <c r="B249" s="549" t="s">
        <v>854</v>
      </c>
      <c r="C249" s="546">
        <v>2135</v>
      </c>
      <c r="D249" s="550">
        <v>2135</v>
      </c>
      <c r="E249" s="550">
        <v>2100</v>
      </c>
      <c r="F249" s="550">
        <v>2100</v>
      </c>
      <c r="G249" s="546">
        <v>2100</v>
      </c>
      <c r="H249" s="547">
        <v>2279</v>
      </c>
      <c r="I249" s="328">
        <v>2100</v>
      </c>
    </row>
    <row r="250" spans="1:9" x14ac:dyDescent="0.2">
      <c r="A250" s="575">
        <v>35</v>
      </c>
      <c r="B250" s="541" t="s">
        <v>855</v>
      </c>
      <c r="C250" s="544">
        <v>1423</v>
      </c>
      <c r="D250" s="550">
        <v>1423</v>
      </c>
      <c r="E250" s="550">
        <v>1423</v>
      </c>
      <c r="F250" s="550">
        <v>1423</v>
      </c>
      <c r="G250" s="546">
        <v>1423</v>
      </c>
      <c r="H250" s="547">
        <v>2279</v>
      </c>
      <c r="I250" s="328">
        <v>1423</v>
      </c>
    </row>
    <row r="251" spans="1:9" x14ac:dyDescent="0.2">
      <c r="A251" s="898">
        <v>36</v>
      </c>
      <c r="B251" s="541" t="s">
        <v>856</v>
      </c>
      <c r="C251" s="544">
        <v>0</v>
      </c>
      <c r="D251" s="550">
        <v>0</v>
      </c>
      <c r="E251" s="550">
        <v>4982</v>
      </c>
      <c r="F251" s="550">
        <v>2982</v>
      </c>
      <c r="G251" s="546">
        <v>2982</v>
      </c>
      <c r="H251" s="547">
        <v>2279</v>
      </c>
      <c r="I251" s="328">
        <v>2982</v>
      </c>
    </row>
    <row r="252" spans="1:9" x14ac:dyDescent="0.2">
      <c r="A252" s="575">
        <v>37</v>
      </c>
      <c r="B252" s="549" t="s">
        <v>857</v>
      </c>
      <c r="C252" s="546">
        <v>1250</v>
      </c>
      <c r="D252" s="550">
        <v>1250</v>
      </c>
      <c r="E252" s="550">
        <v>6270</v>
      </c>
      <c r="F252" s="550">
        <v>3000</v>
      </c>
      <c r="G252" s="546">
        <v>3000</v>
      </c>
      <c r="H252" s="547">
        <v>2279</v>
      </c>
      <c r="I252" s="328">
        <v>3000</v>
      </c>
    </row>
    <row r="253" spans="1:9" x14ac:dyDescent="0.2">
      <c r="A253" s="898">
        <v>38</v>
      </c>
      <c r="B253" s="549" t="s">
        <v>858</v>
      </c>
      <c r="C253" s="546">
        <v>3700</v>
      </c>
      <c r="D253" s="550">
        <v>3700</v>
      </c>
      <c r="E253" s="550">
        <v>3825</v>
      </c>
      <c r="F253" s="550">
        <v>3825</v>
      </c>
      <c r="G253" s="546">
        <v>3825</v>
      </c>
      <c r="H253" s="547">
        <v>2279</v>
      </c>
      <c r="I253" s="328">
        <v>3700</v>
      </c>
    </row>
    <row r="254" spans="1:9" x14ac:dyDescent="0.2">
      <c r="A254" s="575">
        <v>39</v>
      </c>
      <c r="B254" s="541" t="s">
        <v>859</v>
      </c>
      <c r="C254" s="544">
        <v>2846</v>
      </c>
      <c r="D254" s="550">
        <v>2846</v>
      </c>
      <c r="E254" s="550">
        <v>3000</v>
      </c>
      <c r="F254" s="550">
        <v>3000</v>
      </c>
      <c r="G254" s="546">
        <v>3000</v>
      </c>
      <c r="H254" s="547">
        <v>2279</v>
      </c>
      <c r="I254" s="328">
        <v>3000</v>
      </c>
    </row>
    <row r="255" spans="1:9" x14ac:dyDescent="0.2">
      <c r="A255" s="898">
        <v>40</v>
      </c>
      <c r="B255" s="549" t="s">
        <v>860</v>
      </c>
      <c r="C255" s="546">
        <v>6992</v>
      </c>
      <c r="D255" s="550">
        <v>6992</v>
      </c>
      <c r="E255" s="550">
        <v>6950</v>
      </c>
      <c r="F255" s="550">
        <v>6950</v>
      </c>
      <c r="G255" s="546">
        <v>6950</v>
      </c>
      <c r="H255" s="547">
        <v>2279</v>
      </c>
      <c r="I255" s="328">
        <v>6950</v>
      </c>
    </row>
    <row r="256" spans="1:9" x14ac:dyDescent="0.2">
      <c r="A256" s="575">
        <v>41</v>
      </c>
      <c r="B256" s="541" t="s">
        <v>861</v>
      </c>
      <c r="C256" s="546">
        <v>4269</v>
      </c>
      <c r="D256" s="550">
        <v>4269</v>
      </c>
      <c r="E256" s="550">
        <v>4269</v>
      </c>
      <c r="F256" s="550">
        <v>4269</v>
      </c>
      <c r="G256" s="546">
        <v>4269</v>
      </c>
      <c r="H256" s="547">
        <v>2279</v>
      </c>
      <c r="I256" s="328">
        <v>4269</v>
      </c>
    </row>
    <row r="257" spans="1:9" x14ac:dyDescent="0.2">
      <c r="A257" s="575">
        <v>42</v>
      </c>
      <c r="B257" s="549" t="s">
        <v>862</v>
      </c>
      <c r="C257" s="546">
        <v>7115</v>
      </c>
      <c r="D257" s="550">
        <v>7115</v>
      </c>
      <c r="E257" s="550">
        <v>20000</v>
      </c>
      <c r="F257" s="550">
        <v>20000</v>
      </c>
      <c r="G257" s="546">
        <v>20000</v>
      </c>
      <c r="H257" s="547">
        <v>2279</v>
      </c>
      <c r="I257" s="328">
        <v>20000</v>
      </c>
    </row>
    <row r="258" spans="1:9" x14ac:dyDescent="0.2">
      <c r="A258" s="898">
        <v>43</v>
      </c>
      <c r="B258" s="541" t="s">
        <v>863</v>
      </c>
      <c r="C258" s="546">
        <v>2419</v>
      </c>
      <c r="D258" s="550">
        <v>2419</v>
      </c>
      <c r="E258" s="550">
        <v>2845</v>
      </c>
      <c r="F258" s="550">
        <v>2845</v>
      </c>
      <c r="G258" s="546">
        <v>2845</v>
      </c>
      <c r="H258" s="547">
        <v>2279</v>
      </c>
      <c r="I258" s="328">
        <v>2419</v>
      </c>
    </row>
    <row r="259" spans="1:9" x14ac:dyDescent="0.2">
      <c r="A259" s="575">
        <v>44</v>
      </c>
      <c r="B259" s="541" t="s">
        <v>864</v>
      </c>
      <c r="C259" s="544">
        <v>0</v>
      </c>
      <c r="D259" s="550">
        <v>0</v>
      </c>
      <c r="E259" s="550">
        <v>5230</v>
      </c>
      <c r="F259" s="550">
        <v>4230</v>
      </c>
      <c r="G259" s="546">
        <v>4230</v>
      </c>
      <c r="H259" s="547">
        <v>2279</v>
      </c>
      <c r="I259" s="328">
        <v>3230</v>
      </c>
    </row>
    <row r="260" spans="1:9" x14ac:dyDescent="0.2">
      <c r="A260" s="898">
        <v>45</v>
      </c>
      <c r="B260" s="549" t="s">
        <v>865</v>
      </c>
      <c r="C260" s="546">
        <v>499</v>
      </c>
      <c r="D260" s="550">
        <v>499</v>
      </c>
      <c r="E260" s="550">
        <v>4603</v>
      </c>
      <c r="F260" s="550">
        <v>3603</v>
      </c>
      <c r="G260" s="546">
        <v>3603</v>
      </c>
      <c r="H260" s="547">
        <v>2279</v>
      </c>
      <c r="I260" s="328">
        <v>500</v>
      </c>
    </row>
    <row r="261" spans="1:9" x14ac:dyDescent="0.2">
      <c r="A261" s="575">
        <v>46</v>
      </c>
      <c r="B261" s="549" t="s">
        <v>866</v>
      </c>
      <c r="C261" s="546">
        <v>2710</v>
      </c>
      <c r="D261" s="550">
        <v>2710</v>
      </c>
      <c r="E261" s="550">
        <v>3755</v>
      </c>
      <c r="F261" s="550">
        <v>3755</v>
      </c>
      <c r="G261" s="546">
        <v>3755</v>
      </c>
      <c r="H261" s="547">
        <v>2279</v>
      </c>
      <c r="I261" s="328">
        <v>2710</v>
      </c>
    </row>
    <row r="262" spans="1:9" x14ac:dyDescent="0.2">
      <c r="A262" s="898">
        <v>47</v>
      </c>
      <c r="B262" s="541" t="s">
        <v>867</v>
      </c>
      <c r="C262" s="544">
        <v>427</v>
      </c>
      <c r="D262" s="550">
        <v>427</v>
      </c>
      <c r="E262" s="550">
        <v>470</v>
      </c>
      <c r="F262" s="550">
        <v>470</v>
      </c>
      <c r="G262" s="546">
        <v>470</v>
      </c>
      <c r="H262" s="547">
        <v>2279</v>
      </c>
      <c r="I262" s="328">
        <v>470</v>
      </c>
    </row>
    <row r="263" spans="1:9" x14ac:dyDescent="0.2">
      <c r="A263" s="575">
        <v>48</v>
      </c>
      <c r="B263" s="541" t="s">
        <v>868</v>
      </c>
      <c r="C263" s="546">
        <v>2846</v>
      </c>
      <c r="D263" s="550">
        <v>2846</v>
      </c>
      <c r="E263" s="550">
        <v>6315</v>
      </c>
      <c r="F263" s="550">
        <v>3846</v>
      </c>
      <c r="G263" s="546">
        <v>3846</v>
      </c>
      <c r="H263" s="547">
        <v>2279</v>
      </c>
      <c r="I263" s="328">
        <v>2846</v>
      </c>
    </row>
    <row r="264" spans="1:9" x14ac:dyDescent="0.2">
      <c r="A264" s="898">
        <v>49</v>
      </c>
      <c r="B264" s="549" t="s">
        <v>869</v>
      </c>
      <c r="C264" s="546">
        <v>1423</v>
      </c>
      <c r="D264" s="550">
        <v>1423</v>
      </c>
      <c r="E264" s="550">
        <v>2680</v>
      </c>
      <c r="F264" s="550">
        <v>2280</v>
      </c>
      <c r="G264" s="546">
        <v>2280</v>
      </c>
      <c r="H264" s="547">
        <v>2279</v>
      </c>
      <c r="I264" s="328">
        <v>1423</v>
      </c>
    </row>
    <row r="265" spans="1:9" x14ac:dyDescent="0.2">
      <c r="A265" s="575">
        <v>50</v>
      </c>
      <c r="B265" s="549" t="s">
        <v>870</v>
      </c>
      <c r="C265" s="546">
        <v>0</v>
      </c>
      <c r="D265" s="550">
        <v>0</v>
      </c>
      <c r="E265" s="550">
        <v>800</v>
      </c>
      <c r="F265" s="550">
        <v>800</v>
      </c>
      <c r="G265" s="546">
        <v>800</v>
      </c>
      <c r="H265" s="547">
        <v>2279</v>
      </c>
      <c r="I265" s="328">
        <v>800</v>
      </c>
    </row>
    <row r="266" spans="1:9" x14ac:dyDescent="0.2">
      <c r="A266" s="898">
        <v>51</v>
      </c>
      <c r="B266" s="541" t="s">
        <v>871</v>
      </c>
      <c r="C266" s="544">
        <v>0</v>
      </c>
      <c r="D266" s="550">
        <v>0</v>
      </c>
      <c r="E266" s="550">
        <v>39800</v>
      </c>
      <c r="F266" s="550">
        <v>39800</v>
      </c>
      <c r="G266" s="546">
        <v>39800</v>
      </c>
      <c r="H266" s="547">
        <v>2279</v>
      </c>
      <c r="I266" s="328">
        <v>6000</v>
      </c>
    </row>
    <row r="267" spans="1:9" x14ac:dyDescent="0.2">
      <c r="A267" s="575">
        <v>52</v>
      </c>
      <c r="B267" s="541" t="s">
        <v>872</v>
      </c>
      <c r="C267" s="544">
        <v>0</v>
      </c>
      <c r="D267" s="550">
        <v>0</v>
      </c>
      <c r="E267" s="550">
        <v>4100</v>
      </c>
      <c r="F267" s="550">
        <v>3100</v>
      </c>
      <c r="G267" s="546">
        <v>3100</v>
      </c>
      <c r="H267" s="547">
        <v>2279</v>
      </c>
      <c r="I267" s="328">
        <v>3100</v>
      </c>
    </row>
    <row r="268" spans="1:9" x14ac:dyDescent="0.2">
      <c r="A268" s="898">
        <v>53</v>
      </c>
      <c r="B268" s="541" t="s">
        <v>873</v>
      </c>
      <c r="C268" s="544">
        <v>0</v>
      </c>
      <c r="D268" s="550">
        <v>0</v>
      </c>
      <c r="E268" s="550">
        <v>198</v>
      </c>
      <c r="F268" s="550">
        <v>198</v>
      </c>
      <c r="G268" s="546">
        <v>198</v>
      </c>
      <c r="H268" s="547">
        <v>2279</v>
      </c>
      <c r="I268" s="328">
        <v>198</v>
      </c>
    </row>
    <row r="269" spans="1:9" x14ac:dyDescent="0.2">
      <c r="A269" s="1157">
        <v>54</v>
      </c>
      <c r="B269" s="1158" t="s">
        <v>874</v>
      </c>
      <c r="C269" s="546">
        <v>225</v>
      </c>
      <c r="D269" s="1156">
        <v>849</v>
      </c>
      <c r="E269" s="1156">
        <v>985</v>
      </c>
      <c r="F269" s="1156">
        <v>985</v>
      </c>
      <c r="G269" s="546">
        <v>225</v>
      </c>
      <c r="H269" s="547">
        <v>2279</v>
      </c>
      <c r="I269" s="328">
        <v>225</v>
      </c>
    </row>
    <row r="270" spans="1:9" x14ac:dyDescent="0.2">
      <c r="A270" s="1157"/>
      <c r="B270" s="1158"/>
      <c r="C270" s="546">
        <v>510</v>
      </c>
      <c r="D270" s="1156"/>
      <c r="E270" s="1156"/>
      <c r="F270" s="1156"/>
      <c r="G270" s="546">
        <v>460</v>
      </c>
      <c r="H270" s="547">
        <v>2361</v>
      </c>
      <c r="I270" s="328">
        <v>460</v>
      </c>
    </row>
    <row r="271" spans="1:9" x14ac:dyDescent="0.2">
      <c r="A271" s="1157"/>
      <c r="B271" s="1158"/>
      <c r="C271" s="546">
        <v>250</v>
      </c>
      <c r="D271" s="1156"/>
      <c r="E271" s="1156"/>
      <c r="F271" s="1156"/>
      <c r="G271" s="546">
        <v>300</v>
      </c>
      <c r="H271" s="547">
        <v>2262</v>
      </c>
      <c r="I271" s="328">
        <v>300</v>
      </c>
    </row>
    <row r="272" spans="1:9" x14ac:dyDescent="0.2">
      <c r="A272" s="1157">
        <v>55</v>
      </c>
      <c r="B272" s="1155" t="s">
        <v>875</v>
      </c>
      <c r="C272" s="544">
        <v>920</v>
      </c>
      <c r="D272" s="1156">
        <v>966</v>
      </c>
      <c r="E272" s="1156">
        <v>966</v>
      </c>
      <c r="F272" s="1156">
        <v>964</v>
      </c>
      <c r="G272" s="546">
        <v>557</v>
      </c>
      <c r="H272" s="547">
        <v>2279</v>
      </c>
      <c r="I272" s="328">
        <v>557</v>
      </c>
    </row>
    <row r="273" spans="1:9" x14ac:dyDescent="0.2">
      <c r="A273" s="1157"/>
      <c r="B273" s="1155"/>
      <c r="C273" s="544">
        <v>0</v>
      </c>
      <c r="D273" s="1156"/>
      <c r="E273" s="1156"/>
      <c r="F273" s="1156"/>
      <c r="G273" s="546">
        <v>407</v>
      </c>
      <c r="H273" s="547">
        <v>2361</v>
      </c>
      <c r="I273" s="328">
        <v>407</v>
      </c>
    </row>
    <row r="274" spans="1:9" x14ac:dyDescent="0.2">
      <c r="A274" s="560">
        <v>56</v>
      </c>
      <c r="B274" s="541" t="s">
        <v>876</v>
      </c>
      <c r="C274" s="544">
        <v>0</v>
      </c>
      <c r="D274" s="550">
        <v>0</v>
      </c>
      <c r="E274" s="550">
        <v>1929</v>
      </c>
      <c r="F274" s="550">
        <v>929</v>
      </c>
      <c r="G274" s="546">
        <v>929</v>
      </c>
      <c r="H274" s="547">
        <v>2279</v>
      </c>
      <c r="I274" s="328">
        <v>929</v>
      </c>
    </row>
    <row r="275" spans="1:9" x14ac:dyDescent="0.2">
      <c r="A275" s="560">
        <v>57</v>
      </c>
      <c r="B275" s="541" t="s">
        <v>877</v>
      </c>
      <c r="C275" s="544">
        <v>0</v>
      </c>
      <c r="D275" s="550">
        <v>870</v>
      </c>
      <c r="E275" s="550">
        <v>1200</v>
      </c>
      <c r="F275" s="550">
        <v>1200</v>
      </c>
      <c r="G275" s="546">
        <v>1200</v>
      </c>
      <c r="H275" s="547">
        <v>2279</v>
      </c>
      <c r="I275" s="328">
        <v>870</v>
      </c>
    </row>
    <row r="276" spans="1:9" x14ac:dyDescent="0.2">
      <c r="A276" s="1154">
        <v>58</v>
      </c>
      <c r="B276" s="1155" t="s">
        <v>878</v>
      </c>
      <c r="C276" s="544">
        <v>490</v>
      </c>
      <c r="D276" s="1156">
        <v>617</v>
      </c>
      <c r="E276" s="1156">
        <v>825</v>
      </c>
      <c r="F276" s="1156">
        <v>617</v>
      </c>
      <c r="G276" s="546">
        <v>329</v>
      </c>
      <c r="H276" s="547">
        <v>2279</v>
      </c>
      <c r="I276" s="328">
        <v>329</v>
      </c>
    </row>
    <row r="277" spans="1:9" x14ac:dyDescent="0.2">
      <c r="A277" s="1154"/>
      <c r="B277" s="1155"/>
      <c r="C277" s="544">
        <v>0</v>
      </c>
      <c r="D277" s="1156"/>
      <c r="E277" s="1156"/>
      <c r="F277" s="1156"/>
      <c r="G277" s="546">
        <v>288</v>
      </c>
      <c r="H277" s="547">
        <v>2361</v>
      </c>
      <c r="I277" s="328">
        <v>288</v>
      </c>
    </row>
    <row r="278" spans="1:9" x14ac:dyDescent="0.2">
      <c r="A278" s="560">
        <v>59</v>
      </c>
      <c r="B278" s="541" t="s">
        <v>879</v>
      </c>
      <c r="C278" s="544">
        <v>0</v>
      </c>
      <c r="D278" s="550">
        <v>0</v>
      </c>
      <c r="E278" s="550">
        <v>5000</v>
      </c>
      <c r="F278" s="550">
        <v>2500</v>
      </c>
      <c r="G278" s="546">
        <v>2500</v>
      </c>
      <c r="H278" s="547">
        <v>2279</v>
      </c>
      <c r="I278" s="328">
        <v>2500</v>
      </c>
    </row>
    <row r="279" spans="1:9" x14ac:dyDescent="0.2">
      <c r="A279" s="574">
        <v>60</v>
      </c>
      <c r="B279" s="541" t="s">
        <v>880</v>
      </c>
      <c r="C279" s="544">
        <v>28458</v>
      </c>
      <c r="D279" s="550">
        <v>25837</v>
      </c>
      <c r="E279" s="550">
        <v>50000</v>
      </c>
      <c r="F279" s="550">
        <v>50000</v>
      </c>
      <c r="G279" s="546">
        <v>50000</v>
      </c>
      <c r="H279" s="547">
        <v>6422</v>
      </c>
      <c r="I279" s="328">
        <v>34000</v>
      </c>
    </row>
    <row r="280" spans="1:9" x14ac:dyDescent="0.2">
      <c r="A280" s="568" t="s">
        <v>881</v>
      </c>
      <c r="B280" s="569" t="s">
        <v>882</v>
      </c>
      <c r="C280" s="567">
        <f>SUM(C281)</f>
        <v>8773</v>
      </c>
      <c r="D280" s="547">
        <f>SUM(D281)</f>
        <v>8773</v>
      </c>
      <c r="E280" s="547">
        <f>SUM(E281)</f>
        <v>80000</v>
      </c>
      <c r="F280" s="567">
        <f>SUM(F281)</f>
        <v>80000</v>
      </c>
      <c r="G280" s="547">
        <f>SUM(G281)</f>
        <v>80000</v>
      </c>
      <c r="H280" s="547"/>
      <c r="I280" s="567">
        <f>SUM(I281)</f>
        <v>57326</v>
      </c>
    </row>
    <row r="281" spans="1:9" x14ac:dyDescent="0.2">
      <c r="A281" s="560">
        <v>1</v>
      </c>
      <c r="B281" s="541" t="s">
        <v>883</v>
      </c>
      <c r="C281" s="544">
        <v>8773</v>
      </c>
      <c r="D281" s="544">
        <v>8773</v>
      </c>
      <c r="E281" s="546">
        <v>80000</v>
      </c>
      <c r="F281" s="544">
        <v>80000</v>
      </c>
      <c r="G281" s="546">
        <v>80000</v>
      </c>
      <c r="H281" s="547">
        <v>2275</v>
      </c>
      <c r="I281" s="544">
        <v>57326</v>
      </c>
    </row>
    <row r="282" spans="1:9" s="95" customFormat="1" ht="12" x14ac:dyDescent="0.2">
      <c r="C282" s="98"/>
      <c r="H282" s="315"/>
    </row>
  </sheetData>
  <sortState ref="C257:J260">
    <sortCondition ref="H257:H260"/>
  </sortState>
  <mergeCells count="183">
    <mergeCell ref="A21:A25"/>
    <mergeCell ref="B21:B25"/>
    <mergeCell ref="D21:D25"/>
    <mergeCell ref="E21:E25"/>
    <mergeCell ref="F21:F25"/>
    <mergeCell ref="A32:A33"/>
    <mergeCell ref="B32:B33"/>
    <mergeCell ref="D32:D33"/>
    <mergeCell ref="E32:E33"/>
    <mergeCell ref="F32:F33"/>
    <mergeCell ref="A27:A31"/>
    <mergeCell ref="B27:B31"/>
    <mergeCell ref="D27:D31"/>
    <mergeCell ref="E27:E31"/>
    <mergeCell ref="F27:F31"/>
    <mergeCell ref="A8:I8"/>
    <mergeCell ref="F13:G13"/>
    <mergeCell ref="A14:B14"/>
    <mergeCell ref="A15:B15"/>
    <mergeCell ref="A17:A20"/>
    <mergeCell ref="B17:B20"/>
    <mergeCell ref="D17:D20"/>
    <mergeCell ref="E17:E20"/>
    <mergeCell ref="F17:F20"/>
    <mergeCell ref="A50:A51"/>
    <mergeCell ref="B50:B51"/>
    <mergeCell ref="D50:D51"/>
    <mergeCell ref="E50:E51"/>
    <mergeCell ref="F50:F51"/>
    <mergeCell ref="A35:A37"/>
    <mergeCell ref="B35:B37"/>
    <mergeCell ref="D35:D37"/>
    <mergeCell ref="E35:E37"/>
    <mergeCell ref="F35:F37"/>
    <mergeCell ref="A48:A49"/>
    <mergeCell ref="B48:B49"/>
    <mergeCell ref="D48:D49"/>
    <mergeCell ref="E48:E49"/>
    <mergeCell ref="F48:F49"/>
    <mergeCell ref="A42:A46"/>
    <mergeCell ref="B42:B46"/>
    <mergeCell ref="D42:D46"/>
    <mergeCell ref="E42:E46"/>
    <mergeCell ref="F42:F46"/>
    <mergeCell ref="A57:A59"/>
    <mergeCell ref="B57:B59"/>
    <mergeCell ref="C57:C59"/>
    <mergeCell ref="D57:D59"/>
    <mergeCell ref="E57:E59"/>
    <mergeCell ref="F57:F59"/>
    <mergeCell ref="A52:A55"/>
    <mergeCell ref="B52:B55"/>
    <mergeCell ref="D52:D55"/>
    <mergeCell ref="E52:E55"/>
    <mergeCell ref="F52:F55"/>
    <mergeCell ref="A60:A63"/>
    <mergeCell ref="B60:B63"/>
    <mergeCell ref="C60:C63"/>
    <mergeCell ref="D60:D63"/>
    <mergeCell ref="E60:E63"/>
    <mergeCell ref="F60:F63"/>
    <mergeCell ref="A69:A71"/>
    <mergeCell ref="B69:B71"/>
    <mergeCell ref="D69:D71"/>
    <mergeCell ref="E69:E71"/>
    <mergeCell ref="F69:F71"/>
    <mergeCell ref="A66:A68"/>
    <mergeCell ref="B66:B68"/>
    <mergeCell ref="D66:D68"/>
    <mergeCell ref="E66:E68"/>
    <mergeCell ref="F66:F68"/>
    <mergeCell ref="A75:A76"/>
    <mergeCell ref="B75:B76"/>
    <mergeCell ref="D75:D76"/>
    <mergeCell ref="E75:E76"/>
    <mergeCell ref="F75:F76"/>
    <mergeCell ref="A72:A74"/>
    <mergeCell ref="B72:B74"/>
    <mergeCell ref="D72:D74"/>
    <mergeCell ref="E72:E74"/>
    <mergeCell ref="F72:F74"/>
    <mergeCell ref="A110:A112"/>
    <mergeCell ref="B110:B112"/>
    <mergeCell ref="D110:D112"/>
    <mergeCell ref="E110:E112"/>
    <mergeCell ref="F110:F112"/>
    <mergeCell ref="A91:A94"/>
    <mergeCell ref="B91:B94"/>
    <mergeCell ref="D91:D94"/>
    <mergeCell ref="E91:E94"/>
    <mergeCell ref="A131:A134"/>
    <mergeCell ref="B131:B134"/>
    <mergeCell ref="E121:E122"/>
    <mergeCell ref="F121:F122"/>
    <mergeCell ref="D131:D134"/>
    <mergeCell ref="E131:E134"/>
    <mergeCell ref="F131:F134"/>
    <mergeCell ref="D113:D115"/>
    <mergeCell ref="E113:E115"/>
    <mergeCell ref="F113:F115"/>
    <mergeCell ref="A121:A122"/>
    <mergeCell ref="B121:B122"/>
    <mergeCell ref="C121:C122"/>
    <mergeCell ref="D121:D122"/>
    <mergeCell ref="A113:A115"/>
    <mergeCell ref="B113:B115"/>
    <mergeCell ref="D135:D137"/>
    <mergeCell ref="E135:E137"/>
    <mergeCell ref="F135:F137"/>
    <mergeCell ref="F154:F156"/>
    <mergeCell ref="A144:A146"/>
    <mergeCell ref="B144:B146"/>
    <mergeCell ref="D144:D146"/>
    <mergeCell ref="E144:E146"/>
    <mergeCell ref="F144:F146"/>
    <mergeCell ref="A135:A137"/>
    <mergeCell ref="B135:B137"/>
    <mergeCell ref="A179:A180"/>
    <mergeCell ref="B179:B180"/>
    <mergeCell ref="A185:A186"/>
    <mergeCell ref="B185:B186"/>
    <mergeCell ref="D185:D186"/>
    <mergeCell ref="E185:E186"/>
    <mergeCell ref="F185:F186"/>
    <mergeCell ref="A154:A156"/>
    <mergeCell ref="B154:B156"/>
    <mergeCell ref="D154:D156"/>
    <mergeCell ref="E154:E156"/>
    <mergeCell ref="D179:D180"/>
    <mergeCell ref="E179:E180"/>
    <mergeCell ref="F179:F180"/>
    <mergeCell ref="A191:A192"/>
    <mergeCell ref="B191:B192"/>
    <mergeCell ref="D191:D192"/>
    <mergeCell ref="E191:E192"/>
    <mergeCell ref="F191:F192"/>
    <mergeCell ref="A202:B202"/>
    <mergeCell ref="A187:A188"/>
    <mergeCell ref="B187:B188"/>
    <mergeCell ref="D187:D188"/>
    <mergeCell ref="E187:E188"/>
    <mergeCell ref="F187:F188"/>
    <mergeCell ref="A189:A190"/>
    <mergeCell ref="B189:B190"/>
    <mergeCell ref="D189:D190"/>
    <mergeCell ref="E189:E190"/>
    <mergeCell ref="F189:F190"/>
    <mergeCell ref="A210:A213"/>
    <mergeCell ref="B210:B213"/>
    <mergeCell ref="D210:D213"/>
    <mergeCell ref="E210:E213"/>
    <mergeCell ref="F210:F213"/>
    <mergeCell ref="A214:A220"/>
    <mergeCell ref="B214:B220"/>
    <mergeCell ref="A207:A209"/>
    <mergeCell ref="B207:B209"/>
    <mergeCell ref="D207:D209"/>
    <mergeCell ref="E207:E209"/>
    <mergeCell ref="F207:F209"/>
    <mergeCell ref="B1:I1"/>
    <mergeCell ref="A276:A277"/>
    <mergeCell ref="B276:B277"/>
    <mergeCell ref="D276:D277"/>
    <mergeCell ref="E276:E277"/>
    <mergeCell ref="F276:F277"/>
    <mergeCell ref="A269:A271"/>
    <mergeCell ref="B269:B271"/>
    <mergeCell ref="D269:D271"/>
    <mergeCell ref="E269:E271"/>
    <mergeCell ref="F269:F271"/>
    <mergeCell ref="A272:A273"/>
    <mergeCell ref="B272:B273"/>
    <mergeCell ref="D272:D273"/>
    <mergeCell ref="E272:E273"/>
    <mergeCell ref="F272:F273"/>
    <mergeCell ref="A229:A231"/>
    <mergeCell ref="B229:B231"/>
    <mergeCell ref="D229:D231"/>
    <mergeCell ref="E229:E231"/>
    <mergeCell ref="F229:F231"/>
    <mergeCell ref="D214:D217"/>
    <mergeCell ref="E214:E217"/>
    <mergeCell ref="F214:F217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99"/>
  </sheetPr>
  <dimension ref="A1:W32"/>
  <sheetViews>
    <sheetView zoomScaleNormal="100" workbookViewId="0">
      <selection activeCell="B2" sqref="B2"/>
    </sheetView>
  </sheetViews>
  <sheetFormatPr defaultRowHeight="12" x14ac:dyDescent="0.2"/>
  <cols>
    <col min="1" max="1" width="4" style="1" customWidth="1"/>
    <col min="2" max="2" width="63.42578125" style="1" customWidth="1"/>
    <col min="3" max="3" width="11.85546875" style="1" hidden="1" customWidth="1"/>
    <col min="4" max="4" width="11.140625" style="1" hidden="1" customWidth="1"/>
    <col min="5" max="5" width="10.28515625" style="1" hidden="1" customWidth="1"/>
    <col min="6" max="6" width="10.5703125" style="1" customWidth="1"/>
    <col min="7" max="7" width="9.7109375" style="1" customWidth="1"/>
    <col min="8" max="252" width="9.140625" style="1"/>
    <col min="253" max="253" width="6.140625" style="1" customWidth="1"/>
    <col min="254" max="254" width="44.85546875" style="1" customWidth="1"/>
    <col min="255" max="255" width="11.85546875" style="1" customWidth="1"/>
    <col min="256" max="256" width="11.140625" style="1" customWidth="1"/>
    <col min="257" max="257" width="10.28515625" style="1" customWidth="1"/>
    <col min="258" max="258" width="10.5703125" style="1" customWidth="1"/>
    <col min="259" max="259" width="9.7109375" style="1" customWidth="1"/>
    <col min="260" max="260" width="33.28515625" style="1" customWidth="1"/>
    <col min="261" max="508" width="9.140625" style="1"/>
    <col min="509" max="509" width="6.140625" style="1" customWidth="1"/>
    <col min="510" max="510" width="44.85546875" style="1" customWidth="1"/>
    <col min="511" max="511" width="11.85546875" style="1" customWidth="1"/>
    <col min="512" max="512" width="11.140625" style="1" customWidth="1"/>
    <col min="513" max="513" width="10.28515625" style="1" customWidth="1"/>
    <col min="514" max="514" width="10.5703125" style="1" customWidth="1"/>
    <col min="515" max="515" width="9.7109375" style="1" customWidth="1"/>
    <col min="516" max="516" width="33.28515625" style="1" customWidth="1"/>
    <col min="517" max="764" width="9.140625" style="1"/>
    <col min="765" max="765" width="6.140625" style="1" customWidth="1"/>
    <col min="766" max="766" width="44.85546875" style="1" customWidth="1"/>
    <col min="767" max="767" width="11.85546875" style="1" customWidth="1"/>
    <col min="768" max="768" width="11.140625" style="1" customWidth="1"/>
    <col min="769" max="769" width="10.28515625" style="1" customWidth="1"/>
    <col min="770" max="770" width="10.5703125" style="1" customWidth="1"/>
    <col min="771" max="771" width="9.7109375" style="1" customWidth="1"/>
    <col min="772" max="772" width="33.28515625" style="1" customWidth="1"/>
    <col min="773" max="1020" width="9.140625" style="1"/>
    <col min="1021" max="1021" width="6.140625" style="1" customWidth="1"/>
    <col min="1022" max="1022" width="44.85546875" style="1" customWidth="1"/>
    <col min="1023" max="1023" width="11.85546875" style="1" customWidth="1"/>
    <col min="1024" max="1024" width="11.140625" style="1" customWidth="1"/>
    <col min="1025" max="1025" width="10.28515625" style="1" customWidth="1"/>
    <col min="1026" max="1026" width="10.5703125" style="1" customWidth="1"/>
    <col min="1027" max="1027" width="9.7109375" style="1" customWidth="1"/>
    <col min="1028" max="1028" width="33.28515625" style="1" customWidth="1"/>
    <col min="1029" max="1276" width="9.140625" style="1"/>
    <col min="1277" max="1277" width="6.140625" style="1" customWidth="1"/>
    <col min="1278" max="1278" width="44.85546875" style="1" customWidth="1"/>
    <col min="1279" max="1279" width="11.85546875" style="1" customWidth="1"/>
    <col min="1280" max="1280" width="11.140625" style="1" customWidth="1"/>
    <col min="1281" max="1281" width="10.28515625" style="1" customWidth="1"/>
    <col min="1282" max="1282" width="10.5703125" style="1" customWidth="1"/>
    <col min="1283" max="1283" width="9.7109375" style="1" customWidth="1"/>
    <col min="1284" max="1284" width="33.28515625" style="1" customWidth="1"/>
    <col min="1285" max="1532" width="9.140625" style="1"/>
    <col min="1533" max="1533" width="6.140625" style="1" customWidth="1"/>
    <col min="1534" max="1534" width="44.85546875" style="1" customWidth="1"/>
    <col min="1535" max="1535" width="11.85546875" style="1" customWidth="1"/>
    <col min="1536" max="1536" width="11.140625" style="1" customWidth="1"/>
    <col min="1537" max="1537" width="10.28515625" style="1" customWidth="1"/>
    <col min="1538" max="1538" width="10.5703125" style="1" customWidth="1"/>
    <col min="1539" max="1539" width="9.7109375" style="1" customWidth="1"/>
    <col min="1540" max="1540" width="33.28515625" style="1" customWidth="1"/>
    <col min="1541" max="1788" width="9.140625" style="1"/>
    <col min="1789" max="1789" width="6.140625" style="1" customWidth="1"/>
    <col min="1790" max="1790" width="44.85546875" style="1" customWidth="1"/>
    <col min="1791" max="1791" width="11.85546875" style="1" customWidth="1"/>
    <col min="1792" max="1792" width="11.140625" style="1" customWidth="1"/>
    <col min="1793" max="1793" width="10.28515625" style="1" customWidth="1"/>
    <col min="1794" max="1794" width="10.5703125" style="1" customWidth="1"/>
    <col min="1795" max="1795" width="9.7109375" style="1" customWidth="1"/>
    <col min="1796" max="1796" width="33.28515625" style="1" customWidth="1"/>
    <col min="1797" max="2044" width="9.140625" style="1"/>
    <col min="2045" max="2045" width="6.140625" style="1" customWidth="1"/>
    <col min="2046" max="2046" width="44.85546875" style="1" customWidth="1"/>
    <col min="2047" max="2047" width="11.85546875" style="1" customWidth="1"/>
    <col min="2048" max="2048" width="11.140625" style="1" customWidth="1"/>
    <col min="2049" max="2049" width="10.28515625" style="1" customWidth="1"/>
    <col min="2050" max="2050" width="10.5703125" style="1" customWidth="1"/>
    <col min="2051" max="2051" width="9.7109375" style="1" customWidth="1"/>
    <col min="2052" max="2052" width="33.28515625" style="1" customWidth="1"/>
    <col min="2053" max="2300" width="9.140625" style="1"/>
    <col min="2301" max="2301" width="6.140625" style="1" customWidth="1"/>
    <col min="2302" max="2302" width="44.85546875" style="1" customWidth="1"/>
    <col min="2303" max="2303" width="11.85546875" style="1" customWidth="1"/>
    <col min="2304" max="2304" width="11.140625" style="1" customWidth="1"/>
    <col min="2305" max="2305" width="10.28515625" style="1" customWidth="1"/>
    <col min="2306" max="2306" width="10.5703125" style="1" customWidth="1"/>
    <col min="2307" max="2307" width="9.7109375" style="1" customWidth="1"/>
    <col min="2308" max="2308" width="33.28515625" style="1" customWidth="1"/>
    <col min="2309" max="2556" width="9.140625" style="1"/>
    <col min="2557" max="2557" width="6.140625" style="1" customWidth="1"/>
    <col min="2558" max="2558" width="44.85546875" style="1" customWidth="1"/>
    <col min="2559" max="2559" width="11.85546875" style="1" customWidth="1"/>
    <col min="2560" max="2560" width="11.140625" style="1" customWidth="1"/>
    <col min="2561" max="2561" width="10.28515625" style="1" customWidth="1"/>
    <col min="2562" max="2562" width="10.5703125" style="1" customWidth="1"/>
    <col min="2563" max="2563" width="9.7109375" style="1" customWidth="1"/>
    <col min="2564" max="2564" width="33.28515625" style="1" customWidth="1"/>
    <col min="2565" max="2812" width="9.140625" style="1"/>
    <col min="2813" max="2813" width="6.140625" style="1" customWidth="1"/>
    <col min="2814" max="2814" width="44.85546875" style="1" customWidth="1"/>
    <col min="2815" max="2815" width="11.85546875" style="1" customWidth="1"/>
    <col min="2816" max="2816" width="11.140625" style="1" customWidth="1"/>
    <col min="2817" max="2817" width="10.28515625" style="1" customWidth="1"/>
    <col min="2818" max="2818" width="10.5703125" style="1" customWidth="1"/>
    <col min="2819" max="2819" width="9.7109375" style="1" customWidth="1"/>
    <col min="2820" max="2820" width="33.28515625" style="1" customWidth="1"/>
    <col min="2821" max="3068" width="9.140625" style="1"/>
    <col min="3069" max="3069" width="6.140625" style="1" customWidth="1"/>
    <col min="3070" max="3070" width="44.85546875" style="1" customWidth="1"/>
    <col min="3071" max="3071" width="11.85546875" style="1" customWidth="1"/>
    <col min="3072" max="3072" width="11.140625" style="1" customWidth="1"/>
    <col min="3073" max="3073" width="10.28515625" style="1" customWidth="1"/>
    <col min="3074" max="3074" width="10.5703125" style="1" customWidth="1"/>
    <col min="3075" max="3075" width="9.7109375" style="1" customWidth="1"/>
    <col min="3076" max="3076" width="33.28515625" style="1" customWidth="1"/>
    <col min="3077" max="3324" width="9.140625" style="1"/>
    <col min="3325" max="3325" width="6.140625" style="1" customWidth="1"/>
    <col min="3326" max="3326" width="44.85546875" style="1" customWidth="1"/>
    <col min="3327" max="3327" width="11.85546875" style="1" customWidth="1"/>
    <col min="3328" max="3328" width="11.140625" style="1" customWidth="1"/>
    <col min="3329" max="3329" width="10.28515625" style="1" customWidth="1"/>
    <col min="3330" max="3330" width="10.5703125" style="1" customWidth="1"/>
    <col min="3331" max="3331" width="9.7109375" style="1" customWidth="1"/>
    <col min="3332" max="3332" width="33.28515625" style="1" customWidth="1"/>
    <col min="3333" max="3580" width="9.140625" style="1"/>
    <col min="3581" max="3581" width="6.140625" style="1" customWidth="1"/>
    <col min="3582" max="3582" width="44.85546875" style="1" customWidth="1"/>
    <col min="3583" max="3583" width="11.85546875" style="1" customWidth="1"/>
    <col min="3584" max="3584" width="11.140625" style="1" customWidth="1"/>
    <col min="3585" max="3585" width="10.28515625" style="1" customWidth="1"/>
    <col min="3586" max="3586" width="10.5703125" style="1" customWidth="1"/>
    <col min="3587" max="3587" width="9.7109375" style="1" customWidth="1"/>
    <col min="3588" max="3588" width="33.28515625" style="1" customWidth="1"/>
    <col min="3589" max="3836" width="9.140625" style="1"/>
    <col min="3837" max="3837" width="6.140625" style="1" customWidth="1"/>
    <col min="3838" max="3838" width="44.85546875" style="1" customWidth="1"/>
    <col min="3839" max="3839" width="11.85546875" style="1" customWidth="1"/>
    <col min="3840" max="3840" width="11.140625" style="1" customWidth="1"/>
    <col min="3841" max="3841" width="10.28515625" style="1" customWidth="1"/>
    <col min="3842" max="3842" width="10.5703125" style="1" customWidth="1"/>
    <col min="3843" max="3843" width="9.7109375" style="1" customWidth="1"/>
    <col min="3844" max="3844" width="33.28515625" style="1" customWidth="1"/>
    <col min="3845" max="4092" width="9.140625" style="1"/>
    <col min="4093" max="4093" width="6.140625" style="1" customWidth="1"/>
    <col min="4094" max="4094" width="44.85546875" style="1" customWidth="1"/>
    <col min="4095" max="4095" width="11.85546875" style="1" customWidth="1"/>
    <col min="4096" max="4096" width="11.140625" style="1" customWidth="1"/>
    <col min="4097" max="4097" width="10.28515625" style="1" customWidth="1"/>
    <col min="4098" max="4098" width="10.5703125" style="1" customWidth="1"/>
    <col min="4099" max="4099" width="9.7109375" style="1" customWidth="1"/>
    <col min="4100" max="4100" width="33.28515625" style="1" customWidth="1"/>
    <col min="4101" max="4348" width="9.140625" style="1"/>
    <col min="4349" max="4349" width="6.140625" style="1" customWidth="1"/>
    <col min="4350" max="4350" width="44.85546875" style="1" customWidth="1"/>
    <col min="4351" max="4351" width="11.85546875" style="1" customWidth="1"/>
    <col min="4352" max="4352" width="11.140625" style="1" customWidth="1"/>
    <col min="4353" max="4353" width="10.28515625" style="1" customWidth="1"/>
    <col min="4354" max="4354" width="10.5703125" style="1" customWidth="1"/>
    <col min="4355" max="4355" width="9.7109375" style="1" customWidth="1"/>
    <col min="4356" max="4356" width="33.28515625" style="1" customWidth="1"/>
    <col min="4357" max="4604" width="9.140625" style="1"/>
    <col min="4605" max="4605" width="6.140625" style="1" customWidth="1"/>
    <col min="4606" max="4606" width="44.85546875" style="1" customWidth="1"/>
    <col min="4607" max="4607" width="11.85546875" style="1" customWidth="1"/>
    <col min="4608" max="4608" width="11.140625" style="1" customWidth="1"/>
    <col min="4609" max="4609" width="10.28515625" style="1" customWidth="1"/>
    <col min="4610" max="4610" width="10.5703125" style="1" customWidth="1"/>
    <col min="4611" max="4611" width="9.7109375" style="1" customWidth="1"/>
    <col min="4612" max="4612" width="33.28515625" style="1" customWidth="1"/>
    <col min="4613" max="4860" width="9.140625" style="1"/>
    <col min="4861" max="4861" width="6.140625" style="1" customWidth="1"/>
    <col min="4862" max="4862" width="44.85546875" style="1" customWidth="1"/>
    <col min="4863" max="4863" width="11.85546875" style="1" customWidth="1"/>
    <col min="4864" max="4864" width="11.140625" style="1" customWidth="1"/>
    <col min="4865" max="4865" width="10.28515625" style="1" customWidth="1"/>
    <col min="4866" max="4866" width="10.5703125" style="1" customWidth="1"/>
    <col min="4867" max="4867" width="9.7109375" style="1" customWidth="1"/>
    <col min="4868" max="4868" width="33.28515625" style="1" customWidth="1"/>
    <col min="4869" max="5116" width="9.140625" style="1"/>
    <col min="5117" max="5117" width="6.140625" style="1" customWidth="1"/>
    <col min="5118" max="5118" width="44.85546875" style="1" customWidth="1"/>
    <col min="5119" max="5119" width="11.85546875" style="1" customWidth="1"/>
    <col min="5120" max="5120" width="11.140625" style="1" customWidth="1"/>
    <col min="5121" max="5121" width="10.28515625" style="1" customWidth="1"/>
    <col min="5122" max="5122" width="10.5703125" style="1" customWidth="1"/>
    <col min="5123" max="5123" width="9.7109375" style="1" customWidth="1"/>
    <col min="5124" max="5124" width="33.28515625" style="1" customWidth="1"/>
    <col min="5125" max="5372" width="9.140625" style="1"/>
    <col min="5373" max="5373" width="6.140625" style="1" customWidth="1"/>
    <col min="5374" max="5374" width="44.85546875" style="1" customWidth="1"/>
    <col min="5375" max="5375" width="11.85546875" style="1" customWidth="1"/>
    <col min="5376" max="5376" width="11.140625" style="1" customWidth="1"/>
    <col min="5377" max="5377" width="10.28515625" style="1" customWidth="1"/>
    <col min="5378" max="5378" width="10.5703125" style="1" customWidth="1"/>
    <col min="5379" max="5379" width="9.7109375" style="1" customWidth="1"/>
    <col min="5380" max="5380" width="33.28515625" style="1" customWidth="1"/>
    <col min="5381" max="5628" width="9.140625" style="1"/>
    <col min="5629" max="5629" width="6.140625" style="1" customWidth="1"/>
    <col min="5630" max="5630" width="44.85546875" style="1" customWidth="1"/>
    <col min="5631" max="5631" width="11.85546875" style="1" customWidth="1"/>
    <col min="5632" max="5632" width="11.140625" style="1" customWidth="1"/>
    <col min="5633" max="5633" width="10.28515625" style="1" customWidth="1"/>
    <col min="5634" max="5634" width="10.5703125" style="1" customWidth="1"/>
    <col min="5635" max="5635" width="9.7109375" style="1" customWidth="1"/>
    <col min="5636" max="5636" width="33.28515625" style="1" customWidth="1"/>
    <col min="5637" max="5884" width="9.140625" style="1"/>
    <col min="5885" max="5885" width="6.140625" style="1" customWidth="1"/>
    <col min="5886" max="5886" width="44.85546875" style="1" customWidth="1"/>
    <col min="5887" max="5887" width="11.85546875" style="1" customWidth="1"/>
    <col min="5888" max="5888" width="11.140625" style="1" customWidth="1"/>
    <col min="5889" max="5889" width="10.28515625" style="1" customWidth="1"/>
    <col min="5890" max="5890" width="10.5703125" style="1" customWidth="1"/>
    <col min="5891" max="5891" width="9.7109375" style="1" customWidth="1"/>
    <col min="5892" max="5892" width="33.28515625" style="1" customWidth="1"/>
    <col min="5893" max="6140" width="9.140625" style="1"/>
    <col min="6141" max="6141" width="6.140625" style="1" customWidth="1"/>
    <col min="6142" max="6142" width="44.85546875" style="1" customWidth="1"/>
    <col min="6143" max="6143" width="11.85546875" style="1" customWidth="1"/>
    <col min="6144" max="6144" width="11.140625" style="1" customWidth="1"/>
    <col min="6145" max="6145" width="10.28515625" style="1" customWidth="1"/>
    <col min="6146" max="6146" width="10.5703125" style="1" customWidth="1"/>
    <col min="6147" max="6147" width="9.7109375" style="1" customWidth="1"/>
    <col min="6148" max="6148" width="33.28515625" style="1" customWidth="1"/>
    <col min="6149" max="6396" width="9.140625" style="1"/>
    <col min="6397" max="6397" width="6.140625" style="1" customWidth="1"/>
    <col min="6398" max="6398" width="44.85546875" style="1" customWidth="1"/>
    <col min="6399" max="6399" width="11.85546875" style="1" customWidth="1"/>
    <col min="6400" max="6400" width="11.140625" style="1" customWidth="1"/>
    <col min="6401" max="6401" width="10.28515625" style="1" customWidth="1"/>
    <col min="6402" max="6402" width="10.5703125" style="1" customWidth="1"/>
    <col min="6403" max="6403" width="9.7109375" style="1" customWidth="1"/>
    <col min="6404" max="6404" width="33.28515625" style="1" customWidth="1"/>
    <col min="6405" max="6652" width="9.140625" style="1"/>
    <col min="6653" max="6653" width="6.140625" style="1" customWidth="1"/>
    <col min="6654" max="6654" width="44.85546875" style="1" customWidth="1"/>
    <col min="6655" max="6655" width="11.85546875" style="1" customWidth="1"/>
    <col min="6656" max="6656" width="11.140625" style="1" customWidth="1"/>
    <col min="6657" max="6657" width="10.28515625" style="1" customWidth="1"/>
    <col min="6658" max="6658" width="10.5703125" style="1" customWidth="1"/>
    <col min="6659" max="6659" width="9.7109375" style="1" customWidth="1"/>
    <col min="6660" max="6660" width="33.28515625" style="1" customWidth="1"/>
    <col min="6661" max="6908" width="9.140625" style="1"/>
    <col min="6909" max="6909" width="6.140625" style="1" customWidth="1"/>
    <col min="6910" max="6910" width="44.85546875" style="1" customWidth="1"/>
    <col min="6911" max="6911" width="11.85546875" style="1" customWidth="1"/>
    <col min="6912" max="6912" width="11.140625" style="1" customWidth="1"/>
    <col min="6913" max="6913" width="10.28515625" style="1" customWidth="1"/>
    <col min="6914" max="6914" width="10.5703125" style="1" customWidth="1"/>
    <col min="6915" max="6915" width="9.7109375" style="1" customWidth="1"/>
    <col min="6916" max="6916" width="33.28515625" style="1" customWidth="1"/>
    <col min="6917" max="7164" width="9.140625" style="1"/>
    <col min="7165" max="7165" width="6.140625" style="1" customWidth="1"/>
    <col min="7166" max="7166" width="44.85546875" style="1" customWidth="1"/>
    <col min="7167" max="7167" width="11.85546875" style="1" customWidth="1"/>
    <col min="7168" max="7168" width="11.140625" style="1" customWidth="1"/>
    <col min="7169" max="7169" width="10.28515625" style="1" customWidth="1"/>
    <col min="7170" max="7170" width="10.5703125" style="1" customWidth="1"/>
    <col min="7171" max="7171" width="9.7109375" style="1" customWidth="1"/>
    <col min="7172" max="7172" width="33.28515625" style="1" customWidth="1"/>
    <col min="7173" max="7420" width="9.140625" style="1"/>
    <col min="7421" max="7421" width="6.140625" style="1" customWidth="1"/>
    <col min="7422" max="7422" width="44.85546875" style="1" customWidth="1"/>
    <col min="7423" max="7423" width="11.85546875" style="1" customWidth="1"/>
    <col min="7424" max="7424" width="11.140625" style="1" customWidth="1"/>
    <col min="7425" max="7425" width="10.28515625" style="1" customWidth="1"/>
    <col min="7426" max="7426" width="10.5703125" style="1" customWidth="1"/>
    <col min="7427" max="7427" width="9.7109375" style="1" customWidth="1"/>
    <col min="7428" max="7428" width="33.28515625" style="1" customWidth="1"/>
    <col min="7429" max="7676" width="9.140625" style="1"/>
    <col min="7677" max="7677" width="6.140625" style="1" customWidth="1"/>
    <col min="7678" max="7678" width="44.85546875" style="1" customWidth="1"/>
    <col min="7679" max="7679" width="11.85546875" style="1" customWidth="1"/>
    <col min="7680" max="7680" width="11.140625" style="1" customWidth="1"/>
    <col min="7681" max="7681" width="10.28515625" style="1" customWidth="1"/>
    <col min="7682" max="7682" width="10.5703125" style="1" customWidth="1"/>
    <col min="7683" max="7683" width="9.7109375" style="1" customWidth="1"/>
    <col min="7684" max="7684" width="33.28515625" style="1" customWidth="1"/>
    <col min="7685" max="7932" width="9.140625" style="1"/>
    <col min="7933" max="7933" width="6.140625" style="1" customWidth="1"/>
    <col min="7934" max="7934" width="44.85546875" style="1" customWidth="1"/>
    <col min="7935" max="7935" width="11.85546875" style="1" customWidth="1"/>
    <col min="7936" max="7936" width="11.140625" style="1" customWidth="1"/>
    <col min="7937" max="7937" width="10.28515625" style="1" customWidth="1"/>
    <col min="7938" max="7938" width="10.5703125" style="1" customWidth="1"/>
    <col min="7939" max="7939" width="9.7109375" style="1" customWidth="1"/>
    <col min="7940" max="7940" width="33.28515625" style="1" customWidth="1"/>
    <col min="7941" max="8188" width="9.140625" style="1"/>
    <col min="8189" max="8189" width="6.140625" style="1" customWidth="1"/>
    <col min="8190" max="8190" width="44.85546875" style="1" customWidth="1"/>
    <col min="8191" max="8191" width="11.85546875" style="1" customWidth="1"/>
    <col min="8192" max="8192" width="11.140625" style="1" customWidth="1"/>
    <col min="8193" max="8193" width="10.28515625" style="1" customWidth="1"/>
    <col min="8194" max="8194" width="10.5703125" style="1" customWidth="1"/>
    <col min="8195" max="8195" width="9.7109375" style="1" customWidth="1"/>
    <col min="8196" max="8196" width="33.28515625" style="1" customWidth="1"/>
    <col min="8197" max="8444" width="9.140625" style="1"/>
    <col min="8445" max="8445" width="6.140625" style="1" customWidth="1"/>
    <col min="8446" max="8446" width="44.85546875" style="1" customWidth="1"/>
    <col min="8447" max="8447" width="11.85546875" style="1" customWidth="1"/>
    <col min="8448" max="8448" width="11.140625" style="1" customWidth="1"/>
    <col min="8449" max="8449" width="10.28515625" style="1" customWidth="1"/>
    <col min="8450" max="8450" width="10.5703125" style="1" customWidth="1"/>
    <col min="8451" max="8451" width="9.7109375" style="1" customWidth="1"/>
    <col min="8452" max="8452" width="33.28515625" style="1" customWidth="1"/>
    <col min="8453" max="8700" width="9.140625" style="1"/>
    <col min="8701" max="8701" width="6.140625" style="1" customWidth="1"/>
    <col min="8702" max="8702" width="44.85546875" style="1" customWidth="1"/>
    <col min="8703" max="8703" width="11.85546875" style="1" customWidth="1"/>
    <col min="8704" max="8704" width="11.140625" style="1" customWidth="1"/>
    <col min="8705" max="8705" width="10.28515625" style="1" customWidth="1"/>
    <col min="8706" max="8706" width="10.5703125" style="1" customWidth="1"/>
    <col min="8707" max="8707" width="9.7109375" style="1" customWidth="1"/>
    <col min="8708" max="8708" width="33.28515625" style="1" customWidth="1"/>
    <col min="8709" max="8956" width="9.140625" style="1"/>
    <col min="8957" max="8957" width="6.140625" style="1" customWidth="1"/>
    <col min="8958" max="8958" width="44.85546875" style="1" customWidth="1"/>
    <col min="8959" max="8959" width="11.85546875" style="1" customWidth="1"/>
    <col min="8960" max="8960" width="11.140625" style="1" customWidth="1"/>
    <col min="8961" max="8961" width="10.28515625" style="1" customWidth="1"/>
    <col min="8962" max="8962" width="10.5703125" style="1" customWidth="1"/>
    <col min="8963" max="8963" width="9.7109375" style="1" customWidth="1"/>
    <col min="8964" max="8964" width="33.28515625" style="1" customWidth="1"/>
    <col min="8965" max="9212" width="9.140625" style="1"/>
    <col min="9213" max="9213" width="6.140625" style="1" customWidth="1"/>
    <col min="9214" max="9214" width="44.85546875" style="1" customWidth="1"/>
    <col min="9215" max="9215" width="11.85546875" style="1" customWidth="1"/>
    <col min="9216" max="9216" width="11.140625" style="1" customWidth="1"/>
    <col min="9217" max="9217" width="10.28515625" style="1" customWidth="1"/>
    <col min="9218" max="9218" width="10.5703125" style="1" customWidth="1"/>
    <col min="9219" max="9219" width="9.7109375" style="1" customWidth="1"/>
    <col min="9220" max="9220" width="33.28515625" style="1" customWidth="1"/>
    <col min="9221" max="9468" width="9.140625" style="1"/>
    <col min="9469" max="9469" width="6.140625" style="1" customWidth="1"/>
    <col min="9470" max="9470" width="44.85546875" style="1" customWidth="1"/>
    <col min="9471" max="9471" width="11.85546875" style="1" customWidth="1"/>
    <col min="9472" max="9472" width="11.140625" style="1" customWidth="1"/>
    <col min="9473" max="9473" width="10.28515625" style="1" customWidth="1"/>
    <col min="9474" max="9474" width="10.5703125" style="1" customWidth="1"/>
    <col min="9475" max="9475" width="9.7109375" style="1" customWidth="1"/>
    <col min="9476" max="9476" width="33.28515625" style="1" customWidth="1"/>
    <col min="9477" max="9724" width="9.140625" style="1"/>
    <col min="9725" max="9725" width="6.140625" style="1" customWidth="1"/>
    <col min="9726" max="9726" width="44.85546875" style="1" customWidth="1"/>
    <col min="9727" max="9727" width="11.85546875" style="1" customWidth="1"/>
    <col min="9728" max="9728" width="11.140625" style="1" customWidth="1"/>
    <col min="9729" max="9729" width="10.28515625" style="1" customWidth="1"/>
    <col min="9730" max="9730" width="10.5703125" style="1" customWidth="1"/>
    <col min="9731" max="9731" width="9.7109375" style="1" customWidth="1"/>
    <col min="9732" max="9732" width="33.28515625" style="1" customWidth="1"/>
    <col min="9733" max="9980" width="9.140625" style="1"/>
    <col min="9981" max="9981" width="6.140625" style="1" customWidth="1"/>
    <col min="9982" max="9982" width="44.85546875" style="1" customWidth="1"/>
    <col min="9983" max="9983" width="11.85546875" style="1" customWidth="1"/>
    <col min="9984" max="9984" width="11.140625" style="1" customWidth="1"/>
    <col min="9985" max="9985" width="10.28515625" style="1" customWidth="1"/>
    <col min="9986" max="9986" width="10.5703125" style="1" customWidth="1"/>
    <col min="9987" max="9987" width="9.7109375" style="1" customWidth="1"/>
    <col min="9988" max="9988" width="33.28515625" style="1" customWidth="1"/>
    <col min="9989" max="10236" width="9.140625" style="1"/>
    <col min="10237" max="10237" width="6.140625" style="1" customWidth="1"/>
    <col min="10238" max="10238" width="44.85546875" style="1" customWidth="1"/>
    <col min="10239" max="10239" width="11.85546875" style="1" customWidth="1"/>
    <col min="10240" max="10240" width="11.140625" style="1" customWidth="1"/>
    <col min="10241" max="10241" width="10.28515625" style="1" customWidth="1"/>
    <col min="10242" max="10242" width="10.5703125" style="1" customWidth="1"/>
    <col min="10243" max="10243" width="9.7109375" style="1" customWidth="1"/>
    <col min="10244" max="10244" width="33.28515625" style="1" customWidth="1"/>
    <col min="10245" max="10492" width="9.140625" style="1"/>
    <col min="10493" max="10493" width="6.140625" style="1" customWidth="1"/>
    <col min="10494" max="10494" width="44.85546875" style="1" customWidth="1"/>
    <col min="10495" max="10495" width="11.85546875" style="1" customWidth="1"/>
    <col min="10496" max="10496" width="11.140625" style="1" customWidth="1"/>
    <col min="10497" max="10497" width="10.28515625" style="1" customWidth="1"/>
    <col min="10498" max="10498" width="10.5703125" style="1" customWidth="1"/>
    <col min="10499" max="10499" width="9.7109375" style="1" customWidth="1"/>
    <col min="10500" max="10500" width="33.28515625" style="1" customWidth="1"/>
    <col min="10501" max="10748" width="9.140625" style="1"/>
    <col min="10749" max="10749" width="6.140625" style="1" customWidth="1"/>
    <col min="10750" max="10750" width="44.85546875" style="1" customWidth="1"/>
    <col min="10751" max="10751" width="11.85546875" style="1" customWidth="1"/>
    <col min="10752" max="10752" width="11.140625" style="1" customWidth="1"/>
    <col min="10753" max="10753" width="10.28515625" style="1" customWidth="1"/>
    <col min="10754" max="10754" width="10.5703125" style="1" customWidth="1"/>
    <col min="10755" max="10755" width="9.7109375" style="1" customWidth="1"/>
    <col min="10756" max="10756" width="33.28515625" style="1" customWidth="1"/>
    <col min="10757" max="11004" width="9.140625" style="1"/>
    <col min="11005" max="11005" width="6.140625" style="1" customWidth="1"/>
    <col min="11006" max="11006" width="44.85546875" style="1" customWidth="1"/>
    <col min="11007" max="11007" width="11.85546875" style="1" customWidth="1"/>
    <col min="11008" max="11008" width="11.140625" style="1" customWidth="1"/>
    <col min="11009" max="11009" width="10.28515625" style="1" customWidth="1"/>
    <col min="11010" max="11010" width="10.5703125" style="1" customWidth="1"/>
    <col min="11011" max="11011" width="9.7109375" style="1" customWidth="1"/>
    <col min="11012" max="11012" width="33.28515625" style="1" customWidth="1"/>
    <col min="11013" max="11260" width="9.140625" style="1"/>
    <col min="11261" max="11261" width="6.140625" style="1" customWidth="1"/>
    <col min="11262" max="11262" width="44.85546875" style="1" customWidth="1"/>
    <col min="11263" max="11263" width="11.85546875" style="1" customWidth="1"/>
    <col min="11264" max="11264" width="11.140625" style="1" customWidth="1"/>
    <col min="11265" max="11265" width="10.28515625" style="1" customWidth="1"/>
    <col min="11266" max="11266" width="10.5703125" style="1" customWidth="1"/>
    <col min="11267" max="11267" width="9.7109375" style="1" customWidth="1"/>
    <col min="11268" max="11268" width="33.28515625" style="1" customWidth="1"/>
    <col min="11269" max="11516" width="9.140625" style="1"/>
    <col min="11517" max="11517" width="6.140625" style="1" customWidth="1"/>
    <col min="11518" max="11518" width="44.85546875" style="1" customWidth="1"/>
    <col min="11519" max="11519" width="11.85546875" style="1" customWidth="1"/>
    <col min="11520" max="11520" width="11.140625" style="1" customWidth="1"/>
    <col min="11521" max="11521" width="10.28515625" style="1" customWidth="1"/>
    <col min="11522" max="11522" width="10.5703125" style="1" customWidth="1"/>
    <col min="11523" max="11523" width="9.7109375" style="1" customWidth="1"/>
    <col min="11524" max="11524" width="33.28515625" style="1" customWidth="1"/>
    <col min="11525" max="11772" width="9.140625" style="1"/>
    <col min="11773" max="11773" width="6.140625" style="1" customWidth="1"/>
    <col min="11774" max="11774" width="44.85546875" style="1" customWidth="1"/>
    <col min="11775" max="11775" width="11.85546875" style="1" customWidth="1"/>
    <col min="11776" max="11776" width="11.140625" style="1" customWidth="1"/>
    <col min="11777" max="11777" width="10.28515625" style="1" customWidth="1"/>
    <col min="11778" max="11778" width="10.5703125" style="1" customWidth="1"/>
    <col min="11779" max="11779" width="9.7109375" style="1" customWidth="1"/>
    <col min="11780" max="11780" width="33.28515625" style="1" customWidth="1"/>
    <col min="11781" max="12028" width="9.140625" style="1"/>
    <col min="12029" max="12029" width="6.140625" style="1" customWidth="1"/>
    <col min="12030" max="12030" width="44.85546875" style="1" customWidth="1"/>
    <col min="12031" max="12031" width="11.85546875" style="1" customWidth="1"/>
    <col min="12032" max="12032" width="11.140625" style="1" customWidth="1"/>
    <col min="12033" max="12033" width="10.28515625" style="1" customWidth="1"/>
    <col min="12034" max="12034" width="10.5703125" style="1" customWidth="1"/>
    <col min="12035" max="12035" width="9.7109375" style="1" customWidth="1"/>
    <col min="12036" max="12036" width="33.28515625" style="1" customWidth="1"/>
    <col min="12037" max="12284" width="9.140625" style="1"/>
    <col min="12285" max="12285" width="6.140625" style="1" customWidth="1"/>
    <col min="12286" max="12286" width="44.85546875" style="1" customWidth="1"/>
    <col min="12287" max="12287" width="11.85546875" style="1" customWidth="1"/>
    <col min="12288" max="12288" width="11.140625" style="1" customWidth="1"/>
    <col min="12289" max="12289" width="10.28515625" style="1" customWidth="1"/>
    <col min="12290" max="12290" width="10.5703125" style="1" customWidth="1"/>
    <col min="12291" max="12291" width="9.7109375" style="1" customWidth="1"/>
    <col min="12292" max="12292" width="33.28515625" style="1" customWidth="1"/>
    <col min="12293" max="12540" width="9.140625" style="1"/>
    <col min="12541" max="12541" width="6.140625" style="1" customWidth="1"/>
    <col min="12542" max="12542" width="44.85546875" style="1" customWidth="1"/>
    <col min="12543" max="12543" width="11.85546875" style="1" customWidth="1"/>
    <col min="12544" max="12544" width="11.140625" style="1" customWidth="1"/>
    <col min="12545" max="12545" width="10.28515625" style="1" customWidth="1"/>
    <col min="12546" max="12546" width="10.5703125" style="1" customWidth="1"/>
    <col min="12547" max="12547" width="9.7109375" style="1" customWidth="1"/>
    <col min="12548" max="12548" width="33.28515625" style="1" customWidth="1"/>
    <col min="12549" max="12796" width="9.140625" style="1"/>
    <col min="12797" max="12797" width="6.140625" style="1" customWidth="1"/>
    <col min="12798" max="12798" width="44.85546875" style="1" customWidth="1"/>
    <col min="12799" max="12799" width="11.85546875" style="1" customWidth="1"/>
    <col min="12800" max="12800" width="11.140625" style="1" customWidth="1"/>
    <col min="12801" max="12801" width="10.28515625" style="1" customWidth="1"/>
    <col min="12802" max="12802" width="10.5703125" style="1" customWidth="1"/>
    <col min="12803" max="12803" width="9.7109375" style="1" customWidth="1"/>
    <col min="12804" max="12804" width="33.28515625" style="1" customWidth="1"/>
    <col min="12805" max="13052" width="9.140625" style="1"/>
    <col min="13053" max="13053" width="6.140625" style="1" customWidth="1"/>
    <col min="13054" max="13054" width="44.85546875" style="1" customWidth="1"/>
    <col min="13055" max="13055" width="11.85546875" style="1" customWidth="1"/>
    <col min="13056" max="13056" width="11.140625" style="1" customWidth="1"/>
    <col min="13057" max="13057" width="10.28515625" style="1" customWidth="1"/>
    <col min="13058" max="13058" width="10.5703125" style="1" customWidth="1"/>
    <col min="13059" max="13059" width="9.7109375" style="1" customWidth="1"/>
    <col min="13060" max="13060" width="33.28515625" style="1" customWidth="1"/>
    <col min="13061" max="13308" width="9.140625" style="1"/>
    <col min="13309" max="13309" width="6.140625" style="1" customWidth="1"/>
    <col min="13310" max="13310" width="44.85546875" style="1" customWidth="1"/>
    <col min="13311" max="13311" width="11.85546875" style="1" customWidth="1"/>
    <col min="13312" max="13312" width="11.140625" style="1" customWidth="1"/>
    <col min="13313" max="13313" width="10.28515625" style="1" customWidth="1"/>
    <col min="13314" max="13314" width="10.5703125" style="1" customWidth="1"/>
    <col min="13315" max="13315" width="9.7109375" style="1" customWidth="1"/>
    <col min="13316" max="13316" width="33.28515625" style="1" customWidth="1"/>
    <col min="13317" max="13564" width="9.140625" style="1"/>
    <col min="13565" max="13565" width="6.140625" style="1" customWidth="1"/>
    <col min="13566" max="13566" width="44.85546875" style="1" customWidth="1"/>
    <col min="13567" max="13567" width="11.85546875" style="1" customWidth="1"/>
    <col min="13568" max="13568" width="11.140625" style="1" customWidth="1"/>
    <col min="13569" max="13569" width="10.28515625" style="1" customWidth="1"/>
    <col min="13570" max="13570" width="10.5703125" style="1" customWidth="1"/>
    <col min="13571" max="13571" width="9.7109375" style="1" customWidth="1"/>
    <col min="13572" max="13572" width="33.28515625" style="1" customWidth="1"/>
    <col min="13573" max="13820" width="9.140625" style="1"/>
    <col min="13821" max="13821" width="6.140625" style="1" customWidth="1"/>
    <col min="13822" max="13822" width="44.85546875" style="1" customWidth="1"/>
    <col min="13823" max="13823" width="11.85546875" style="1" customWidth="1"/>
    <col min="13824" max="13824" width="11.140625" style="1" customWidth="1"/>
    <col min="13825" max="13825" width="10.28515625" style="1" customWidth="1"/>
    <col min="13826" max="13826" width="10.5703125" style="1" customWidth="1"/>
    <col min="13827" max="13827" width="9.7109375" style="1" customWidth="1"/>
    <col min="13828" max="13828" width="33.28515625" style="1" customWidth="1"/>
    <col min="13829" max="14076" width="9.140625" style="1"/>
    <col min="14077" max="14077" width="6.140625" style="1" customWidth="1"/>
    <col min="14078" max="14078" width="44.85546875" style="1" customWidth="1"/>
    <col min="14079" max="14079" width="11.85546875" style="1" customWidth="1"/>
    <col min="14080" max="14080" width="11.140625" style="1" customWidth="1"/>
    <col min="14081" max="14081" width="10.28515625" style="1" customWidth="1"/>
    <col min="14082" max="14082" width="10.5703125" style="1" customWidth="1"/>
    <col min="14083" max="14083" width="9.7109375" style="1" customWidth="1"/>
    <col min="14084" max="14084" width="33.28515625" style="1" customWidth="1"/>
    <col min="14085" max="14332" width="9.140625" style="1"/>
    <col min="14333" max="14333" width="6.140625" style="1" customWidth="1"/>
    <col min="14334" max="14334" width="44.85546875" style="1" customWidth="1"/>
    <col min="14335" max="14335" width="11.85546875" style="1" customWidth="1"/>
    <col min="14336" max="14336" width="11.140625" style="1" customWidth="1"/>
    <col min="14337" max="14337" width="10.28515625" style="1" customWidth="1"/>
    <col min="14338" max="14338" width="10.5703125" style="1" customWidth="1"/>
    <col min="14339" max="14339" width="9.7109375" style="1" customWidth="1"/>
    <col min="14340" max="14340" width="33.28515625" style="1" customWidth="1"/>
    <col min="14341" max="14588" width="9.140625" style="1"/>
    <col min="14589" max="14589" width="6.140625" style="1" customWidth="1"/>
    <col min="14590" max="14590" width="44.85546875" style="1" customWidth="1"/>
    <col min="14591" max="14591" width="11.85546875" style="1" customWidth="1"/>
    <col min="14592" max="14592" width="11.140625" style="1" customWidth="1"/>
    <col min="14593" max="14593" width="10.28515625" style="1" customWidth="1"/>
    <col min="14594" max="14594" width="10.5703125" style="1" customWidth="1"/>
    <col min="14595" max="14595" width="9.7109375" style="1" customWidth="1"/>
    <col min="14596" max="14596" width="33.28515625" style="1" customWidth="1"/>
    <col min="14597" max="14844" width="9.140625" style="1"/>
    <col min="14845" max="14845" width="6.140625" style="1" customWidth="1"/>
    <col min="14846" max="14846" width="44.85546875" style="1" customWidth="1"/>
    <col min="14847" max="14847" width="11.85546875" style="1" customWidth="1"/>
    <col min="14848" max="14848" width="11.140625" style="1" customWidth="1"/>
    <col min="14849" max="14849" width="10.28515625" style="1" customWidth="1"/>
    <col min="14850" max="14850" width="10.5703125" style="1" customWidth="1"/>
    <col min="14851" max="14851" width="9.7109375" style="1" customWidth="1"/>
    <col min="14852" max="14852" width="33.28515625" style="1" customWidth="1"/>
    <col min="14853" max="15100" width="9.140625" style="1"/>
    <col min="15101" max="15101" width="6.140625" style="1" customWidth="1"/>
    <col min="15102" max="15102" width="44.85546875" style="1" customWidth="1"/>
    <col min="15103" max="15103" width="11.85546875" style="1" customWidth="1"/>
    <col min="15104" max="15104" width="11.140625" style="1" customWidth="1"/>
    <col min="15105" max="15105" width="10.28515625" style="1" customWidth="1"/>
    <col min="15106" max="15106" width="10.5703125" style="1" customWidth="1"/>
    <col min="15107" max="15107" width="9.7109375" style="1" customWidth="1"/>
    <col min="15108" max="15108" width="33.28515625" style="1" customWidth="1"/>
    <col min="15109" max="15356" width="9.140625" style="1"/>
    <col min="15357" max="15357" width="6.140625" style="1" customWidth="1"/>
    <col min="15358" max="15358" width="44.85546875" style="1" customWidth="1"/>
    <col min="15359" max="15359" width="11.85546875" style="1" customWidth="1"/>
    <col min="15360" max="15360" width="11.140625" style="1" customWidth="1"/>
    <col min="15361" max="15361" width="10.28515625" style="1" customWidth="1"/>
    <col min="15362" max="15362" width="10.5703125" style="1" customWidth="1"/>
    <col min="15363" max="15363" width="9.7109375" style="1" customWidth="1"/>
    <col min="15364" max="15364" width="33.28515625" style="1" customWidth="1"/>
    <col min="15365" max="15612" width="9.140625" style="1"/>
    <col min="15613" max="15613" width="6.140625" style="1" customWidth="1"/>
    <col min="15614" max="15614" width="44.85546875" style="1" customWidth="1"/>
    <col min="15615" max="15615" width="11.85546875" style="1" customWidth="1"/>
    <col min="15616" max="15616" width="11.140625" style="1" customWidth="1"/>
    <col min="15617" max="15617" width="10.28515625" style="1" customWidth="1"/>
    <col min="15618" max="15618" width="10.5703125" style="1" customWidth="1"/>
    <col min="15619" max="15619" width="9.7109375" style="1" customWidth="1"/>
    <col min="15620" max="15620" width="33.28515625" style="1" customWidth="1"/>
    <col min="15621" max="15868" width="9.140625" style="1"/>
    <col min="15869" max="15869" width="6.140625" style="1" customWidth="1"/>
    <col min="15870" max="15870" width="44.85546875" style="1" customWidth="1"/>
    <col min="15871" max="15871" width="11.85546875" style="1" customWidth="1"/>
    <col min="15872" max="15872" width="11.140625" style="1" customWidth="1"/>
    <col min="15873" max="15873" width="10.28515625" style="1" customWidth="1"/>
    <col min="15874" max="15874" width="10.5703125" style="1" customWidth="1"/>
    <col min="15875" max="15875" width="9.7109375" style="1" customWidth="1"/>
    <col min="15876" max="15876" width="33.28515625" style="1" customWidth="1"/>
    <col min="15877" max="16124" width="9.140625" style="1"/>
    <col min="16125" max="16125" width="6.140625" style="1" customWidth="1"/>
    <col min="16126" max="16126" width="44.85546875" style="1" customWidth="1"/>
    <col min="16127" max="16127" width="11.85546875" style="1" customWidth="1"/>
    <col min="16128" max="16128" width="11.140625" style="1" customWidth="1"/>
    <col min="16129" max="16129" width="10.28515625" style="1" customWidth="1"/>
    <col min="16130" max="16130" width="10.5703125" style="1" customWidth="1"/>
    <col min="16131" max="16131" width="9.7109375" style="1" customWidth="1"/>
    <col min="16132" max="16132" width="33.28515625" style="1" customWidth="1"/>
    <col min="16133" max="16384" width="9.140625" style="1"/>
  </cols>
  <sheetData>
    <row r="1" spans="1:7" ht="16.5" x14ac:dyDescent="0.25">
      <c r="B1" s="1034" t="s">
        <v>1282</v>
      </c>
      <c r="C1" s="1034"/>
      <c r="D1" s="1034"/>
      <c r="E1" s="1034"/>
      <c r="F1" s="1034"/>
      <c r="G1" s="1034"/>
    </row>
    <row r="2" spans="1:7" ht="16.5" x14ac:dyDescent="0.25">
      <c r="C2" s="950"/>
      <c r="D2" s="950"/>
      <c r="E2" s="950"/>
      <c r="F2" s="950"/>
      <c r="G2" s="951" t="s">
        <v>1184</v>
      </c>
    </row>
    <row r="3" spans="1:7" ht="16.5" x14ac:dyDescent="0.25">
      <c r="C3" s="950"/>
      <c r="D3" s="950"/>
      <c r="E3" s="950"/>
      <c r="F3" s="950"/>
      <c r="G3" s="951" t="s">
        <v>1185</v>
      </c>
    </row>
    <row r="6" spans="1:7" x14ac:dyDescent="0.2">
      <c r="A6" s="1" t="s">
        <v>298</v>
      </c>
      <c r="B6" s="144"/>
      <c r="C6" s="1043"/>
      <c r="D6" s="1043"/>
      <c r="E6" s="1043"/>
      <c r="F6" s="1043"/>
      <c r="G6" s="1043"/>
    </row>
    <row r="7" spans="1:7" x14ac:dyDescent="0.2">
      <c r="B7" s="144"/>
      <c r="C7" s="145"/>
      <c r="D7" s="145"/>
      <c r="E7" s="145"/>
      <c r="F7" s="145"/>
      <c r="G7" s="145"/>
    </row>
    <row r="8" spans="1:7" ht="15.75" x14ac:dyDescent="0.25">
      <c r="A8" s="1044" t="s">
        <v>291</v>
      </c>
      <c r="B8" s="1044"/>
      <c r="C8" s="1044"/>
      <c r="D8" s="1044"/>
      <c r="E8" s="1044"/>
      <c r="F8" s="1044"/>
      <c r="G8" s="1044"/>
    </row>
    <row r="9" spans="1:7" ht="15.75" x14ac:dyDescent="0.25">
      <c r="A9" s="146"/>
      <c r="B9" s="146"/>
      <c r="C9" s="146"/>
      <c r="D9" s="146"/>
      <c r="E9" s="146"/>
      <c r="F9" s="146"/>
      <c r="G9" s="146"/>
    </row>
    <row r="10" spans="1:7" ht="15.75" x14ac:dyDescent="0.25">
      <c r="A10" s="1" t="s">
        <v>1281</v>
      </c>
      <c r="C10" s="147"/>
      <c r="D10" s="238"/>
      <c r="E10" s="238"/>
      <c r="F10" s="238"/>
      <c r="G10" s="238"/>
    </row>
    <row r="11" spans="1:7" ht="15.75" x14ac:dyDescent="0.25">
      <c r="C11" s="147"/>
      <c r="D11" s="238"/>
      <c r="E11" s="238"/>
      <c r="F11" s="238"/>
      <c r="G11" s="238"/>
    </row>
    <row r="12" spans="1:7" x14ac:dyDescent="0.2">
      <c r="A12" s="1" t="s">
        <v>1279</v>
      </c>
      <c r="C12" s="149"/>
      <c r="D12" s="149"/>
      <c r="E12" s="149"/>
      <c r="F12" s="149"/>
      <c r="G12" s="149"/>
    </row>
    <row r="13" spans="1:7" x14ac:dyDescent="0.2">
      <c r="A13" s="1" t="s">
        <v>1280</v>
      </c>
      <c r="C13" s="150"/>
      <c r="D13" s="149"/>
      <c r="E13" s="149"/>
      <c r="F13" s="149"/>
      <c r="G13" s="149"/>
    </row>
    <row r="14" spans="1:7" ht="29.25" customHeight="1" x14ac:dyDescent="0.2">
      <c r="A14" s="1045" t="s">
        <v>1</v>
      </c>
      <c r="B14" s="1045" t="s">
        <v>2</v>
      </c>
      <c r="C14" s="1045" t="s">
        <v>26</v>
      </c>
      <c r="D14" s="1045" t="s">
        <v>27</v>
      </c>
      <c r="E14" s="1045" t="s">
        <v>299</v>
      </c>
      <c r="F14" s="1045" t="s">
        <v>6</v>
      </c>
      <c r="G14" s="1045" t="s">
        <v>1190</v>
      </c>
    </row>
    <row r="15" spans="1:7" ht="12.75" customHeight="1" x14ac:dyDescent="0.2">
      <c r="A15" s="1045"/>
      <c r="B15" s="1045"/>
      <c r="C15" s="1045"/>
      <c r="D15" s="1045"/>
      <c r="E15" s="1045"/>
      <c r="F15" s="1045"/>
      <c r="G15" s="1045"/>
    </row>
    <row r="16" spans="1:7" x14ac:dyDescent="0.2">
      <c r="A16" s="1042" t="s">
        <v>365</v>
      </c>
      <c r="B16" s="1042"/>
      <c r="C16" s="151">
        <f>SUM(C17:C31)</f>
        <v>36804</v>
      </c>
      <c r="D16" s="151">
        <f>SUM(D17:D31)</f>
        <v>32205.66</v>
      </c>
      <c r="E16" s="151">
        <f>SUM(E17:E31)</f>
        <v>260502</v>
      </c>
      <c r="F16" s="151"/>
      <c r="G16" s="151">
        <f>SUM(G17:G31)</f>
        <v>285172</v>
      </c>
    </row>
    <row r="17" spans="1:23" x14ac:dyDescent="0.2">
      <c r="A17" s="538">
        <v>1</v>
      </c>
      <c r="B17" s="540" t="s">
        <v>551</v>
      </c>
      <c r="C17" s="155">
        <v>0</v>
      </c>
      <c r="D17" s="155">
        <v>0</v>
      </c>
      <c r="E17" s="155">
        <v>15000</v>
      </c>
      <c r="F17" s="151">
        <v>2275</v>
      </c>
      <c r="G17" s="157">
        <v>15000</v>
      </c>
    </row>
    <row r="18" spans="1:23" x14ac:dyDescent="0.2">
      <c r="A18" s="538">
        <v>2</v>
      </c>
      <c r="B18" s="152" t="s">
        <v>552</v>
      </c>
      <c r="C18" s="155">
        <v>0</v>
      </c>
      <c r="D18" s="155">
        <v>0</v>
      </c>
      <c r="E18" s="155">
        <v>138242</v>
      </c>
      <c r="F18" s="151">
        <v>2275</v>
      </c>
      <c r="G18" s="157">
        <f>118242+50000</f>
        <v>168242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24" x14ac:dyDescent="0.2">
      <c r="A19" s="538">
        <v>3</v>
      </c>
      <c r="B19" s="152" t="s">
        <v>553</v>
      </c>
      <c r="C19" s="157">
        <v>32136</v>
      </c>
      <c r="D19" s="157">
        <v>31635.66</v>
      </c>
      <c r="E19" s="157">
        <v>64760</v>
      </c>
      <c r="F19" s="151">
        <v>2279</v>
      </c>
      <c r="G19" s="157">
        <v>59760</v>
      </c>
    </row>
    <row r="20" spans="1:23" x14ac:dyDescent="0.2">
      <c r="A20" s="1045">
        <v>4</v>
      </c>
      <c r="B20" s="1096" t="s">
        <v>554</v>
      </c>
      <c r="C20" s="157">
        <v>0</v>
      </c>
      <c r="D20" s="157">
        <v>0</v>
      </c>
      <c r="E20" s="157">
        <v>2000</v>
      </c>
      <c r="F20" s="151">
        <v>1150</v>
      </c>
      <c r="G20" s="157">
        <v>2000</v>
      </c>
    </row>
    <row r="21" spans="1:23" x14ac:dyDescent="0.2">
      <c r="A21" s="1045"/>
      <c r="B21" s="1096"/>
      <c r="C21" s="157">
        <v>0</v>
      </c>
      <c r="D21" s="157">
        <v>0</v>
      </c>
      <c r="E21" s="157">
        <v>4000</v>
      </c>
      <c r="F21" s="151">
        <v>2231</v>
      </c>
      <c r="G21" s="157">
        <v>4000</v>
      </c>
    </row>
    <row r="22" spans="1:23" x14ac:dyDescent="0.2">
      <c r="A22" s="1045"/>
      <c r="B22" s="1096"/>
      <c r="C22" s="157">
        <v>0</v>
      </c>
      <c r="D22" s="157">
        <v>0</v>
      </c>
      <c r="E22" s="157">
        <v>1500</v>
      </c>
      <c r="F22" s="151">
        <v>2262</v>
      </c>
      <c r="G22" s="157">
        <v>1500</v>
      </c>
    </row>
    <row r="23" spans="1:23" x14ac:dyDescent="0.2">
      <c r="A23" s="1045"/>
      <c r="B23" s="1096"/>
      <c r="C23" s="157">
        <v>0</v>
      </c>
      <c r="D23" s="157">
        <v>0</v>
      </c>
      <c r="E23" s="157">
        <f>4000+2000+700</f>
        <v>6700</v>
      </c>
      <c r="F23" s="151">
        <v>2264</v>
      </c>
      <c r="G23" s="157">
        <v>6700</v>
      </c>
    </row>
    <row r="24" spans="1:23" x14ac:dyDescent="0.2">
      <c r="A24" s="1045"/>
      <c r="B24" s="1096"/>
      <c r="C24" s="157">
        <v>0</v>
      </c>
      <c r="D24" s="157">
        <v>0</v>
      </c>
      <c r="E24" s="157">
        <v>1200</v>
      </c>
      <c r="F24" s="151">
        <v>2314</v>
      </c>
      <c r="G24" s="157">
        <v>1200</v>
      </c>
    </row>
    <row r="25" spans="1:23" x14ac:dyDescent="0.2">
      <c r="A25" s="1045">
        <v>5</v>
      </c>
      <c r="B25" s="1096" t="s">
        <v>555</v>
      </c>
      <c r="C25" s="157">
        <v>0</v>
      </c>
      <c r="D25" s="157">
        <v>0</v>
      </c>
      <c r="E25" s="157">
        <v>1000</v>
      </c>
      <c r="F25" s="151">
        <v>2314</v>
      </c>
      <c r="G25" s="157">
        <v>1000</v>
      </c>
    </row>
    <row r="26" spans="1:23" x14ac:dyDescent="0.2">
      <c r="A26" s="1045"/>
      <c r="B26" s="1096"/>
      <c r="C26" s="157">
        <v>0</v>
      </c>
      <c r="D26" s="157">
        <v>0</v>
      </c>
      <c r="E26" s="157">
        <v>600</v>
      </c>
      <c r="F26" s="151">
        <v>2262</v>
      </c>
      <c r="G26" s="157">
        <v>600</v>
      </c>
    </row>
    <row r="27" spans="1:23" x14ac:dyDescent="0.2">
      <c r="A27" s="1045"/>
      <c r="B27" s="1096"/>
      <c r="C27" s="157">
        <v>0</v>
      </c>
      <c r="D27" s="157">
        <v>0</v>
      </c>
      <c r="E27" s="157">
        <f>2000+1000+500</f>
        <v>3500</v>
      </c>
      <c r="F27" s="151">
        <v>2264</v>
      </c>
      <c r="G27" s="157">
        <v>3500</v>
      </c>
    </row>
    <row r="28" spans="1:23" x14ac:dyDescent="0.2">
      <c r="A28" s="1045"/>
      <c r="B28" s="1096"/>
      <c r="C28" s="157">
        <v>0</v>
      </c>
      <c r="D28" s="157">
        <v>0</v>
      </c>
      <c r="E28" s="157">
        <v>1000</v>
      </c>
      <c r="F28" s="151">
        <v>2314</v>
      </c>
      <c r="G28" s="157">
        <v>1000</v>
      </c>
    </row>
    <row r="29" spans="1:23" x14ac:dyDescent="0.2">
      <c r="A29" s="1045">
        <v>6</v>
      </c>
      <c r="B29" s="1169" t="s">
        <v>556</v>
      </c>
      <c r="C29" s="157">
        <v>427</v>
      </c>
      <c r="D29" s="157">
        <v>356</v>
      </c>
      <c r="E29" s="157">
        <v>600</v>
      </c>
      <c r="F29" s="151">
        <v>1150</v>
      </c>
      <c r="G29" s="157">
        <v>450</v>
      </c>
      <c r="H29" s="32"/>
      <c r="I29" s="32"/>
    </row>
    <row r="30" spans="1:23" x14ac:dyDescent="0.2">
      <c r="A30" s="1045"/>
      <c r="B30" s="1169"/>
      <c r="C30" s="157">
        <v>214</v>
      </c>
      <c r="D30" s="157">
        <v>214</v>
      </c>
      <c r="E30" s="157">
        <v>400</v>
      </c>
      <c r="F30" s="151">
        <v>2314</v>
      </c>
      <c r="G30" s="157">
        <v>220</v>
      </c>
      <c r="H30" s="32"/>
      <c r="I30" s="32"/>
    </row>
    <row r="31" spans="1:23" x14ac:dyDescent="0.2">
      <c r="A31" s="538">
        <v>7</v>
      </c>
      <c r="B31" s="540" t="s">
        <v>274</v>
      </c>
      <c r="C31" s="157">
        <v>4027</v>
      </c>
      <c r="D31" s="155">
        <v>0</v>
      </c>
      <c r="E31" s="155">
        <v>20000</v>
      </c>
      <c r="F31" s="151">
        <v>2275</v>
      </c>
      <c r="G31" s="157">
        <v>20000</v>
      </c>
      <c r="H31" s="32"/>
      <c r="I31" s="32"/>
    </row>
    <row r="32" spans="1:23" x14ac:dyDescent="0.2">
      <c r="A32" s="239"/>
      <c r="B32" s="165"/>
      <c r="C32" s="165"/>
      <c r="D32" s="165"/>
      <c r="E32" s="165"/>
      <c r="F32" s="165"/>
      <c r="G32" s="165"/>
    </row>
  </sheetData>
  <sortState ref="C21:H26">
    <sortCondition ref="F21:F26"/>
  </sortState>
  <mergeCells count="17">
    <mergeCell ref="A29:A30"/>
    <mergeCell ref="B29:B30"/>
    <mergeCell ref="C6:G6"/>
    <mergeCell ref="A8:G8"/>
    <mergeCell ref="A14:A15"/>
    <mergeCell ref="B14:B15"/>
    <mergeCell ref="C14:C15"/>
    <mergeCell ref="D14:D15"/>
    <mergeCell ref="E14:E15"/>
    <mergeCell ref="F14:F15"/>
    <mergeCell ref="G14:G15"/>
    <mergeCell ref="B1:G1"/>
    <mergeCell ref="A16:B16"/>
    <mergeCell ref="A20:A24"/>
    <mergeCell ref="B20:B24"/>
    <mergeCell ref="A25:A28"/>
    <mergeCell ref="B25:B28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FF99"/>
  </sheetPr>
  <dimension ref="A1:G267"/>
  <sheetViews>
    <sheetView zoomScaleNormal="100" workbookViewId="0">
      <selection activeCell="B2" sqref="B2"/>
    </sheetView>
  </sheetViews>
  <sheetFormatPr defaultRowHeight="12" x14ac:dyDescent="0.25"/>
  <cols>
    <col min="1" max="1" width="6.140625" style="213" customWidth="1"/>
    <col min="2" max="2" width="61.5703125" style="213" customWidth="1"/>
    <col min="3" max="3" width="11.85546875" style="213" hidden="1" customWidth="1"/>
    <col min="4" max="4" width="11.140625" style="213" hidden="1" customWidth="1"/>
    <col min="5" max="5" width="13.140625" style="213" hidden="1" customWidth="1"/>
    <col min="6" max="6" width="10.5703125" style="213" customWidth="1"/>
    <col min="7" max="7" width="9.7109375" style="213" customWidth="1"/>
    <col min="8" max="252" width="9.140625" style="213"/>
    <col min="253" max="253" width="6.140625" style="213" customWidth="1"/>
    <col min="254" max="254" width="44.85546875" style="213" customWidth="1"/>
    <col min="255" max="255" width="11.85546875" style="213" customWidth="1"/>
    <col min="256" max="256" width="11.140625" style="213" customWidth="1"/>
    <col min="257" max="257" width="13.140625" style="213" customWidth="1"/>
    <col min="258" max="258" width="10.5703125" style="213" customWidth="1"/>
    <col min="259" max="259" width="9.7109375" style="213" customWidth="1"/>
    <col min="260" max="260" width="16.7109375" style="213" customWidth="1"/>
    <col min="261" max="508" width="9.140625" style="213"/>
    <col min="509" max="509" width="6.140625" style="213" customWidth="1"/>
    <col min="510" max="510" width="44.85546875" style="213" customWidth="1"/>
    <col min="511" max="511" width="11.85546875" style="213" customWidth="1"/>
    <col min="512" max="512" width="11.140625" style="213" customWidth="1"/>
    <col min="513" max="513" width="13.140625" style="213" customWidth="1"/>
    <col min="514" max="514" width="10.5703125" style="213" customWidth="1"/>
    <col min="515" max="515" width="9.7109375" style="213" customWidth="1"/>
    <col min="516" max="516" width="16.7109375" style="213" customWidth="1"/>
    <col min="517" max="764" width="9.140625" style="213"/>
    <col min="765" max="765" width="6.140625" style="213" customWidth="1"/>
    <col min="766" max="766" width="44.85546875" style="213" customWidth="1"/>
    <col min="767" max="767" width="11.85546875" style="213" customWidth="1"/>
    <col min="768" max="768" width="11.140625" style="213" customWidth="1"/>
    <col min="769" max="769" width="13.140625" style="213" customWidth="1"/>
    <col min="770" max="770" width="10.5703125" style="213" customWidth="1"/>
    <col min="771" max="771" width="9.7109375" style="213" customWidth="1"/>
    <col min="772" max="772" width="16.7109375" style="213" customWidth="1"/>
    <col min="773" max="1020" width="9.140625" style="213"/>
    <col min="1021" max="1021" width="6.140625" style="213" customWidth="1"/>
    <col min="1022" max="1022" width="44.85546875" style="213" customWidth="1"/>
    <col min="1023" max="1023" width="11.85546875" style="213" customWidth="1"/>
    <col min="1024" max="1024" width="11.140625" style="213" customWidth="1"/>
    <col min="1025" max="1025" width="13.140625" style="213" customWidth="1"/>
    <col min="1026" max="1026" width="10.5703125" style="213" customWidth="1"/>
    <col min="1027" max="1027" width="9.7109375" style="213" customWidth="1"/>
    <col min="1028" max="1028" width="16.7109375" style="213" customWidth="1"/>
    <col min="1029" max="1276" width="9.140625" style="213"/>
    <col min="1277" max="1277" width="6.140625" style="213" customWidth="1"/>
    <col min="1278" max="1278" width="44.85546875" style="213" customWidth="1"/>
    <col min="1279" max="1279" width="11.85546875" style="213" customWidth="1"/>
    <col min="1280" max="1280" width="11.140625" style="213" customWidth="1"/>
    <col min="1281" max="1281" width="13.140625" style="213" customWidth="1"/>
    <col min="1282" max="1282" width="10.5703125" style="213" customWidth="1"/>
    <col min="1283" max="1283" width="9.7109375" style="213" customWidth="1"/>
    <col min="1284" max="1284" width="16.7109375" style="213" customWidth="1"/>
    <col min="1285" max="1532" width="9.140625" style="213"/>
    <col min="1533" max="1533" width="6.140625" style="213" customWidth="1"/>
    <col min="1534" max="1534" width="44.85546875" style="213" customWidth="1"/>
    <col min="1535" max="1535" width="11.85546875" style="213" customWidth="1"/>
    <col min="1536" max="1536" width="11.140625" style="213" customWidth="1"/>
    <col min="1537" max="1537" width="13.140625" style="213" customWidth="1"/>
    <col min="1538" max="1538" width="10.5703125" style="213" customWidth="1"/>
    <col min="1539" max="1539" width="9.7109375" style="213" customWidth="1"/>
    <col min="1540" max="1540" width="16.7109375" style="213" customWidth="1"/>
    <col min="1541" max="1788" width="9.140625" style="213"/>
    <col min="1789" max="1789" width="6.140625" style="213" customWidth="1"/>
    <col min="1790" max="1790" width="44.85546875" style="213" customWidth="1"/>
    <col min="1791" max="1791" width="11.85546875" style="213" customWidth="1"/>
    <col min="1792" max="1792" width="11.140625" style="213" customWidth="1"/>
    <col min="1793" max="1793" width="13.140625" style="213" customWidth="1"/>
    <col min="1794" max="1794" width="10.5703125" style="213" customWidth="1"/>
    <col min="1795" max="1795" width="9.7109375" style="213" customWidth="1"/>
    <col min="1796" max="1796" width="16.7109375" style="213" customWidth="1"/>
    <col min="1797" max="2044" width="9.140625" style="213"/>
    <col min="2045" max="2045" width="6.140625" style="213" customWidth="1"/>
    <col min="2046" max="2046" width="44.85546875" style="213" customWidth="1"/>
    <col min="2047" max="2047" width="11.85546875" style="213" customWidth="1"/>
    <col min="2048" max="2048" width="11.140625" style="213" customWidth="1"/>
    <col min="2049" max="2049" width="13.140625" style="213" customWidth="1"/>
    <col min="2050" max="2050" width="10.5703125" style="213" customWidth="1"/>
    <col min="2051" max="2051" width="9.7109375" style="213" customWidth="1"/>
    <col min="2052" max="2052" width="16.7109375" style="213" customWidth="1"/>
    <col min="2053" max="2300" width="9.140625" style="213"/>
    <col min="2301" max="2301" width="6.140625" style="213" customWidth="1"/>
    <col min="2302" max="2302" width="44.85546875" style="213" customWidth="1"/>
    <col min="2303" max="2303" width="11.85546875" style="213" customWidth="1"/>
    <col min="2304" max="2304" width="11.140625" style="213" customWidth="1"/>
    <col min="2305" max="2305" width="13.140625" style="213" customWidth="1"/>
    <col min="2306" max="2306" width="10.5703125" style="213" customWidth="1"/>
    <col min="2307" max="2307" width="9.7109375" style="213" customWidth="1"/>
    <col min="2308" max="2308" width="16.7109375" style="213" customWidth="1"/>
    <col min="2309" max="2556" width="9.140625" style="213"/>
    <col min="2557" max="2557" width="6.140625" style="213" customWidth="1"/>
    <col min="2558" max="2558" width="44.85546875" style="213" customWidth="1"/>
    <col min="2559" max="2559" width="11.85546875" style="213" customWidth="1"/>
    <col min="2560" max="2560" width="11.140625" style="213" customWidth="1"/>
    <col min="2561" max="2561" width="13.140625" style="213" customWidth="1"/>
    <col min="2562" max="2562" width="10.5703125" style="213" customWidth="1"/>
    <col min="2563" max="2563" width="9.7109375" style="213" customWidth="1"/>
    <col min="2564" max="2564" width="16.7109375" style="213" customWidth="1"/>
    <col min="2565" max="2812" width="9.140625" style="213"/>
    <col min="2813" max="2813" width="6.140625" style="213" customWidth="1"/>
    <col min="2814" max="2814" width="44.85546875" style="213" customWidth="1"/>
    <col min="2815" max="2815" width="11.85546875" style="213" customWidth="1"/>
    <col min="2816" max="2816" width="11.140625" style="213" customWidth="1"/>
    <col min="2817" max="2817" width="13.140625" style="213" customWidth="1"/>
    <col min="2818" max="2818" width="10.5703125" style="213" customWidth="1"/>
    <col min="2819" max="2819" width="9.7109375" style="213" customWidth="1"/>
    <col min="2820" max="2820" width="16.7109375" style="213" customWidth="1"/>
    <col min="2821" max="3068" width="9.140625" style="213"/>
    <col min="3069" max="3069" width="6.140625" style="213" customWidth="1"/>
    <col min="3070" max="3070" width="44.85546875" style="213" customWidth="1"/>
    <col min="3071" max="3071" width="11.85546875" style="213" customWidth="1"/>
    <col min="3072" max="3072" width="11.140625" style="213" customWidth="1"/>
    <col min="3073" max="3073" width="13.140625" style="213" customWidth="1"/>
    <col min="3074" max="3074" width="10.5703125" style="213" customWidth="1"/>
    <col min="3075" max="3075" width="9.7109375" style="213" customWidth="1"/>
    <col min="3076" max="3076" width="16.7109375" style="213" customWidth="1"/>
    <col min="3077" max="3324" width="9.140625" style="213"/>
    <col min="3325" max="3325" width="6.140625" style="213" customWidth="1"/>
    <col min="3326" max="3326" width="44.85546875" style="213" customWidth="1"/>
    <col min="3327" max="3327" width="11.85546875" style="213" customWidth="1"/>
    <col min="3328" max="3328" width="11.140625" style="213" customWidth="1"/>
    <col min="3329" max="3329" width="13.140625" style="213" customWidth="1"/>
    <col min="3330" max="3330" width="10.5703125" style="213" customWidth="1"/>
    <col min="3331" max="3331" width="9.7109375" style="213" customWidth="1"/>
    <col min="3332" max="3332" width="16.7109375" style="213" customWidth="1"/>
    <col min="3333" max="3580" width="9.140625" style="213"/>
    <col min="3581" max="3581" width="6.140625" style="213" customWidth="1"/>
    <col min="3582" max="3582" width="44.85546875" style="213" customWidth="1"/>
    <col min="3583" max="3583" width="11.85546875" style="213" customWidth="1"/>
    <col min="3584" max="3584" width="11.140625" style="213" customWidth="1"/>
    <col min="3585" max="3585" width="13.140625" style="213" customWidth="1"/>
    <col min="3586" max="3586" width="10.5703125" style="213" customWidth="1"/>
    <col min="3587" max="3587" width="9.7109375" style="213" customWidth="1"/>
    <col min="3588" max="3588" width="16.7109375" style="213" customWidth="1"/>
    <col min="3589" max="3836" width="9.140625" style="213"/>
    <col min="3837" max="3837" width="6.140625" style="213" customWidth="1"/>
    <col min="3838" max="3838" width="44.85546875" style="213" customWidth="1"/>
    <col min="3839" max="3839" width="11.85546875" style="213" customWidth="1"/>
    <col min="3840" max="3840" width="11.140625" style="213" customWidth="1"/>
    <col min="3841" max="3841" width="13.140625" style="213" customWidth="1"/>
    <col min="3842" max="3842" width="10.5703125" style="213" customWidth="1"/>
    <col min="3843" max="3843" width="9.7109375" style="213" customWidth="1"/>
    <col min="3844" max="3844" width="16.7109375" style="213" customWidth="1"/>
    <col min="3845" max="4092" width="9.140625" style="213"/>
    <col min="4093" max="4093" width="6.140625" style="213" customWidth="1"/>
    <col min="4094" max="4094" width="44.85546875" style="213" customWidth="1"/>
    <col min="4095" max="4095" width="11.85546875" style="213" customWidth="1"/>
    <col min="4096" max="4096" width="11.140625" style="213" customWidth="1"/>
    <col min="4097" max="4097" width="13.140625" style="213" customWidth="1"/>
    <col min="4098" max="4098" width="10.5703125" style="213" customWidth="1"/>
    <col min="4099" max="4099" width="9.7109375" style="213" customWidth="1"/>
    <col min="4100" max="4100" width="16.7109375" style="213" customWidth="1"/>
    <col min="4101" max="4348" width="9.140625" style="213"/>
    <col min="4349" max="4349" width="6.140625" style="213" customWidth="1"/>
    <col min="4350" max="4350" width="44.85546875" style="213" customWidth="1"/>
    <col min="4351" max="4351" width="11.85546875" style="213" customWidth="1"/>
    <col min="4352" max="4352" width="11.140625" style="213" customWidth="1"/>
    <col min="4353" max="4353" width="13.140625" style="213" customWidth="1"/>
    <col min="4354" max="4354" width="10.5703125" style="213" customWidth="1"/>
    <col min="4355" max="4355" width="9.7109375" style="213" customWidth="1"/>
    <col min="4356" max="4356" width="16.7109375" style="213" customWidth="1"/>
    <col min="4357" max="4604" width="9.140625" style="213"/>
    <col min="4605" max="4605" width="6.140625" style="213" customWidth="1"/>
    <col min="4606" max="4606" width="44.85546875" style="213" customWidth="1"/>
    <col min="4607" max="4607" width="11.85546875" style="213" customWidth="1"/>
    <col min="4608" max="4608" width="11.140625" style="213" customWidth="1"/>
    <col min="4609" max="4609" width="13.140625" style="213" customWidth="1"/>
    <col min="4610" max="4610" width="10.5703125" style="213" customWidth="1"/>
    <col min="4611" max="4611" width="9.7109375" style="213" customWidth="1"/>
    <col min="4612" max="4612" width="16.7109375" style="213" customWidth="1"/>
    <col min="4613" max="4860" width="9.140625" style="213"/>
    <col min="4861" max="4861" width="6.140625" style="213" customWidth="1"/>
    <col min="4862" max="4862" width="44.85546875" style="213" customWidth="1"/>
    <col min="4863" max="4863" width="11.85546875" style="213" customWidth="1"/>
    <col min="4864" max="4864" width="11.140625" style="213" customWidth="1"/>
    <col min="4865" max="4865" width="13.140625" style="213" customWidth="1"/>
    <col min="4866" max="4866" width="10.5703125" style="213" customWidth="1"/>
    <col min="4867" max="4867" width="9.7109375" style="213" customWidth="1"/>
    <col min="4868" max="4868" width="16.7109375" style="213" customWidth="1"/>
    <col min="4869" max="5116" width="9.140625" style="213"/>
    <col min="5117" max="5117" width="6.140625" style="213" customWidth="1"/>
    <col min="5118" max="5118" width="44.85546875" style="213" customWidth="1"/>
    <col min="5119" max="5119" width="11.85546875" style="213" customWidth="1"/>
    <col min="5120" max="5120" width="11.140625" style="213" customWidth="1"/>
    <col min="5121" max="5121" width="13.140625" style="213" customWidth="1"/>
    <col min="5122" max="5122" width="10.5703125" style="213" customWidth="1"/>
    <col min="5123" max="5123" width="9.7109375" style="213" customWidth="1"/>
    <col min="5124" max="5124" width="16.7109375" style="213" customWidth="1"/>
    <col min="5125" max="5372" width="9.140625" style="213"/>
    <col min="5373" max="5373" width="6.140625" style="213" customWidth="1"/>
    <col min="5374" max="5374" width="44.85546875" style="213" customWidth="1"/>
    <col min="5375" max="5375" width="11.85546875" style="213" customWidth="1"/>
    <col min="5376" max="5376" width="11.140625" style="213" customWidth="1"/>
    <col min="5377" max="5377" width="13.140625" style="213" customWidth="1"/>
    <col min="5378" max="5378" width="10.5703125" style="213" customWidth="1"/>
    <col min="5379" max="5379" width="9.7109375" style="213" customWidth="1"/>
    <col min="5380" max="5380" width="16.7109375" style="213" customWidth="1"/>
    <col min="5381" max="5628" width="9.140625" style="213"/>
    <col min="5629" max="5629" width="6.140625" style="213" customWidth="1"/>
    <col min="5630" max="5630" width="44.85546875" style="213" customWidth="1"/>
    <col min="5631" max="5631" width="11.85546875" style="213" customWidth="1"/>
    <col min="5632" max="5632" width="11.140625" style="213" customWidth="1"/>
    <col min="5633" max="5633" width="13.140625" style="213" customWidth="1"/>
    <col min="5634" max="5634" width="10.5703125" style="213" customWidth="1"/>
    <col min="5635" max="5635" width="9.7109375" style="213" customWidth="1"/>
    <col min="5636" max="5636" width="16.7109375" style="213" customWidth="1"/>
    <col min="5637" max="5884" width="9.140625" style="213"/>
    <col min="5885" max="5885" width="6.140625" style="213" customWidth="1"/>
    <col min="5886" max="5886" width="44.85546875" style="213" customWidth="1"/>
    <col min="5887" max="5887" width="11.85546875" style="213" customWidth="1"/>
    <col min="5888" max="5888" width="11.140625" style="213" customWidth="1"/>
    <col min="5889" max="5889" width="13.140625" style="213" customWidth="1"/>
    <col min="5890" max="5890" width="10.5703125" style="213" customWidth="1"/>
    <col min="5891" max="5891" width="9.7109375" style="213" customWidth="1"/>
    <col min="5892" max="5892" width="16.7109375" style="213" customWidth="1"/>
    <col min="5893" max="6140" width="9.140625" style="213"/>
    <col min="6141" max="6141" width="6.140625" style="213" customWidth="1"/>
    <col min="6142" max="6142" width="44.85546875" style="213" customWidth="1"/>
    <col min="6143" max="6143" width="11.85546875" style="213" customWidth="1"/>
    <col min="6144" max="6144" width="11.140625" style="213" customWidth="1"/>
    <col min="6145" max="6145" width="13.140625" style="213" customWidth="1"/>
    <col min="6146" max="6146" width="10.5703125" style="213" customWidth="1"/>
    <col min="6147" max="6147" width="9.7109375" style="213" customWidth="1"/>
    <col min="6148" max="6148" width="16.7109375" style="213" customWidth="1"/>
    <col min="6149" max="6396" width="9.140625" style="213"/>
    <col min="6397" max="6397" width="6.140625" style="213" customWidth="1"/>
    <col min="6398" max="6398" width="44.85546875" style="213" customWidth="1"/>
    <col min="6399" max="6399" width="11.85546875" style="213" customWidth="1"/>
    <col min="6400" max="6400" width="11.140625" style="213" customWidth="1"/>
    <col min="6401" max="6401" width="13.140625" style="213" customWidth="1"/>
    <col min="6402" max="6402" width="10.5703125" style="213" customWidth="1"/>
    <col min="6403" max="6403" width="9.7109375" style="213" customWidth="1"/>
    <col min="6404" max="6404" width="16.7109375" style="213" customWidth="1"/>
    <col min="6405" max="6652" width="9.140625" style="213"/>
    <col min="6653" max="6653" width="6.140625" style="213" customWidth="1"/>
    <col min="6654" max="6654" width="44.85546875" style="213" customWidth="1"/>
    <col min="6655" max="6655" width="11.85546875" style="213" customWidth="1"/>
    <col min="6656" max="6656" width="11.140625" style="213" customWidth="1"/>
    <col min="6657" max="6657" width="13.140625" style="213" customWidth="1"/>
    <col min="6658" max="6658" width="10.5703125" style="213" customWidth="1"/>
    <col min="6659" max="6659" width="9.7109375" style="213" customWidth="1"/>
    <col min="6660" max="6660" width="16.7109375" style="213" customWidth="1"/>
    <col min="6661" max="6908" width="9.140625" style="213"/>
    <col min="6909" max="6909" width="6.140625" style="213" customWidth="1"/>
    <col min="6910" max="6910" width="44.85546875" style="213" customWidth="1"/>
    <col min="6911" max="6911" width="11.85546875" style="213" customWidth="1"/>
    <col min="6912" max="6912" width="11.140625" style="213" customWidth="1"/>
    <col min="6913" max="6913" width="13.140625" style="213" customWidth="1"/>
    <col min="6914" max="6914" width="10.5703125" style="213" customWidth="1"/>
    <col min="6915" max="6915" width="9.7109375" style="213" customWidth="1"/>
    <col min="6916" max="6916" width="16.7109375" style="213" customWidth="1"/>
    <col min="6917" max="7164" width="9.140625" style="213"/>
    <col min="7165" max="7165" width="6.140625" style="213" customWidth="1"/>
    <col min="7166" max="7166" width="44.85546875" style="213" customWidth="1"/>
    <col min="7167" max="7167" width="11.85546875" style="213" customWidth="1"/>
    <col min="7168" max="7168" width="11.140625" style="213" customWidth="1"/>
    <col min="7169" max="7169" width="13.140625" style="213" customWidth="1"/>
    <col min="7170" max="7170" width="10.5703125" style="213" customWidth="1"/>
    <col min="7171" max="7171" width="9.7109375" style="213" customWidth="1"/>
    <col min="7172" max="7172" width="16.7109375" style="213" customWidth="1"/>
    <col min="7173" max="7420" width="9.140625" style="213"/>
    <col min="7421" max="7421" width="6.140625" style="213" customWidth="1"/>
    <col min="7422" max="7422" width="44.85546875" style="213" customWidth="1"/>
    <col min="7423" max="7423" width="11.85546875" style="213" customWidth="1"/>
    <col min="7424" max="7424" width="11.140625" style="213" customWidth="1"/>
    <col min="7425" max="7425" width="13.140625" style="213" customWidth="1"/>
    <col min="7426" max="7426" width="10.5703125" style="213" customWidth="1"/>
    <col min="7427" max="7427" width="9.7109375" style="213" customWidth="1"/>
    <col min="7428" max="7428" width="16.7109375" style="213" customWidth="1"/>
    <col min="7429" max="7676" width="9.140625" style="213"/>
    <col min="7677" max="7677" width="6.140625" style="213" customWidth="1"/>
    <col min="7678" max="7678" width="44.85546875" style="213" customWidth="1"/>
    <col min="7679" max="7679" width="11.85546875" style="213" customWidth="1"/>
    <col min="7680" max="7680" width="11.140625" style="213" customWidth="1"/>
    <col min="7681" max="7681" width="13.140625" style="213" customWidth="1"/>
    <col min="7682" max="7682" width="10.5703125" style="213" customWidth="1"/>
    <col min="7683" max="7683" width="9.7109375" style="213" customWidth="1"/>
    <col min="7684" max="7684" width="16.7109375" style="213" customWidth="1"/>
    <col min="7685" max="7932" width="9.140625" style="213"/>
    <col min="7933" max="7933" width="6.140625" style="213" customWidth="1"/>
    <col min="7934" max="7934" width="44.85546875" style="213" customWidth="1"/>
    <col min="7935" max="7935" width="11.85546875" style="213" customWidth="1"/>
    <col min="7936" max="7936" width="11.140625" style="213" customWidth="1"/>
    <col min="7937" max="7937" width="13.140625" style="213" customWidth="1"/>
    <col min="7938" max="7938" width="10.5703125" style="213" customWidth="1"/>
    <col min="7939" max="7939" width="9.7109375" style="213" customWidth="1"/>
    <col min="7940" max="7940" width="16.7109375" style="213" customWidth="1"/>
    <col min="7941" max="8188" width="9.140625" style="213"/>
    <col min="8189" max="8189" width="6.140625" style="213" customWidth="1"/>
    <col min="8190" max="8190" width="44.85546875" style="213" customWidth="1"/>
    <col min="8191" max="8191" width="11.85546875" style="213" customWidth="1"/>
    <col min="8192" max="8192" width="11.140625" style="213" customWidth="1"/>
    <col min="8193" max="8193" width="13.140625" style="213" customWidth="1"/>
    <col min="8194" max="8194" width="10.5703125" style="213" customWidth="1"/>
    <col min="8195" max="8195" width="9.7109375" style="213" customWidth="1"/>
    <col min="8196" max="8196" width="16.7109375" style="213" customWidth="1"/>
    <col min="8197" max="8444" width="9.140625" style="213"/>
    <col min="8445" max="8445" width="6.140625" style="213" customWidth="1"/>
    <col min="8446" max="8446" width="44.85546875" style="213" customWidth="1"/>
    <col min="8447" max="8447" width="11.85546875" style="213" customWidth="1"/>
    <col min="8448" max="8448" width="11.140625" style="213" customWidth="1"/>
    <col min="8449" max="8449" width="13.140625" style="213" customWidth="1"/>
    <col min="8450" max="8450" width="10.5703125" style="213" customWidth="1"/>
    <col min="8451" max="8451" width="9.7109375" style="213" customWidth="1"/>
    <col min="8452" max="8452" width="16.7109375" style="213" customWidth="1"/>
    <col min="8453" max="8700" width="9.140625" style="213"/>
    <col min="8701" max="8701" width="6.140625" style="213" customWidth="1"/>
    <col min="8702" max="8702" width="44.85546875" style="213" customWidth="1"/>
    <col min="8703" max="8703" width="11.85546875" style="213" customWidth="1"/>
    <col min="8704" max="8704" width="11.140625" style="213" customWidth="1"/>
    <col min="8705" max="8705" width="13.140625" style="213" customWidth="1"/>
    <col min="8706" max="8706" width="10.5703125" style="213" customWidth="1"/>
    <col min="8707" max="8707" width="9.7109375" style="213" customWidth="1"/>
    <col min="8708" max="8708" width="16.7109375" style="213" customWidth="1"/>
    <col min="8709" max="8956" width="9.140625" style="213"/>
    <col min="8957" max="8957" width="6.140625" style="213" customWidth="1"/>
    <col min="8958" max="8958" width="44.85546875" style="213" customWidth="1"/>
    <col min="8959" max="8959" width="11.85546875" style="213" customWidth="1"/>
    <col min="8960" max="8960" width="11.140625" style="213" customWidth="1"/>
    <col min="8961" max="8961" width="13.140625" style="213" customWidth="1"/>
    <col min="8962" max="8962" width="10.5703125" style="213" customWidth="1"/>
    <col min="8963" max="8963" width="9.7109375" style="213" customWidth="1"/>
    <col min="8964" max="8964" width="16.7109375" style="213" customWidth="1"/>
    <col min="8965" max="9212" width="9.140625" style="213"/>
    <col min="9213" max="9213" width="6.140625" style="213" customWidth="1"/>
    <col min="9214" max="9214" width="44.85546875" style="213" customWidth="1"/>
    <col min="9215" max="9215" width="11.85546875" style="213" customWidth="1"/>
    <col min="9216" max="9216" width="11.140625" style="213" customWidth="1"/>
    <col min="9217" max="9217" width="13.140625" style="213" customWidth="1"/>
    <col min="9218" max="9218" width="10.5703125" style="213" customWidth="1"/>
    <col min="9219" max="9219" width="9.7109375" style="213" customWidth="1"/>
    <col min="9220" max="9220" width="16.7109375" style="213" customWidth="1"/>
    <col min="9221" max="9468" width="9.140625" style="213"/>
    <col min="9469" max="9469" width="6.140625" style="213" customWidth="1"/>
    <col min="9470" max="9470" width="44.85546875" style="213" customWidth="1"/>
    <col min="9471" max="9471" width="11.85546875" style="213" customWidth="1"/>
    <col min="9472" max="9472" width="11.140625" style="213" customWidth="1"/>
    <col min="9473" max="9473" width="13.140625" style="213" customWidth="1"/>
    <col min="9474" max="9474" width="10.5703125" style="213" customWidth="1"/>
    <col min="9475" max="9475" width="9.7109375" style="213" customWidth="1"/>
    <col min="9476" max="9476" width="16.7109375" style="213" customWidth="1"/>
    <col min="9477" max="9724" width="9.140625" style="213"/>
    <col min="9725" max="9725" width="6.140625" style="213" customWidth="1"/>
    <col min="9726" max="9726" width="44.85546875" style="213" customWidth="1"/>
    <col min="9727" max="9727" width="11.85546875" style="213" customWidth="1"/>
    <col min="9728" max="9728" width="11.140625" style="213" customWidth="1"/>
    <col min="9729" max="9729" width="13.140625" style="213" customWidth="1"/>
    <col min="9730" max="9730" width="10.5703125" style="213" customWidth="1"/>
    <col min="9731" max="9731" width="9.7109375" style="213" customWidth="1"/>
    <col min="9732" max="9732" width="16.7109375" style="213" customWidth="1"/>
    <col min="9733" max="9980" width="9.140625" style="213"/>
    <col min="9981" max="9981" width="6.140625" style="213" customWidth="1"/>
    <col min="9982" max="9982" width="44.85546875" style="213" customWidth="1"/>
    <col min="9983" max="9983" width="11.85546875" style="213" customWidth="1"/>
    <col min="9984" max="9984" width="11.140625" style="213" customWidth="1"/>
    <col min="9985" max="9985" width="13.140625" style="213" customWidth="1"/>
    <col min="9986" max="9986" width="10.5703125" style="213" customWidth="1"/>
    <col min="9987" max="9987" width="9.7109375" style="213" customWidth="1"/>
    <col min="9988" max="9988" width="16.7109375" style="213" customWidth="1"/>
    <col min="9989" max="10236" width="9.140625" style="213"/>
    <col min="10237" max="10237" width="6.140625" style="213" customWidth="1"/>
    <col min="10238" max="10238" width="44.85546875" style="213" customWidth="1"/>
    <col min="10239" max="10239" width="11.85546875" style="213" customWidth="1"/>
    <col min="10240" max="10240" width="11.140625" style="213" customWidth="1"/>
    <col min="10241" max="10241" width="13.140625" style="213" customWidth="1"/>
    <col min="10242" max="10242" width="10.5703125" style="213" customWidth="1"/>
    <col min="10243" max="10243" width="9.7109375" style="213" customWidth="1"/>
    <col min="10244" max="10244" width="16.7109375" style="213" customWidth="1"/>
    <col min="10245" max="10492" width="9.140625" style="213"/>
    <col min="10493" max="10493" width="6.140625" style="213" customWidth="1"/>
    <col min="10494" max="10494" width="44.85546875" style="213" customWidth="1"/>
    <col min="10495" max="10495" width="11.85546875" style="213" customWidth="1"/>
    <col min="10496" max="10496" width="11.140625" style="213" customWidth="1"/>
    <col min="10497" max="10497" width="13.140625" style="213" customWidth="1"/>
    <col min="10498" max="10498" width="10.5703125" style="213" customWidth="1"/>
    <col min="10499" max="10499" width="9.7109375" style="213" customWidth="1"/>
    <col min="10500" max="10500" width="16.7109375" style="213" customWidth="1"/>
    <col min="10501" max="10748" width="9.140625" style="213"/>
    <col min="10749" max="10749" width="6.140625" style="213" customWidth="1"/>
    <col min="10750" max="10750" width="44.85546875" style="213" customWidth="1"/>
    <col min="10751" max="10751" width="11.85546875" style="213" customWidth="1"/>
    <col min="10752" max="10752" width="11.140625" style="213" customWidth="1"/>
    <col min="10753" max="10753" width="13.140625" style="213" customWidth="1"/>
    <col min="10754" max="10754" width="10.5703125" style="213" customWidth="1"/>
    <col min="10755" max="10755" width="9.7109375" style="213" customWidth="1"/>
    <col min="10756" max="10756" width="16.7109375" style="213" customWidth="1"/>
    <col min="10757" max="11004" width="9.140625" style="213"/>
    <col min="11005" max="11005" width="6.140625" style="213" customWidth="1"/>
    <col min="11006" max="11006" width="44.85546875" style="213" customWidth="1"/>
    <col min="11007" max="11007" width="11.85546875" style="213" customWidth="1"/>
    <col min="11008" max="11008" width="11.140625" style="213" customWidth="1"/>
    <col min="11009" max="11009" width="13.140625" style="213" customWidth="1"/>
    <col min="11010" max="11010" width="10.5703125" style="213" customWidth="1"/>
    <col min="11011" max="11011" width="9.7109375" style="213" customWidth="1"/>
    <col min="11012" max="11012" width="16.7109375" style="213" customWidth="1"/>
    <col min="11013" max="11260" width="9.140625" style="213"/>
    <col min="11261" max="11261" width="6.140625" style="213" customWidth="1"/>
    <col min="11262" max="11262" width="44.85546875" style="213" customWidth="1"/>
    <col min="11263" max="11263" width="11.85546875" style="213" customWidth="1"/>
    <col min="11264" max="11264" width="11.140625" style="213" customWidth="1"/>
    <col min="11265" max="11265" width="13.140625" style="213" customWidth="1"/>
    <col min="11266" max="11266" width="10.5703125" style="213" customWidth="1"/>
    <col min="11267" max="11267" width="9.7109375" style="213" customWidth="1"/>
    <col min="11268" max="11268" width="16.7109375" style="213" customWidth="1"/>
    <col min="11269" max="11516" width="9.140625" style="213"/>
    <col min="11517" max="11517" width="6.140625" style="213" customWidth="1"/>
    <col min="11518" max="11518" width="44.85546875" style="213" customWidth="1"/>
    <col min="11519" max="11519" width="11.85546875" style="213" customWidth="1"/>
    <col min="11520" max="11520" width="11.140625" style="213" customWidth="1"/>
    <col min="11521" max="11521" width="13.140625" style="213" customWidth="1"/>
    <col min="11522" max="11522" width="10.5703125" style="213" customWidth="1"/>
    <col min="11523" max="11523" width="9.7109375" style="213" customWidth="1"/>
    <col min="11524" max="11524" width="16.7109375" style="213" customWidth="1"/>
    <col min="11525" max="11772" width="9.140625" style="213"/>
    <col min="11773" max="11773" width="6.140625" style="213" customWidth="1"/>
    <col min="11774" max="11774" width="44.85546875" style="213" customWidth="1"/>
    <col min="11775" max="11775" width="11.85546875" style="213" customWidth="1"/>
    <col min="11776" max="11776" width="11.140625" style="213" customWidth="1"/>
    <col min="11777" max="11777" width="13.140625" style="213" customWidth="1"/>
    <col min="11778" max="11778" width="10.5703125" style="213" customWidth="1"/>
    <col min="11779" max="11779" width="9.7109375" style="213" customWidth="1"/>
    <col min="11780" max="11780" width="16.7109375" style="213" customWidth="1"/>
    <col min="11781" max="12028" width="9.140625" style="213"/>
    <col min="12029" max="12029" width="6.140625" style="213" customWidth="1"/>
    <col min="12030" max="12030" width="44.85546875" style="213" customWidth="1"/>
    <col min="12031" max="12031" width="11.85546875" style="213" customWidth="1"/>
    <col min="12032" max="12032" width="11.140625" style="213" customWidth="1"/>
    <col min="12033" max="12033" width="13.140625" style="213" customWidth="1"/>
    <col min="12034" max="12034" width="10.5703125" style="213" customWidth="1"/>
    <col min="12035" max="12035" width="9.7109375" style="213" customWidth="1"/>
    <col min="12036" max="12036" width="16.7109375" style="213" customWidth="1"/>
    <col min="12037" max="12284" width="9.140625" style="213"/>
    <col min="12285" max="12285" width="6.140625" style="213" customWidth="1"/>
    <col min="12286" max="12286" width="44.85546875" style="213" customWidth="1"/>
    <col min="12287" max="12287" width="11.85546875" style="213" customWidth="1"/>
    <col min="12288" max="12288" width="11.140625" style="213" customWidth="1"/>
    <col min="12289" max="12289" width="13.140625" style="213" customWidth="1"/>
    <col min="12290" max="12290" width="10.5703125" style="213" customWidth="1"/>
    <col min="12291" max="12291" width="9.7109375" style="213" customWidth="1"/>
    <col min="12292" max="12292" width="16.7109375" style="213" customWidth="1"/>
    <col min="12293" max="12540" width="9.140625" style="213"/>
    <col min="12541" max="12541" width="6.140625" style="213" customWidth="1"/>
    <col min="12542" max="12542" width="44.85546875" style="213" customWidth="1"/>
    <col min="12543" max="12543" width="11.85546875" style="213" customWidth="1"/>
    <col min="12544" max="12544" width="11.140625" style="213" customWidth="1"/>
    <col min="12545" max="12545" width="13.140625" style="213" customWidth="1"/>
    <col min="12546" max="12546" width="10.5703125" style="213" customWidth="1"/>
    <col min="12547" max="12547" width="9.7109375" style="213" customWidth="1"/>
    <col min="12548" max="12548" width="16.7109375" style="213" customWidth="1"/>
    <col min="12549" max="12796" width="9.140625" style="213"/>
    <col min="12797" max="12797" width="6.140625" style="213" customWidth="1"/>
    <col min="12798" max="12798" width="44.85546875" style="213" customWidth="1"/>
    <col min="12799" max="12799" width="11.85546875" style="213" customWidth="1"/>
    <col min="12800" max="12800" width="11.140625" style="213" customWidth="1"/>
    <col min="12801" max="12801" width="13.140625" style="213" customWidth="1"/>
    <col min="12802" max="12802" width="10.5703125" style="213" customWidth="1"/>
    <col min="12803" max="12803" width="9.7109375" style="213" customWidth="1"/>
    <col min="12804" max="12804" width="16.7109375" style="213" customWidth="1"/>
    <col min="12805" max="13052" width="9.140625" style="213"/>
    <col min="13053" max="13053" width="6.140625" style="213" customWidth="1"/>
    <col min="13054" max="13054" width="44.85546875" style="213" customWidth="1"/>
    <col min="13055" max="13055" width="11.85546875" style="213" customWidth="1"/>
    <col min="13056" max="13056" width="11.140625" style="213" customWidth="1"/>
    <col min="13057" max="13057" width="13.140625" style="213" customWidth="1"/>
    <col min="13058" max="13058" width="10.5703125" style="213" customWidth="1"/>
    <col min="13059" max="13059" width="9.7109375" style="213" customWidth="1"/>
    <col min="13060" max="13060" width="16.7109375" style="213" customWidth="1"/>
    <col min="13061" max="13308" width="9.140625" style="213"/>
    <col min="13309" max="13309" width="6.140625" style="213" customWidth="1"/>
    <col min="13310" max="13310" width="44.85546875" style="213" customWidth="1"/>
    <col min="13311" max="13311" width="11.85546875" style="213" customWidth="1"/>
    <col min="13312" max="13312" width="11.140625" style="213" customWidth="1"/>
    <col min="13313" max="13313" width="13.140625" style="213" customWidth="1"/>
    <col min="13314" max="13314" width="10.5703125" style="213" customWidth="1"/>
    <col min="13315" max="13315" width="9.7109375" style="213" customWidth="1"/>
    <col min="13316" max="13316" width="16.7109375" style="213" customWidth="1"/>
    <col min="13317" max="13564" width="9.140625" style="213"/>
    <col min="13565" max="13565" width="6.140625" style="213" customWidth="1"/>
    <col min="13566" max="13566" width="44.85546875" style="213" customWidth="1"/>
    <col min="13567" max="13567" width="11.85546875" style="213" customWidth="1"/>
    <col min="13568" max="13568" width="11.140625" style="213" customWidth="1"/>
    <col min="13569" max="13569" width="13.140625" style="213" customWidth="1"/>
    <col min="13570" max="13570" width="10.5703125" style="213" customWidth="1"/>
    <col min="13571" max="13571" width="9.7109375" style="213" customWidth="1"/>
    <col min="13572" max="13572" width="16.7109375" style="213" customWidth="1"/>
    <col min="13573" max="13820" width="9.140625" style="213"/>
    <col min="13821" max="13821" width="6.140625" style="213" customWidth="1"/>
    <col min="13822" max="13822" width="44.85546875" style="213" customWidth="1"/>
    <col min="13823" max="13823" width="11.85546875" style="213" customWidth="1"/>
    <col min="13824" max="13824" width="11.140625" style="213" customWidth="1"/>
    <col min="13825" max="13825" width="13.140625" style="213" customWidth="1"/>
    <col min="13826" max="13826" width="10.5703125" style="213" customWidth="1"/>
    <col min="13827" max="13827" width="9.7109375" style="213" customWidth="1"/>
    <col min="13828" max="13828" width="16.7109375" style="213" customWidth="1"/>
    <col min="13829" max="14076" width="9.140625" style="213"/>
    <col min="14077" max="14077" width="6.140625" style="213" customWidth="1"/>
    <col min="14078" max="14078" width="44.85546875" style="213" customWidth="1"/>
    <col min="14079" max="14079" width="11.85546875" style="213" customWidth="1"/>
    <col min="14080" max="14080" width="11.140625" style="213" customWidth="1"/>
    <col min="14081" max="14081" width="13.140625" style="213" customWidth="1"/>
    <col min="14082" max="14082" width="10.5703125" style="213" customWidth="1"/>
    <col min="14083" max="14083" width="9.7109375" style="213" customWidth="1"/>
    <col min="14084" max="14084" width="16.7109375" style="213" customWidth="1"/>
    <col min="14085" max="14332" width="9.140625" style="213"/>
    <col min="14333" max="14333" width="6.140625" style="213" customWidth="1"/>
    <col min="14334" max="14334" width="44.85546875" style="213" customWidth="1"/>
    <col min="14335" max="14335" width="11.85546875" style="213" customWidth="1"/>
    <col min="14336" max="14336" width="11.140625" style="213" customWidth="1"/>
    <col min="14337" max="14337" width="13.140625" style="213" customWidth="1"/>
    <col min="14338" max="14338" width="10.5703125" style="213" customWidth="1"/>
    <col min="14339" max="14339" width="9.7109375" style="213" customWidth="1"/>
    <col min="14340" max="14340" width="16.7109375" style="213" customWidth="1"/>
    <col min="14341" max="14588" width="9.140625" style="213"/>
    <col min="14589" max="14589" width="6.140625" style="213" customWidth="1"/>
    <col min="14590" max="14590" width="44.85546875" style="213" customWidth="1"/>
    <col min="14591" max="14591" width="11.85546875" style="213" customWidth="1"/>
    <col min="14592" max="14592" width="11.140625" style="213" customWidth="1"/>
    <col min="14593" max="14593" width="13.140625" style="213" customWidth="1"/>
    <col min="14594" max="14594" width="10.5703125" style="213" customWidth="1"/>
    <col min="14595" max="14595" width="9.7109375" style="213" customWidth="1"/>
    <col min="14596" max="14596" width="16.7109375" style="213" customWidth="1"/>
    <col min="14597" max="14844" width="9.140625" style="213"/>
    <col min="14845" max="14845" width="6.140625" style="213" customWidth="1"/>
    <col min="14846" max="14846" width="44.85546875" style="213" customWidth="1"/>
    <col min="14847" max="14847" width="11.85546875" style="213" customWidth="1"/>
    <col min="14848" max="14848" width="11.140625" style="213" customWidth="1"/>
    <col min="14849" max="14849" width="13.140625" style="213" customWidth="1"/>
    <col min="14850" max="14850" width="10.5703125" style="213" customWidth="1"/>
    <col min="14851" max="14851" width="9.7109375" style="213" customWidth="1"/>
    <col min="14852" max="14852" width="16.7109375" style="213" customWidth="1"/>
    <col min="14853" max="15100" width="9.140625" style="213"/>
    <col min="15101" max="15101" width="6.140625" style="213" customWidth="1"/>
    <col min="15102" max="15102" width="44.85546875" style="213" customWidth="1"/>
    <col min="15103" max="15103" width="11.85546875" style="213" customWidth="1"/>
    <col min="15104" max="15104" width="11.140625" style="213" customWidth="1"/>
    <col min="15105" max="15105" width="13.140625" style="213" customWidth="1"/>
    <col min="15106" max="15106" width="10.5703125" style="213" customWidth="1"/>
    <col min="15107" max="15107" width="9.7109375" style="213" customWidth="1"/>
    <col min="15108" max="15108" width="16.7109375" style="213" customWidth="1"/>
    <col min="15109" max="15356" width="9.140625" style="213"/>
    <col min="15357" max="15357" width="6.140625" style="213" customWidth="1"/>
    <col min="15358" max="15358" width="44.85546875" style="213" customWidth="1"/>
    <col min="15359" max="15359" width="11.85546875" style="213" customWidth="1"/>
    <col min="15360" max="15360" width="11.140625" style="213" customWidth="1"/>
    <col min="15361" max="15361" width="13.140625" style="213" customWidth="1"/>
    <col min="15362" max="15362" width="10.5703125" style="213" customWidth="1"/>
    <col min="15363" max="15363" width="9.7109375" style="213" customWidth="1"/>
    <col min="15364" max="15364" width="16.7109375" style="213" customWidth="1"/>
    <col min="15365" max="15612" width="9.140625" style="213"/>
    <col min="15613" max="15613" width="6.140625" style="213" customWidth="1"/>
    <col min="15614" max="15614" width="44.85546875" style="213" customWidth="1"/>
    <col min="15615" max="15615" width="11.85546875" style="213" customWidth="1"/>
    <col min="15616" max="15616" width="11.140625" style="213" customWidth="1"/>
    <col min="15617" max="15617" width="13.140625" style="213" customWidth="1"/>
    <col min="15618" max="15618" width="10.5703125" style="213" customWidth="1"/>
    <col min="15619" max="15619" width="9.7109375" style="213" customWidth="1"/>
    <col min="15620" max="15620" width="16.7109375" style="213" customWidth="1"/>
    <col min="15621" max="15868" width="9.140625" style="213"/>
    <col min="15869" max="15869" width="6.140625" style="213" customWidth="1"/>
    <col min="15870" max="15870" width="44.85546875" style="213" customWidth="1"/>
    <col min="15871" max="15871" width="11.85546875" style="213" customWidth="1"/>
    <col min="15872" max="15872" width="11.140625" style="213" customWidth="1"/>
    <col min="15873" max="15873" width="13.140625" style="213" customWidth="1"/>
    <col min="15874" max="15874" width="10.5703125" style="213" customWidth="1"/>
    <col min="15875" max="15875" width="9.7109375" style="213" customWidth="1"/>
    <col min="15876" max="15876" width="16.7109375" style="213" customWidth="1"/>
    <col min="15877" max="16124" width="9.140625" style="213"/>
    <col min="16125" max="16125" width="6.140625" style="213" customWidth="1"/>
    <col min="16126" max="16126" width="44.85546875" style="213" customWidth="1"/>
    <col min="16127" max="16127" width="11.85546875" style="213" customWidth="1"/>
    <col min="16128" max="16128" width="11.140625" style="213" customWidth="1"/>
    <col min="16129" max="16129" width="13.140625" style="213" customWidth="1"/>
    <col min="16130" max="16130" width="10.5703125" style="213" customWidth="1"/>
    <col min="16131" max="16131" width="9.7109375" style="213" customWidth="1"/>
    <col min="16132" max="16132" width="16.7109375" style="213" customWidth="1"/>
    <col min="16133" max="16384" width="9.140625" style="213"/>
  </cols>
  <sheetData>
    <row r="1" spans="1:7" ht="16.5" x14ac:dyDescent="0.25">
      <c r="B1" s="1034" t="s">
        <v>1289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5">
      <c r="A6" s="213" t="s">
        <v>298</v>
      </c>
      <c r="C6" s="1183"/>
      <c r="D6" s="1183"/>
      <c r="E6" s="1183"/>
      <c r="F6" s="1183"/>
      <c r="G6" s="1183"/>
    </row>
    <row r="7" spans="1:7" x14ac:dyDescent="0.25">
      <c r="C7" s="916"/>
      <c r="D7" s="916"/>
      <c r="E7" s="916"/>
      <c r="F7" s="916"/>
      <c r="G7" s="916"/>
    </row>
    <row r="8" spans="1:7" ht="15.75" x14ac:dyDescent="0.25">
      <c r="A8" s="1184" t="s">
        <v>291</v>
      </c>
      <c r="B8" s="1184"/>
      <c r="C8" s="1184"/>
      <c r="D8" s="1184"/>
      <c r="E8" s="1184"/>
      <c r="F8" s="1184"/>
      <c r="G8" s="1184"/>
    </row>
    <row r="9" spans="1:7" ht="15.75" x14ac:dyDescent="0.25">
      <c r="A9" s="198"/>
      <c r="B9" s="198"/>
      <c r="C9" s="198"/>
      <c r="D9" s="198"/>
      <c r="E9" s="198"/>
      <c r="F9" s="427"/>
      <c r="G9" s="198"/>
    </row>
    <row r="10" spans="1:7" ht="15.75" x14ac:dyDescent="0.25">
      <c r="A10" s="213" t="s">
        <v>1283</v>
      </c>
      <c r="C10" s="214"/>
      <c r="D10" s="214"/>
      <c r="E10" s="214"/>
      <c r="F10" s="214"/>
      <c r="G10" s="214"/>
    </row>
    <row r="11" spans="1:7" x14ac:dyDescent="0.25">
      <c r="A11" s="213" t="s">
        <v>1284</v>
      </c>
      <c r="C11" s="215"/>
      <c r="D11" s="215"/>
      <c r="E11" s="215"/>
      <c r="F11" s="215"/>
      <c r="G11" s="215"/>
    </row>
    <row r="12" spans="1:7" x14ac:dyDescent="0.25">
      <c r="A12" s="213" t="s">
        <v>1285</v>
      </c>
      <c r="C12" s="216"/>
      <c r="D12" s="216"/>
      <c r="E12" s="216"/>
      <c r="F12" s="216"/>
      <c r="G12" s="216"/>
    </row>
    <row r="13" spans="1:7" ht="26.25" customHeight="1" x14ac:dyDescent="0.25">
      <c r="A13" s="1045" t="s">
        <v>1</v>
      </c>
      <c r="B13" s="1045" t="s">
        <v>2</v>
      </c>
      <c r="C13" s="1045" t="s">
        <v>26</v>
      </c>
      <c r="D13" s="1045" t="s">
        <v>27</v>
      </c>
      <c r="E13" s="1045" t="s">
        <v>299</v>
      </c>
      <c r="F13" s="1045" t="s">
        <v>6</v>
      </c>
      <c r="G13" s="1045" t="s">
        <v>1190</v>
      </c>
    </row>
    <row r="14" spans="1:7" ht="12.75" customHeight="1" x14ac:dyDescent="0.25">
      <c r="A14" s="1045"/>
      <c r="B14" s="1045"/>
      <c r="C14" s="1045"/>
      <c r="D14" s="1045"/>
      <c r="E14" s="1045"/>
      <c r="F14" s="1045"/>
      <c r="G14" s="1045"/>
    </row>
    <row r="15" spans="1:7" x14ac:dyDescent="0.25">
      <c r="A15" s="281"/>
      <c r="B15" s="284" t="s">
        <v>300</v>
      </c>
      <c r="C15" s="283">
        <f>C16+C24+C159+C165+C171+C218</f>
        <v>122623</v>
      </c>
      <c r="D15" s="283">
        <f>D16+D24+D159+D165+D171+D218</f>
        <v>114960.28</v>
      </c>
      <c r="E15" s="283">
        <f>E16+E24+E159+E165+E171+E218</f>
        <v>177141</v>
      </c>
      <c r="F15" s="283"/>
      <c r="G15" s="283">
        <f>G16+G24+G159+G165+G171+G218</f>
        <v>147509</v>
      </c>
    </row>
    <row r="16" spans="1:7" x14ac:dyDescent="0.25">
      <c r="A16" s="576" t="s">
        <v>310</v>
      </c>
      <c r="B16" s="229" t="s">
        <v>366</v>
      </c>
      <c r="C16" s="577">
        <f>SUM(C17:C23)</f>
        <v>842</v>
      </c>
      <c r="D16" s="577">
        <f>SUM(D17:D23)</f>
        <v>841</v>
      </c>
      <c r="E16" s="577">
        <f>SUM(E17:E23)</f>
        <v>3919</v>
      </c>
      <c r="F16" s="577"/>
      <c r="G16" s="967">
        <f>SUM(G17:G23)</f>
        <v>2679</v>
      </c>
    </row>
    <row r="17" spans="1:7" x14ac:dyDescent="0.25">
      <c r="A17" s="1181" t="s">
        <v>31</v>
      </c>
      <c r="B17" s="1182" t="s">
        <v>367</v>
      </c>
      <c r="C17" s="217">
        <v>214</v>
      </c>
      <c r="D17" s="155">
        <v>214</v>
      </c>
      <c r="E17" s="218">
        <v>214</v>
      </c>
      <c r="F17" s="219">
        <v>2314</v>
      </c>
      <c r="G17" s="157">
        <v>214</v>
      </c>
    </row>
    <row r="18" spans="1:7" x14ac:dyDescent="0.25">
      <c r="A18" s="1181"/>
      <c r="B18" s="1182"/>
      <c r="C18" s="217">
        <v>171</v>
      </c>
      <c r="D18" s="155">
        <v>170</v>
      </c>
      <c r="E18" s="218">
        <v>200</v>
      </c>
      <c r="F18" s="219">
        <v>2363</v>
      </c>
      <c r="G18" s="157">
        <v>200</v>
      </c>
    </row>
    <row r="19" spans="1:7" x14ac:dyDescent="0.25">
      <c r="A19" s="1170" t="s">
        <v>32</v>
      </c>
      <c r="B19" s="1180" t="s">
        <v>368</v>
      </c>
      <c r="C19" s="557">
        <v>264</v>
      </c>
      <c r="D19" s="155">
        <v>264</v>
      </c>
      <c r="E19" s="220">
        <v>250</v>
      </c>
      <c r="F19" s="219">
        <v>2314</v>
      </c>
      <c r="G19" s="157">
        <v>250</v>
      </c>
    </row>
    <row r="20" spans="1:7" x14ac:dyDescent="0.25">
      <c r="A20" s="1170"/>
      <c r="B20" s="1180"/>
      <c r="C20" s="557">
        <v>193</v>
      </c>
      <c r="D20" s="155">
        <v>193</v>
      </c>
      <c r="E20" s="220">
        <v>200</v>
      </c>
      <c r="F20" s="221">
        <v>2363</v>
      </c>
      <c r="G20" s="157">
        <v>200</v>
      </c>
    </row>
    <row r="21" spans="1:7" ht="12.75" x14ac:dyDescent="0.25">
      <c r="A21" s="1170" t="s">
        <v>33</v>
      </c>
      <c r="B21" s="1180" t="s">
        <v>369</v>
      </c>
      <c r="C21" s="223">
        <v>0</v>
      </c>
      <c r="D21" s="155">
        <v>0</v>
      </c>
      <c r="E21" s="224">
        <v>250</v>
      </c>
      <c r="F21" s="558">
        <v>1150</v>
      </c>
      <c r="G21" s="155">
        <v>250</v>
      </c>
    </row>
    <row r="22" spans="1:7" ht="12.75" x14ac:dyDescent="0.25">
      <c r="A22" s="1170"/>
      <c r="B22" s="1180"/>
      <c r="C22" s="223">
        <v>0</v>
      </c>
      <c r="D22" s="155">
        <v>0</v>
      </c>
      <c r="E22" s="224">
        <v>65</v>
      </c>
      <c r="F22" s="558">
        <v>1210</v>
      </c>
      <c r="G22" s="155">
        <v>65</v>
      </c>
    </row>
    <row r="23" spans="1:7" x14ac:dyDescent="0.25">
      <c r="A23" s="1170"/>
      <c r="B23" s="1180"/>
      <c r="C23" s="557">
        <v>0</v>
      </c>
      <c r="D23" s="162">
        <v>0</v>
      </c>
      <c r="E23" s="161">
        <f>240+2500</f>
        <v>2740</v>
      </c>
      <c r="F23" s="219">
        <v>2314</v>
      </c>
      <c r="G23" s="162">
        <v>1500</v>
      </c>
    </row>
    <row r="24" spans="1:7" x14ac:dyDescent="0.25">
      <c r="A24" s="576" t="s">
        <v>312</v>
      </c>
      <c r="B24" s="229" t="s">
        <v>370</v>
      </c>
      <c r="C24" s="227">
        <f>C25+C51+C72+C77+C82+C139+C154</f>
        <v>29165</v>
      </c>
      <c r="D24" s="227">
        <f>D25+D51+D72+D77+D82+D139+D154</f>
        <v>23398.28</v>
      </c>
      <c r="E24" s="227">
        <f>E25+E51+E72+E77+E82+E139+E154</f>
        <v>53947</v>
      </c>
      <c r="F24" s="227"/>
      <c r="G24" s="232">
        <f>G25+G51+G72+G77+G82+G139+G154</f>
        <v>47614</v>
      </c>
    </row>
    <row r="25" spans="1:7" x14ac:dyDescent="0.25">
      <c r="A25" s="576" t="s">
        <v>338</v>
      </c>
      <c r="B25" s="229" t="s">
        <v>997</v>
      </c>
      <c r="C25" s="227">
        <f>SUM(C26:C50)</f>
        <v>1584</v>
      </c>
      <c r="D25" s="227">
        <f>SUM(D26:D50)</f>
        <v>1582.28</v>
      </c>
      <c r="E25" s="227">
        <f>SUM(E26:E50)</f>
        <v>4388</v>
      </c>
      <c r="F25" s="227"/>
      <c r="G25" s="232">
        <f>SUM(G26:G50)</f>
        <v>3833</v>
      </c>
    </row>
    <row r="26" spans="1:7" x14ac:dyDescent="0.25">
      <c r="A26" s="1170" t="s">
        <v>1044</v>
      </c>
      <c r="B26" s="1180" t="s">
        <v>371</v>
      </c>
      <c r="C26" s="557">
        <v>0</v>
      </c>
      <c r="D26" s="225">
        <v>0</v>
      </c>
      <c r="E26" s="161">
        <v>140</v>
      </c>
      <c r="F26" s="558">
        <v>1150</v>
      </c>
      <c r="G26" s="968">
        <v>140</v>
      </c>
    </row>
    <row r="27" spans="1:7" x14ac:dyDescent="0.25">
      <c r="A27" s="1170"/>
      <c r="B27" s="1180"/>
      <c r="C27" s="557">
        <v>0</v>
      </c>
      <c r="D27" s="225">
        <v>0</v>
      </c>
      <c r="E27" s="161">
        <v>34</v>
      </c>
      <c r="F27" s="558">
        <v>1210</v>
      </c>
      <c r="G27" s="968">
        <v>34</v>
      </c>
    </row>
    <row r="28" spans="1:7" x14ac:dyDescent="0.25">
      <c r="A28" s="1170"/>
      <c r="B28" s="1180"/>
      <c r="C28" s="557">
        <v>43</v>
      </c>
      <c r="D28" s="225">
        <v>43</v>
      </c>
      <c r="E28" s="161">
        <v>50</v>
      </c>
      <c r="F28" s="558">
        <v>2363</v>
      </c>
      <c r="G28" s="968">
        <v>50</v>
      </c>
    </row>
    <row r="29" spans="1:7" x14ac:dyDescent="0.25">
      <c r="A29" s="1170"/>
      <c r="B29" s="1180"/>
      <c r="C29" s="557">
        <v>143</v>
      </c>
      <c r="D29" s="225">
        <v>143</v>
      </c>
      <c r="E29" s="161">
        <v>200</v>
      </c>
      <c r="F29" s="219">
        <v>2314</v>
      </c>
      <c r="G29" s="968">
        <v>150</v>
      </c>
    </row>
    <row r="30" spans="1:7" x14ac:dyDescent="0.25">
      <c r="A30" s="578" t="s">
        <v>1043</v>
      </c>
      <c r="B30" s="552" t="s">
        <v>372</v>
      </c>
      <c r="C30" s="557">
        <v>72</v>
      </c>
      <c r="D30" s="225">
        <v>72</v>
      </c>
      <c r="E30" s="161">
        <v>80</v>
      </c>
      <c r="F30" s="219">
        <v>2314</v>
      </c>
      <c r="G30" s="968">
        <v>80</v>
      </c>
    </row>
    <row r="31" spans="1:7" x14ac:dyDescent="0.25">
      <c r="A31" s="1170" t="s">
        <v>1042</v>
      </c>
      <c r="B31" s="1180" t="s">
        <v>373</v>
      </c>
      <c r="C31" s="557">
        <v>72</v>
      </c>
      <c r="D31" s="225">
        <v>72</v>
      </c>
      <c r="E31" s="161">
        <v>100</v>
      </c>
      <c r="F31" s="219">
        <v>2314</v>
      </c>
      <c r="G31" s="968">
        <v>80</v>
      </c>
    </row>
    <row r="32" spans="1:7" x14ac:dyDescent="0.25">
      <c r="A32" s="1170"/>
      <c r="B32" s="1180"/>
      <c r="C32" s="557">
        <v>140</v>
      </c>
      <c r="D32" s="225">
        <v>140</v>
      </c>
      <c r="E32" s="161">
        <v>140</v>
      </c>
      <c r="F32" s="558">
        <v>1150</v>
      </c>
      <c r="G32" s="968">
        <v>140</v>
      </c>
    </row>
    <row r="33" spans="1:7" x14ac:dyDescent="0.25">
      <c r="A33" s="1170"/>
      <c r="B33" s="1180"/>
      <c r="C33" s="557">
        <f>31</f>
        <v>31</v>
      </c>
      <c r="D33" s="225">
        <v>30.28</v>
      </c>
      <c r="E33" s="161">
        <v>34</v>
      </c>
      <c r="F33" s="558">
        <v>1210</v>
      </c>
      <c r="G33" s="968">
        <v>34</v>
      </c>
    </row>
    <row r="34" spans="1:7" x14ac:dyDescent="0.25">
      <c r="A34" s="1170" t="s">
        <v>374</v>
      </c>
      <c r="B34" s="1180" t="s">
        <v>375</v>
      </c>
      <c r="C34" s="557">
        <v>0</v>
      </c>
      <c r="D34" s="225">
        <v>0</v>
      </c>
      <c r="E34" s="161">
        <v>70</v>
      </c>
      <c r="F34" s="558">
        <v>2314</v>
      </c>
      <c r="G34" s="968">
        <v>35</v>
      </c>
    </row>
    <row r="35" spans="1:7" x14ac:dyDescent="0.25">
      <c r="A35" s="1170"/>
      <c r="B35" s="1180"/>
      <c r="C35" s="557">
        <v>0</v>
      </c>
      <c r="D35" s="225">
        <v>0</v>
      </c>
      <c r="E35" s="161">
        <f>500+150</f>
        <v>650</v>
      </c>
      <c r="F35" s="219">
        <v>2314</v>
      </c>
      <c r="G35" s="968">
        <v>650</v>
      </c>
    </row>
    <row r="36" spans="1:7" x14ac:dyDescent="0.25">
      <c r="A36" s="1170" t="s">
        <v>376</v>
      </c>
      <c r="B36" s="1180" t="s">
        <v>378</v>
      </c>
      <c r="C36" s="557">
        <v>0</v>
      </c>
      <c r="D36" s="225">
        <v>0</v>
      </c>
      <c r="E36" s="161">
        <v>250</v>
      </c>
      <c r="F36" s="558">
        <v>2264</v>
      </c>
      <c r="G36" s="968">
        <v>250</v>
      </c>
    </row>
    <row r="37" spans="1:7" x14ac:dyDescent="0.25">
      <c r="A37" s="1170"/>
      <c r="B37" s="1180"/>
      <c r="C37" s="557">
        <v>0</v>
      </c>
      <c r="D37" s="225">
        <v>0</v>
      </c>
      <c r="E37" s="161">
        <v>250</v>
      </c>
      <c r="F37" s="558">
        <v>2363</v>
      </c>
      <c r="G37" s="968">
        <v>250</v>
      </c>
    </row>
    <row r="38" spans="1:7" x14ac:dyDescent="0.25">
      <c r="A38" s="1170"/>
      <c r="B38" s="1180"/>
      <c r="C38" s="557">
        <v>0</v>
      </c>
      <c r="D38" s="225">
        <v>0</v>
      </c>
      <c r="E38" s="161">
        <v>300</v>
      </c>
      <c r="F38" s="219">
        <v>2314</v>
      </c>
      <c r="G38" s="968">
        <v>200</v>
      </c>
    </row>
    <row r="39" spans="1:7" x14ac:dyDescent="0.25">
      <c r="A39" s="578" t="s">
        <v>377</v>
      </c>
      <c r="B39" s="552" t="s">
        <v>380</v>
      </c>
      <c r="C39" s="557">
        <v>0</v>
      </c>
      <c r="D39" s="225">
        <v>0</v>
      </c>
      <c r="E39" s="161">
        <v>250</v>
      </c>
      <c r="F39" s="219">
        <v>2314</v>
      </c>
      <c r="G39" s="968">
        <v>250</v>
      </c>
    </row>
    <row r="40" spans="1:7" x14ac:dyDescent="0.25">
      <c r="A40" s="578" t="s">
        <v>379</v>
      </c>
      <c r="B40" s="552" t="s">
        <v>382</v>
      </c>
      <c r="C40" s="557">
        <v>0</v>
      </c>
      <c r="D40" s="225">
        <v>0</v>
      </c>
      <c r="E40" s="161">
        <v>100</v>
      </c>
      <c r="F40" s="219">
        <v>2314</v>
      </c>
      <c r="G40" s="968">
        <v>100</v>
      </c>
    </row>
    <row r="41" spans="1:7" x14ac:dyDescent="0.25">
      <c r="A41" s="1170" t="s">
        <v>381</v>
      </c>
      <c r="B41" s="1173" t="s">
        <v>385</v>
      </c>
      <c r="C41" s="557">
        <v>0</v>
      </c>
      <c r="D41" s="225">
        <v>0</v>
      </c>
      <c r="E41" s="161">
        <v>100</v>
      </c>
      <c r="F41" s="558">
        <v>2264</v>
      </c>
      <c r="G41" s="968">
        <v>100</v>
      </c>
    </row>
    <row r="42" spans="1:7" x14ac:dyDescent="0.25">
      <c r="A42" s="1170"/>
      <c r="B42" s="1173"/>
      <c r="C42" s="557">
        <v>171</v>
      </c>
      <c r="D42" s="225">
        <v>171</v>
      </c>
      <c r="E42" s="161">
        <v>250</v>
      </c>
      <c r="F42" s="219">
        <v>2314</v>
      </c>
      <c r="G42" s="968">
        <v>180</v>
      </c>
    </row>
    <row r="43" spans="1:7" x14ac:dyDescent="0.25">
      <c r="A43" s="1170" t="s">
        <v>383</v>
      </c>
      <c r="B43" s="1173" t="s">
        <v>388</v>
      </c>
      <c r="C43" s="557">
        <v>0</v>
      </c>
      <c r="D43" s="225">
        <v>0</v>
      </c>
      <c r="E43" s="161">
        <v>100</v>
      </c>
      <c r="F43" s="558">
        <v>2264</v>
      </c>
      <c r="G43" s="968">
        <v>100</v>
      </c>
    </row>
    <row r="44" spans="1:7" x14ac:dyDescent="0.25">
      <c r="A44" s="1170"/>
      <c r="B44" s="1173"/>
      <c r="C44" s="557">
        <v>114</v>
      </c>
      <c r="D44" s="225">
        <v>114</v>
      </c>
      <c r="E44" s="161">
        <v>150</v>
      </c>
      <c r="F44" s="219">
        <v>2314</v>
      </c>
      <c r="G44" s="968">
        <v>120</v>
      </c>
    </row>
    <row r="45" spans="1:7" x14ac:dyDescent="0.25">
      <c r="A45" s="578" t="s">
        <v>384</v>
      </c>
      <c r="B45" s="552" t="s">
        <v>390</v>
      </c>
      <c r="C45" s="557">
        <v>143</v>
      </c>
      <c r="D45" s="225">
        <v>143</v>
      </c>
      <c r="E45" s="220">
        <v>150</v>
      </c>
      <c r="F45" s="219">
        <v>2314</v>
      </c>
      <c r="G45" s="968">
        <v>150</v>
      </c>
    </row>
    <row r="46" spans="1:7" x14ac:dyDescent="0.25">
      <c r="A46" s="1170" t="s">
        <v>386</v>
      </c>
      <c r="B46" s="1173" t="s">
        <v>392</v>
      </c>
      <c r="C46" s="557">
        <v>0</v>
      </c>
      <c r="D46" s="225">
        <v>0</v>
      </c>
      <c r="E46" s="161">
        <v>100</v>
      </c>
      <c r="F46" s="558">
        <v>2264</v>
      </c>
      <c r="G46" s="968">
        <v>100</v>
      </c>
    </row>
    <row r="47" spans="1:7" x14ac:dyDescent="0.25">
      <c r="A47" s="1170"/>
      <c r="B47" s="1173"/>
      <c r="C47" s="557">
        <v>114</v>
      </c>
      <c r="D47" s="225">
        <v>114</v>
      </c>
      <c r="E47" s="161">
        <v>120</v>
      </c>
      <c r="F47" s="219">
        <v>2314</v>
      </c>
      <c r="G47" s="968">
        <v>120</v>
      </c>
    </row>
    <row r="48" spans="1:7" x14ac:dyDescent="0.25">
      <c r="A48" s="578" t="s">
        <v>387</v>
      </c>
      <c r="B48" s="552" t="s">
        <v>393</v>
      </c>
      <c r="C48" s="557">
        <v>114</v>
      </c>
      <c r="D48" s="225">
        <v>114</v>
      </c>
      <c r="E48" s="220">
        <v>150</v>
      </c>
      <c r="F48" s="219">
        <v>2314</v>
      </c>
      <c r="G48" s="968">
        <v>120</v>
      </c>
    </row>
    <row r="49" spans="1:7" x14ac:dyDescent="0.25">
      <c r="A49" s="910" t="s">
        <v>389</v>
      </c>
      <c r="B49" s="915" t="s">
        <v>394</v>
      </c>
      <c r="C49" s="557">
        <v>0</v>
      </c>
      <c r="D49" s="225">
        <v>0</v>
      </c>
      <c r="E49" s="220">
        <v>200</v>
      </c>
      <c r="F49" s="221">
        <v>2363</v>
      </c>
      <c r="G49" s="968">
        <v>100</v>
      </c>
    </row>
    <row r="50" spans="1:7" x14ac:dyDescent="0.25">
      <c r="A50" s="578" t="s">
        <v>391</v>
      </c>
      <c r="B50" s="552" t="s">
        <v>395</v>
      </c>
      <c r="C50" s="557">
        <v>427</v>
      </c>
      <c r="D50" s="225">
        <v>426</v>
      </c>
      <c r="E50" s="220">
        <v>420</v>
      </c>
      <c r="F50" s="219">
        <v>2314</v>
      </c>
      <c r="G50" s="968">
        <v>300</v>
      </c>
    </row>
    <row r="51" spans="1:7" x14ac:dyDescent="0.25">
      <c r="A51" s="580" t="s">
        <v>36</v>
      </c>
      <c r="B51" s="226" t="s">
        <v>396</v>
      </c>
      <c r="C51" s="227">
        <f>SUM(C52:C70)</f>
        <v>7519</v>
      </c>
      <c r="D51" s="227">
        <f>SUM(D52:D71)</f>
        <v>2423</v>
      </c>
      <c r="E51" s="227">
        <f>SUM(E52:E71)</f>
        <v>19926</v>
      </c>
      <c r="F51" s="227"/>
      <c r="G51" s="232">
        <f>SUM(G52:G71)</f>
        <v>16621</v>
      </c>
    </row>
    <row r="52" spans="1:7" x14ac:dyDescent="0.25">
      <c r="A52" s="1170" t="s">
        <v>1041</v>
      </c>
      <c r="B52" s="1173" t="s">
        <v>397</v>
      </c>
      <c r="C52" s="557">
        <v>285</v>
      </c>
      <c r="D52" s="225">
        <v>285</v>
      </c>
      <c r="E52" s="161">
        <v>500</v>
      </c>
      <c r="F52" s="558">
        <v>2363</v>
      </c>
      <c r="G52" s="968">
        <v>300</v>
      </c>
    </row>
    <row r="53" spans="1:7" x14ac:dyDescent="0.25">
      <c r="A53" s="1170"/>
      <c r="B53" s="1173"/>
      <c r="C53" s="557">
        <v>570</v>
      </c>
      <c r="D53" s="225">
        <v>570</v>
      </c>
      <c r="E53" s="161">
        <v>600</v>
      </c>
      <c r="F53" s="219">
        <v>2314</v>
      </c>
      <c r="G53" s="968">
        <v>600</v>
      </c>
    </row>
    <row r="54" spans="1:7" x14ac:dyDescent="0.25">
      <c r="A54" s="1170"/>
      <c r="B54" s="1173"/>
      <c r="C54" s="557">
        <v>214</v>
      </c>
      <c r="D54" s="225">
        <v>214</v>
      </c>
      <c r="E54" s="161">
        <v>214</v>
      </c>
      <c r="F54" s="558">
        <v>2264</v>
      </c>
      <c r="G54" s="968">
        <v>214</v>
      </c>
    </row>
    <row r="55" spans="1:7" x14ac:dyDescent="0.25">
      <c r="A55" s="1170" t="s">
        <v>398</v>
      </c>
      <c r="B55" s="1173" t="s">
        <v>400</v>
      </c>
      <c r="C55" s="557">
        <v>0</v>
      </c>
      <c r="D55" s="225">
        <v>0</v>
      </c>
      <c r="E55" s="161">
        <v>120</v>
      </c>
      <c r="F55" s="219">
        <v>2314</v>
      </c>
      <c r="G55" s="968">
        <v>115</v>
      </c>
    </row>
    <row r="56" spans="1:7" x14ac:dyDescent="0.25">
      <c r="A56" s="1170"/>
      <c r="B56" s="1173"/>
      <c r="C56" s="557">
        <v>0</v>
      </c>
      <c r="D56" s="225">
        <v>0</v>
      </c>
      <c r="E56" s="161">
        <v>150</v>
      </c>
      <c r="F56" s="558">
        <v>2363</v>
      </c>
      <c r="G56" s="968">
        <v>100</v>
      </c>
    </row>
    <row r="57" spans="1:7" ht="24" x14ac:dyDescent="0.25">
      <c r="A57" s="578" t="s">
        <v>399</v>
      </c>
      <c r="B57" s="228" t="s">
        <v>402</v>
      </c>
      <c r="C57" s="557">
        <v>72</v>
      </c>
      <c r="D57" s="225">
        <v>72</v>
      </c>
      <c r="E57" s="161">
        <v>72</v>
      </c>
      <c r="F57" s="219">
        <v>2314</v>
      </c>
      <c r="G57" s="968">
        <v>72</v>
      </c>
    </row>
    <row r="58" spans="1:7" x14ac:dyDescent="0.25">
      <c r="A58" s="1170" t="s">
        <v>401</v>
      </c>
      <c r="B58" s="1173" t="s">
        <v>404</v>
      </c>
      <c r="C58" s="557">
        <v>72</v>
      </c>
      <c r="D58" s="225">
        <v>72</v>
      </c>
      <c r="E58" s="161">
        <v>100</v>
      </c>
      <c r="F58" s="219">
        <v>2314</v>
      </c>
      <c r="G58" s="968">
        <v>100</v>
      </c>
    </row>
    <row r="59" spans="1:7" x14ac:dyDescent="0.25">
      <c r="A59" s="1170"/>
      <c r="B59" s="1173"/>
      <c r="C59" s="557">
        <v>0</v>
      </c>
      <c r="D59" s="225">
        <v>0</v>
      </c>
      <c r="E59" s="161">
        <v>350</v>
      </c>
      <c r="F59" s="558">
        <v>2322</v>
      </c>
      <c r="G59" s="968">
        <v>350</v>
      </c>
    </row>
    <row r="60" spans="1:7" x14ac:dyDescent="0.25">
      <c r="A60" s="578" t="s">
        <v>403</v>
      </c>
      <c r="B60" s="552" t="s">
        <v>407</v>
      </c>
      <c r="C60" s="557">
        <v>0</v>
      </c>
      <c r="D60" s="225">
        <v>0</v>
      </c>
      <c r="E60" s="220">
        <v>100</v>
      </c>
      <c r="F60" s="219">
        <v>2314</v>
      </c>
      <c r="G60" s="968">
        <v>100</v>
      </c>
    </row>
    <row r="61" spans="1:7" x14ac:dyDescent="0.25">
      <c r="A61" s="578" t="s">
        <v>405</v>
      </c>
      <c r="B61" s="552" t="s">
        <v>409</v>
      </c>
      <c r="C61" s="557">
        <v>100</v>
      </c>
      <c r="D61" s="225">
        <v>100</v>
      </c>
      <c r="E61" s="220">
        <v>200</v>
      </c>
      <c r="F61" s="219">
        <v>2314</v>
      </c>
      <c r="G61" s="968">
        <v>150</v>
      </c>
    </row>
    <row r="62" spans="1:7" x14ac:dyDescent="0.25">
      <c r="A62" s="578" t="s">
        <v>406</v>
      </c>
      <c r="B62" s="552" t="s">
        <v>411</v>
      </c>
      <c r="C62" s="557">
        <v>0</v>
      </c>
      <c r="D62" s="225">
        <v>0</v>
      </c>
      <c r="E62" s="220">
        <v>1500</v>
      </c>
      <c r="F62" s="219">
        <v>2314</v>
      </c>
      <c r="G62" s="968">
        <v>750</v>
      </c>
    </row>
    <row r="63" spans="1:7" x14ac:dyDescent="0.25">
      <c r="A63" s="1170" t="s">
        <v>408</v>
      </c>
      <c r="B63" s="1180" t="s">
        <v>413</v>
      </c>
      <c r="C63" s="557">
        <v>1423</v>
      </c>
      <c r="D63" s="225">
        <v>700</v>
      </c>
      <c r="E63" s="220">
        <v>1500</v>
      </c>
      <c r="F63" s="221">
        <v>2279</v>
      </c>
      <c r="G63" s="968">
        <v>1000</v>
      </c>
    </row>
    <row r="64" spans="1:7" x14ac:dyDescent="0.25">
      <c r="A64" s="1170"/>
      <c r="B64" s="1180"/>
      <c r="C64" s="557">
        <v>285</v>
      </c>
      <c r="D64" s="225">
        <v>285</v>
      </c>
      <c r="E64" s="220">
        <v>300</v>
      </c>
      <c r="F64" s="221">
        <v>2370</v>
      </c>
      <c r="G64" s="968">
        <v>300</v>
      </c>
    </row>
    <row r="65" spans="1:7" x14ac:dyDescent="0.25">
      <c r="A65" s="1170"/>
      <c r="B65" s="1180"/>
      <c r="C65" s="557">
        <v>285</v>
      </c>
      <c r="D65" s="225">
        <v>0</v>
      </c>
      <c r="E65" s="220">
        <v>300</v>
      </c>
      <c r="F65" s="219">
        <v>2314</v>
      </c>
      <c r="G65" s="968">
        <v>300</v>
      </c>
    </row>
    <row r="66" spans="1:7" x14ac:dyDescent="0.25">
      <c r="A66" s="1170"/>
      <c r="B66" s="1180"/>
      <c r="C66" s="557">
        <v>1033</v>
      </c>
      <c r="D66" s="225">
        <v>0</v>
      </c>
      <c r="E66" s="220">
        <v>1200</v>
      </c>
      <c r="F66" s="221">
        <v>2363</v>
      </c>
      <c r="G66" s="968">
        <v>1000</v>
      </c>
    </row>
    <row r="67" spans="1:7" x14ac:dyDescent="0.25">
      <c r="A67" s="1170"/>
      <c r="B67" s="1180"/>
      <c r="C67" s="557">
        <v>2562</v>
      </c>
      <c r="D67" s="225">
        <v>100</v>
      </c>
      <c r="E67" s="220">
        <v>2500</v>
      </c>
      <c r="F67" s="221">
        <v>1150</v>
      </c>
      <c r="G67" s="968">
        <v>1250</v>
      </c>
    </row>
    <row r="68" spans="1:7" x14ac:dyDescent="0.25">
      <c r="A68" s="1170"/>
      <c r="B68" s="1180"/>
      <c r="C68" s="557">
        <v>618</v>
      </c>
      <c r="D68" s="225">
        <v>25</v>
      </c>
      <c r="E68" s="220">
        <v>600</v>
      </c>
      <c r="F68" s="221">
        <v>1210</v>
      </c>
      <c r="G68" s="968">
        <v>300</v>
      </c>
    </row>
    <row r="69" spans="1:7" x14ac:dyDescent="0.25">
      <c r="A69" s="1170" t="s">
        <v>410</v>
      </c>
      <c r="B69" s="1171" t="s">
        <v>415</v>
      </c>
      <c r="C69" s="557">
        <v>0</v>
      </c>
      <c r="D69" s="225">
        <v>0</v>
      </c>
      <c r="E69" s="161">
        <v>360</v>
      </c>
      <c r="F69" s="219">
        <v>2314</v>
      </c>
      <c r="G69" s="968">
        <v>360</v>
      </c>
    </row>
    <row r="70" spans="1:7" x14ac:dyDescent="0.25">
      <c r="A70" s="1170"/>
      <c r="B70" s="1171"/>
      <c r="C70" s="557">
        <v>0</v>
      </c>
      <c r="D70" s="225">
        <v>0</v>
      </c>
      <c r="E70" s="161">
        <v>1260</v>
      </c>
      <c r="F70" s="558">
        <v>2363</v>
      </c>
      <c r="G70" s="968">
        <v>1260</v>
      </c>
    </row>
    <row r="71" spans="1:7" ht="24" x14ac:dyDescent="0.25">
      <c r="A71" s="910" t="s">
        <v>412</v>
      </c>
      <c r="B71" s="554" t="s">
        <v>417</v>
      </c>
      <c r="C71" s="557">
        <v>0</v>
      </c>
      <c r="D71" s="225">
        <v>0</v>
      </c>
      <c r="E71" s="161">
        <v>8000</v>
      </c>
      <c r="F71" s="558">
        <v>2279</v>
      </c>
      <c r="G71" s="968">
        <v>8000</v>
      </c>
    </row>
    <row r="72" spans="1:7" x14ac:dyDescent="0.25">
      <c r="A72" s="578"/>
      <c r="B72" s="229" t="s">
        <v>418</v>
      </c>
      <c r="C72" s="230">
        <f>SUM(C73:C76)</f>
        <v>0</v>
      </c>
      <c r="D72" s="230">
        <f>SUM(D73:D76)</f>
        <v>0</v>
      </c>
      <c r="E72" s="230">
        <f>SUM(E73:E76)</f>
        <v>920</v>
      </c>
      <c r="F72" s="230"/>
      <c r="G72" s="969">
        <f>SUM(G73:G76)</f>
        <v>820</v>
      </c>
    </row>
    <row r="73" spans="1:7" x14ac:dyDescent="0.25">
      <c r="A73" s="1170" t="s">
        <v>414</v>
      </c>
      <c r="B73" s="1173" t="s">
        <v>421</v>
      </c>
      <c r="C73" s="557">
        <v>0</v>
      </c>
      <c r="D73" s="225">
        <v>0</v>
      </c>
      <c r="E73" s="161">
        <v>50</v>
      </c>
      <c r="F73" s="558">
        <v>2311</v>
      </c>
      <c r="G73" s="968">
        <v>50</v>
      </c>
    </row>
    <row r="74" spans="1:7" x14ac:dyDescent="0.25">
      <c r="A74" s="1170"/>
      <c r="B74" s="1173"/>
      <c r="C74" s="557">
        <v>0</v>
      </c>
      <c r="D74" s="225">
        <v>0</v>
      </c>
      <c r="E74" s="161">
        <v>350</v>
      </c>
      <c r="F74" s="558">
        <v>2314</v>
      </c>
      <c r="G74" s="968">
        <v>250</v>
      </c>
    </row>
    <row r="75" spans="1:7" x14ac:dyDescent="0.25">
      <c r="A75" s="1170"/>
      <c r="B75" s="1173"/>
      <c r="C75" s="557">
        <v>0</v>
      </c>
      <c r="D75" s="225">
        <v>0</v>
      </c>
      <c r="E75" s="161">
        <v>420</v>
      </c>
      <c r="F75" s="558">
        <v>1150</v>
      </c>
      <c r="G75" s="968">
        <v>420</v>
      </c>
    </row>
    <row r="76" spans="1:7" x14ac:dyDescent="0.25">
      <c r="A76" s="1170"/>
      <c r="B76" s="1173"/>
      <c r="C76" s="231">
        <v>0</v>
      </c>
      <c r="D76" s="225">
        <v>0</v>
      </c>
      <c r="E76" s="231">
        <v>100</v>
      </c>
      <c r="F76" s="558">
        <v>1210</v>
      </c>
      <c r="G76" s="968">
        <v>100</v>
      </c>
    </row>
    <row r="77" spans="1:7" x14ac:dyDescent="0.25">
      <c r="A77" s="578"/>
      <c r="B77" s="229" t="s">
        <v>422</v>
      </c>
      <c r="C77" s="230">
        <f>SUM(C78:C81)</f>
        <v>2566</v>
      </c>
      <c r="D77" s="230">
        <f>SUM(D78:D81)</f>
        <v>1920</v>
      </c>
      <c r="E77" s="230">
        <f>SUM(E78:E81)</f>
        <v>2250</v>
      </c>
      <c r="F77" s="230"/>
      <c r="G77" s="969">
        <f t="shared" ref="G77" si="0">SUM(G78:G81)</f>
        <v>1550</v>
      </c>
    </row>
    <row r="78" spans="1:7" x14ac:dyDescent="0.25">
      <c r="A78" s="1170" t="s">
        <v>416</v>
      </c>
      <c r="B78" s="1171" t="s">
        <v>424</v>
      </c>
      <c r="C78" s="557">
        <v>285</v>
      </c>
      <c r="D78" s="225">
        <v>283</v>
      </c>
      <c r="E78" s="161">
        <v>150</v>
      </c>
      <c r="F78" s="219">
        <v>2314</v>
      </c>
      <c r="G78" s="968">
        <v>150</v>
      </c>
    </row>
    <row r="79" spans="1:7" x14ac:dyDescent="0.25">
      <c r="A79" s="1170"/>
      <c r="B79" s="1171"/>
      <c r="C79" s="557">
        <v>570</v>
      </c>
      <c r="D79" s="225">
        <v>569</v>
      </c>
      <c r="E79" s="161">
        <v>500</v>
      </c>
      <c r="F79" s="558">
        <v>2370</v>
      </c>
      <c r="G79" s="968">
        <v>350</v>
      </c>
    </row>
    <row r="80" spans="1:7" x14ac:dyDescent="0.25">
      <c r="A80" s="1170" t="s">
        <v>419</v>
      </c>
      <c r="B80" s="1171" t="s">
        <v>426</v>
      </c>
      <c r="C80" s="557">
        <v>997</v>
      </c>
      <c r="D80" s="225">
        <v>854</v>
      </c>
      <c r="E80" s="161">
        <v>1200</v>
      </c>
      <c r="F80" s="558">
        <v>2370</v>
      </c>
      <c r="G80" s="968">
        <v>800</v>
      </c>
    </row>
    <row r="81" spans="1:7" x14ac:dyDescent="0.25">
      <c r="A81" s="1170"/>
      <c r="B81" s="1171"/>
      <c r="C81" s="557">
        <v>714</v>
      </c>
      <c r="D81" s="225">
        <v>214</v>
      </c>
      <c r="E81" s="161">
        <v>400</v>
      </c>
      <c r="F81" s="219">
        <v>2314</v>
      </c>
      <c r="G81" s="968">
        <v>250</v>
      </c>
    </row>
    <row r="82" spans="1:7" x14ac:dyDescent="0.25">
      <c r="A82" s="578"/>
      <c r="B82" s="233" t="s">
        <v>358</v>
      </c>
      <c r="C82" s="230">
        <f>SUM(C83:C138)</f>
        <v>4083</v>
      </c>
      <c r="D82" s="230">
        <f>SUM(D83:D138)</f>
        <v>4082</v>
      </c>
      <c r="E82" s="230">
        <f>SUM(E83:E138)</f>
        <v>7484</v>
      </c>
      <c r="F82" s="230"/>
      <c r="G82" s="969">
        <f t="shared" ref="G82" si="1">SUM(G83:G138)</f>
        <v>7484</v>
      </c>
    </row>
    <row r="83" spans="1:7" x14ac:dyDescent="0.25">
      <c r="A83" s="578" t="s">
        <v>420</v>
      </c>
      <c r="B83" s="555" t="s">
        <v>428</v>
      </c>
      <c r="C83" s="557">
        <v>114</v>
      </c>
      <c r="D83" s="225">
        <v>114</v>
      </c>
      <c r="E83" s="161">
        <v>114</v>
      </c>
      <c r="F83" s="219">
        <v>2314</v>
      </c>
      <c r="G83" s="161">
        <v>114</v>
      </c>
    </row>
    <row r="84" spans="1:7" x14ac:dyDescent="0.25">
      <c r="A84" s="1170" t="s">
        <v>423</v>
      </c>
      <c r="B84" s="1177" t="s">
        <v>430</v>
      </c>
      <c r="C84" s="557">
        <v>114</v>
      </c>
      <c r="D84" s="225">
        <v>114</v>
      </c>
      <c r="E84" s="161">
        <v>114</v>
      </c>
      <c r="F84" s="219">
        <v>2314</v>
      </c>
      <c r="G84" s="161">
        <v>114</v>
      </c>
    </row>
    <row r="85" spans="1:7" x14ac:dyDescent="0.25">
      <c r="A85" s="1170"/>
      <c r="B85" s="1177"/>
      <c r="C85" s="557">
        <v>143</v>
      </c>
      <c r="D85" s="225">
        <v>143</v>
      </c>
      <c r="E85" s="161">
        <v>143</v>
      </c>
      <c r="F85" s="558">
        <v>1150</v>
      </c>
      <c r="G85" s="161">
        <v>143</v>
      </c>
    </row>
    <row r="86" spans="1:7" x14ac:dyDescent="0.25">
      <c r="A86" s="1170"/>
      <c r="B86" s="1177"/>
      <c r="C86" s="557">
        <v>36</v>
      </c>
      <c r="D86" s="225">
        <v>36</v>
      </c>
      <c r="E86" s="161">
        <v>35</v>
      </c>
      <c r="F86" s="558">
        <v>1210</v>
      </c>
      <c r="G86" s="161">
        <v>35</v>
      </c>
    </row>
    <row r="87" spans="1:7" x14ac:dyDescent="0.25">
      <c r="A87" s="578" t="s">
        <v>425</v>
      </c>
      <c r="B87" s="555" t="s">
        <v>432</v>
      </c>
      <c r="C87" s="557">
        <v>143</v>
      </c>
      <c r="D87" s="225">
        <v>143</v>
      </c>
      <c r="E87" s="161">
        <v>143</v>
      </c>
      <c r="F87" s="219">
        <v>2314</v>
      </c>
      <c r="G87" s="161">
        <v>143</v>
      </c>
    </row>
    <row r="88" spans="1:7" x14ac:dyDescent="0.25">
      <c r="A88" s="578" t="s">
        <v>427</v>
      </c>
      <c r="B88" s="555" t="s">
        <v>434</v>
      </c>
      <c r="C88" s="557">
        <v>143</v>
      </c>
      <c r="D88" s="225">
        <v>143</v>
      </c>
      <c r="E88" s="161">
        <v>143</v>
      </c>
      <c r="F88" s="219">
        <v>2314</v>
      </c>
      <c r="G88" s="161">
        <v>143</v>
      </c>
    </row>
    <row r="89" spans="1:7" x14ac:dyDescent="0.25">
      <c r="A89" s="578" t="s">
        <v>429</v>
      </c>
      <c r="B89" s="556" t="s">
        <v>436</v>
      </c>
      <c r="C89" s="557">
        <v>285</v>
      </c>
      <c r="D89" s="225">
        <v>285</v>
      </c>
      <c r="E89" s="161">
        <v>285</v>
      </c>
      <c r="F89" s="219">
        <v>2314</v>
      </c>
      <c r="G89" s="161">
        <v>285</v>
      </c>
    </row>
    <row r="90" spans="1:7" x14ac:dyDescent="0.25">
      <c r="A90" s="578" t="s">
        <v>431</v>
      </c>
      <c r="B90" s="555" t="s">
        <v>438</v>
      </c>
      <c r="C90" s="557">
        <v>114</v>
      </c>
      <c r="D90" s="225">
        <v>114</v>
      </c>
      <c r="E90" s="161">
        <v>114</v>
      </c>
      <c r="F90" s="219">
        <v>2314</v>
      </c>
      <c r="G90" s="161">
        <v>114</v>
      </c>
    </row>
    <row r="91" spans="1:7" x14ac:dyDescent="0.25">
      <c r="A91" s="578" t="s">
        <v>433</v>
      </c>
      <c r="B91" s="555" t="s">
        <v>440</v>
      </c>
      <c r="C91" s="557">
        <v>143</v>
      </c>
      <c r="D91" s="225">
        <v>143</v>
      </c>
      <c r="E91" s="161">
        <v>143</v>
      </c>
      <c r="F91" s="219">
        <v>2314</v>
      </c>
      <c r="G91" s="161">
        <v>143</v>
      </c>
    </row>
    <row r="92" spans="1:7" x14ac:dyDescent="0.25">
      <c r="A92" s="578" t="s">
        <v>435</v>
      </c>
      <c r="B92" s="555" t="s">
        <v>442</v>
      </c>
      <c r="C92" s="557">
        <v>143</v>
      </c>
      <c r="D92" s="225">
        <v>143</v>
      </c>
      <c r="E92" s="161">
        <v>143</v>
      </c>
      <c r="F92" s="219">
        <v>2314</v>
      </c>
      <c r="G92" s="161">
        <v>143</v>
      </c>
    </row>
    <row r="93" spans="1:7" x14ac:dyDescent="0.25">
      <c r="A93" s="1170" t="s">
        <v>437</v>
      </c>
      <c r="B93" s="1179" t="s">
        <v>444</v>
      </c>
      <c r="C93" s="557">
        <v>86</v>
      </c>
      <c r="D93" s="225">
        <v>86</v>
      </c>
      <c r="E93" s="161">
        <v>86</v>
      </c>
      <c r="F93" s="558">
        <v>1150</v>
      </c>
      <c r="G93" s="161">
        <v>86</v>
      </c>
    </row>
    <row r="94" spans="1:7" x14ac:dyDescent="0.25">
      <c r="A94" s="1170"/>
      <c r="B94" s="1179"/>
      <c r="C94" s="557">
        <v>20</v>
      </c>
      <c r="D94" s="225">
        <v>20</v>
      </c>
      <c r="E94" s="161">
        <v>21</v>
      </c>
      <c r="F94" s="558">
        <v>1210</v>
      </c>
      <c r="G94" s="161">
        <v>21</v>
      </c>
    </row>
    <row r="95" spans="1:7" x14ac:dyDescent="0.25">
      <c r="A95" s="1170"/>
      <c r="B95" s="1179"/>
      <c r="C95" s="557">
        <v>100</v>
      </c>
      <c r="D95" s="225">
        <v>100</v>
      </c>
      <c r="E95" s="161">
        <v>100</v>
      </c>
      <c r="F95" s="219">
        <v>2314</v>
      </c>
      <c r="G95" s="161">
        <v>100</v>
      </c>
    </row>
    <row r="96" spans="1:7" x14ac:dyDescent="0.25">
      <c r="A96" s="1170" t="s">
        <v>439</v>
      </c>
      <c r="B96" s="1179" t="s">
        <v>445</v>
      </c>
      <c r="C96" s="557">
        <v>100</v>
      </c>
      <c r="D96" s="225">
        <v>100</v>
      </c>
      <c r="E96" s="161">
        <v>236</v>
      </c>
      <c r="F96" s="558">
        <v>1150</v>
      </c>
      <c r="G96" s="968">
        <v>236</v>
      </c>
    </row>
    <row r="97" spans="1:7" x14ac:dyDescent="0.25">
      <c r="A97" s="1170"/>
      <c r="B97" s="1179"/>
      <c r="C97" s="557">
        <v>25</v>
      </c>
      <c r="D97" s="225">
        <v>24</v>
      </c>
      <c r="E97" s="161">
        <v>56</v>
      </c>
      <c r="F97" s="558">
        <v>1210</v>
      </c>
      <c r="G97" s="968">
        <v>56</v>
      </c>
    </row>
    <row r="98" spans="1:7" x14ac:dyDescent="0.25">
      <c r="A98" s="1170"/>
      <c r="B98" s="1179"/>
      <c r="C98" s="557">
        <v>143</v>
      </c>
      <c r="D98" s="225">
        <v>143</v>
      </c>
      <c r="E98" s="161">
        <v>143</v>
      </c>
      <c r="F98" s="219">
        <v>2314</v>
      </c>
      <c r="G98" s="968">
        <v>143</v>
      </c>
    </row>
    <row r="99" spans="1:7" x14ac:dyDescent="0.25">
      <c r="A99" s="1170" t="s">
        <v>441</v>
      </c>
      <c r="B99" s="1179" t="s">
        <v>447</v>
      </c>
      <c r="C99" s="557">
        <v>57</v>
      </c>
      <c r="D99" s="225">
        <v>57</v>
      </c>
      <c r="E99" s="161">
        <v>177</v>
      </c>
      <c r="F99" s="558">
        <v>1150</v>
      </c>
      <c r="G99" s="161">
        <v>177</v>
      </c>
    </row>
    <row r="100" spans="1:7" x14ac:dyDescent="0.25">
      <c r="A100" s="1170"/>
      <c r="B100" s="1179"/>
      <c r="C100" s="557">
        <v>15</v>
      </c>
      <c r="D100" s="225">
        <v>15</v>
      </c>
      <c r="E100" s="161">
        <v>42</v>
      </c>
      <c r="F100" s="558">
        <v>1210</v>
      </c>
      <c r="G100" s="161">
        <v>42</v>
      </c>
    </row>
    <row r="101" spans="1:7" x14ac:dyDescent="0.25">
      <c r="A101" s="1170"/>
      <c r="B101" s="1179"/>
      <c r="C101" s="557">
        <v>143</v>
      </c>
      <c r="D101" s="225">
        <v>143</v>
      </c>
      <c r="E101" s="161">
        <v>160</v>
      </c>
      <c r="F101" s="219">
        <v>2314</v>
      </c>
      <c r="G101" s="161">
        <v>160</v>
      </c>
    </row>
    <row r="102" spans="1:7" x14ac:dyDescent="0.25">
      <c r="A102" s="1170" t="s">
        <v>443</v>
      </c>
      <c r="B102" s="1179" t="s">
        <v>449</v>
      </c>
      <c r="C102" s="557">
        <v>57</v>
      </c>
      <c r="D102" s="225">
        <v>57</v>
      </c>
      <c r="E102" s="161">
        <v>236</v>
      </c>
      <c r="F102" s="558">
        <v>1150</v>
      </c>
      <c r="G102" s="161">
        <v>236</v>
      </c>
    </row>
    <row r="103" spans="1:7" x14ac:dyDescent="0.25">
      <c r="A103" s="1170"/>
      <c r="B103" s="1179"/>
      <c r="C103" s="557">
        <v>15</v>
      </c>
      <c r="D103" s="225">
        <v>15</v>
      </c>
      <c r="E103" s="161">
        <v>56</v>
      </c>
      <c r="F103" s="558">
        <v>1210</v>
      </c>
      <c r="G103" s="161">
        <v>56</v>
      </c>
    </row>
    <row r="104" spans="1:7" x14ac:dyDescent="0.25">
      <c r="A104" s="1170"/>
      <c r="B104" s="1179"/>
      <c r="C104" s="557">
        <v>143</v>
      </c>
      <c r="D104" s="225">
        <v>143</v>
      </c>
      <c r="E104" s="161">
        <v>143</v>
      </c>
      <c r="F104" s="219">
        <v>2314</v>
      </c>
      <c r="G104" s="161">
        <v>143</v>
      </c>
    </row>
    <row r="105" spans="1:7" x14ac:dyDescent="0.25">
      <c r="A105" s="1170" t="s">
        <v>446</v>
      </c>
      <c r="B105" s="1179" t="s">
        <v>451</v>
      </c>
      <c r="C105" s="557">
        <v>143</v>
      </c>
      <c r="D105" s="225">
        <v>143</v>
      </c>
      <c r="E105" s="161">
        <v>143</v>
      </c>
      <c r="F105" s="558">
        <v>1150</v>
      </c>
      <c r="G105" s="161">
        <v>143</v>
      </c>
    </row>
    <row r="106" spans="1:7" x14ac:dyDescent="0.25">
      <c r="A106" s="1170"/>
      <c r="B106" s="1179"/>
      <c r="C106" s="557">
        <v>36</v>
      </c>
      <c r="D106" s="225">
        <v>36</v>
      </c>
      <c r="E106" s="161">
        <v>35</v>
      </c>
      <c r="F106" s="558">
        <v>1210</v>
      </c>
      <c r="G106" s="161">
        <v>35</v>
      </c>
    </row>
    <row r="107" spans="1:7" x14ac:dyDescent="0.25">
      <c r="A107" s="1170"/>
      <c r="B107" s="1179"/>
      <c r="C107" s="557">
        <v>143</v>
      </c>
      <c r="D107" s="225">
        <v>143</v>
      </c>
      <c r="E107" s="161">
        <v>143</v>
      </c>
      <c r="F107" s="219">
        <v>2314</v>
      </c>
      <c r="G107" s="161">
        <v>143</v>
      </c>
    </row>
    <row r="108" spans="1:7" x14ac:dyDescent="0.25">
      <c r="A108" s="1170" t="s">
        <v>448</v>
      </c>
      <c r="B108" s="1179" t="s">
        <v>453</v>
      </c>
      <c r="C108" s="557">
        <v>72</v>
      </c>
      <c r="D108" s="225">
        <v>72</v>
      </c>
      <c r="E108" s="161">
        <v>72</v>
      </c>
      <c r="F108" s="558">
        <v>1150</v>
      </c>
      <c r="G108" s="161">
        <v>72</v>
      </c>
    </row>
    <row r="109" spans="1:7" x14ac:dyDescent="0.25">
      <c r="A109" s="1170"/>
      <c r="B109" s="1179"/>
      <c r="C109" s="557">
        <v>18</v>
      </c>
      <c r="D109" s="225">
        <v>18</v>
      </c>
      <c r="E109" s="161">
        <v>18</v>
      </c>
      <c r="F109" s="558">
        <v>1210</v>
      </c>
      <c r="G109" s="161">
        <v>18</v>
      </c>
    </row>
    <row r="110" spans="1:7" x14ac:dyDescent="0.25">
      <c r="A110" s="1170"/>
      <c r="B110" s="1179"/>
      <c r="C110" s="557">
        <v>100</v>
      </c>
      <c r="D110" s="225">
        <v>100</v>
      </c>
      <c r="E110" s="161">
        <v>100</v>
      </c>
      <c r="F110" s="219">
        <v>2314</v>
      </c>
      <c r="G110" s="161">
        <v>100</v>
      </c>
    </row>
    <row r="111" spans="1:7" x14ac:dyDescent="0.25">
      <c r="A111" s="1170" t="s">
        <v>450</v>
      </c>
      <c r="B111" s="1179" t="s">
        <v>455</v>
      </c>
      <c r="C111" s="557">
        <v>57</v>
      </c>
      <c r="D111" s="557">
        <v>57</v>
      </c>
      <c r="E111" s="161">
        <v>236</v>
      </c>
      <c r="F111" s="558">
        <v>1150</v>
      </c>
      <c r="G111" s="161">
        <v>236</v>
      </c>
    </row>
    <row r="112" spans="1:7" x14ac:dyDescent="0.25">
      <c r="A112" s="1170"/>
      <c r="B112" s="1179"/>
      <c r="C112" s="557">
        <v>15</v>
      </c>
      <c r="D112" s="557">
        <v>15</v>
      </c>
      <c r="E112" s="161">
        <v>56</v>
      </c>
      <c r="F112" s="558">
        <v>1210</v>
      </c>
      <c r="G112" s="161">
        <v>56</v>
      </c>
    </row>
    <row r="113" spans="1:7" x14ac:dyDescent="0.25">
      <c r="A113" s="1170"/>
      <c r="B113" s="1179"/>
      <c r="C113" s="557">
        <v>143</v>
      </c>
      <c r="D113" s="557">
        <v>143</v>
      </c>
      <c r="E113" s="161">
        <v>143</v>
      </c>
      <c r="F113" s="219">
        <v>2314</v>
      </c>
      <c r="G113" s="161">
        <v>143</v>
      </c>
    </row>
    <row r="114" spans="1:7" x14ac:dyDescent="0.25">
      <c r="A114" s="1170" t="s">
        <v>452</v>
      </c>
      <c r="B114" s="1179" t="s">
        <v>457</v>
      </c>
      <c r="C114" s="557">
        <v>100</v>
      </c>
      <c r="D114" s="557">
        <v>100</v>
      </c>
      <c r="E114" s="161">
        <v>177</v>
      </c>
      <c r="F114" s="558">
        <v>1150</v>
      </c>
      <c r="G114" s="161">
        <v>177</v>
      </c>
    </row>
    <row r="115" spans="1:7" x14ac:dyDescent="0.25">
      <c r="A115" s="1170"/>
      <c r="B115" s="1179"/>
      <c r="C115" s="557">
        <v>25</v>
      </c>
      <c r="D115" s="557">
        <v>25</v>
      </c>
      <c r="E115" s="161">
        <v>42</v>
      </c>
      <c r="F115" s="558">
        <v>1210</v>
      </c>
      <c r="G115" s="161">
        <v>42</v>
      </c>
    </row>
    <row r="116" spans="1:7" x14ac:dyDescent="0.25">
      <c r="A116" s="1170"/>
      <c r="B116" s="1179"/>
      <c r="C116" s="557">
        <v>100</v>
      </c>
      <c r="D116" s="557">
        <v>100</v>
      </c>
      <c r="E116" s="161">
        <v>100</v>
      </c>
      <c r="F116" s="219">
        <v>2314</v>
      </c>
      <c r="G116" s="161">
        <v>100</v>
      </c>
    </row>
    <row r="117" spans="1:7" x14ac:dyDescent="0.25">
      <c r="A117" s="1170" t="s">
        <v>454</v>
      </c>
      <c r="B117" s="1179" t="s">
        <v>459</v>
      </c>
      <c r="C117" s="557">
        <v>100</v>
      </c>
      <c r="D117" s="557">
        <v>100</v>
      </c>
      <c r="E117" s="161">
        <v>531</v>
      </c>
      <c r="F117" s="558">
        <v>1150</v>
      </c>
      <c r="G117" s="161">
        <v>531</v>
      </c>
    </row>
    <row r="118" spans="1:7" x14ac:dyDescent="0.25">
      <c r="A118" s="1170"/>
      <c r="B118" s="1179"/>
      <c r="C118" s="557">
        <v>25</v>
      </c>
      <c r="D118" s="557">
        <v>25</v>
      </c>
      <c r="E118" s="161">
        <v>126</v>
      </c>
      <c r="F118" s="558">
        <v>1210</v>
      </c>
      <c r="G118" s="161">
        <v>126</v>
      </c>
    </row>
    <row r="119" spans="1:7" x14ac:dyDescent="0.25">
      <c r="A119" s="1170"/>
      <c r="B119" s="1179"/>
      <c r="C119" s="557">
        <v>143</v>
      </c>
      <c r="D119" s="557">
        <v>143</v>
      </c>
      <c r="E119" s="161">
        <v>300</v>
      </c>
      <c r="F119" s="219">
        <v>2314</v>
      </c>
      <c r="G119" s="161">
        <v>300</v>
      </c>
    </row>
    <row r="120" spans="1:7" x14ac:dyDescent="0.25">
      <c r="A120" s="578" t="s">
        <v>456</v>
      </c>
      <c r="B120" s="555" t="s">
        <v>460</v>
      </c>
      <c r="C120" s="557">
        <v>129</v>
      </c>
      <c r="D120" s="557">
        <v>129</v>
      </c>
      <c r="E120" s="161">
        <v>129</v>
      </c>
      <c r="F120" s="219">
        <v>2314</v>
      </c>
      <c r="G120" s="161">
        <v>129</v>
      </c>
    </row>
    <row r="121" spans="1:7" x14ac:dyDescent="0.25">
      <c r="A121" s="1170" t="s">
        <v>458</v>
      </c>
      <c r="B121" s="1175" t="s">
        <v>461</v>
      </c>
      <c r="C121" s="557">
        <v>143</v>
      </c>
      <c r="D121" s="557">
        <v>143</v>
      </c>
      <c r="E121" s="161">
        <v>160</v>
      </c>
      <c r="F121" s="219">
        <v>2314</v>
      </c>
      <c r="G121" s="161">
        <v>160</v>
      </c>
    </row>
    <row r="122" spans="1:7" x14ac:dyDescent="0.25">
      <c r="A122" s="1170"/>
      <c r="B122" s="1175"/>
      <c r="C122" s="557">
        <v>57</v>
      </c>
      <c r="D122" s="557">
        <v>57</v>
      </c>
      <c r="E122" s="161">
        <v>177</v>
      </c>
      <c r="F122" s="558">
        <v>1150</v>
      </c>
      <c r="G122" s="161">
        <v>177</v>
      </c>
    </row>
    <row r="123" spans="1:7" x14ac:dyDescent="0.25">
      <c r="A123" s="1170"/>
      <c r="B123" s="1175"/>
      <c r="C123" s="557">
        <v>15</v>
      </c>
      <c r="D123" s="557">
        <v>15</v>
      </c>
      <c r="E123" s="161">
        <v>42</v>
      </c>
      <c r="F123" s="558">
        <v>1210</v>
      </c>
      <c r="G123" s="161">
        <v>42</v>
      </c>
    </row>
    <row r="124" spans="1:7" x14ac:dyDescent="0.25">
      <c r="A124" s="1170" t="s">
        <v>1040</v>
      </c>
      <c r="B124" s="1175" t="s">
        <v>462</v>
      </c>
      <c r="C124" s="557">
        <v>0</v>
      </c>
      <c r="D124" s="225">
        <v>0</v>
      </c>
      <c r="E124" s="161">
        <v>143</v>
      </c>
      <c r="F124" s="219">
        <v>2314</v>
      </c>
      <c r="G124" s="161">
        <v>143</v>
      </c>
    </row>
    <row r="125" spans="1:7" x14ac:dyDescent="0.25">
      <c r="A125" s="1170"/>
      <c r="B125" s="1175"/>
      <c r="C125" s="557">
        <v>0</v>
      </c>
      <c r="D125" s="225">
        <v>0</v>
      </c>
      <c r="E125" s="161">
        <v>236</v>
      </c>
      <c r="F125" s="558">
        <v>1150</v>
      </c>
      <c r="G125" s="161">
        <v>236</v>
      </c>
    </row>
    <row r="126" spans="1:7" x14ac:dyDescent="0.25">
      <c r="A126" s="1170"/>
      <c r="B126" s="1175"/>
      <c r="C126" s="557">
        <v>0</v>
      </c>
      <c r="D126" s="225">
        <v>0</v>
      </c>
      <c r="E126" s="161">
        <v>56</v>
      </c>
      <c r="F126" s="558">
        <v>1210</v>
      </c>
      <c r="G126" s="161">
        <v>56</v>
      </c>
    </row>
    <row r="127" spans="1:7" x14ac:dyDescent="0.25">
      <c r="A127" s="1170" t="s">
        <v>1039</v>
      </c>
      <c r="B127" s="1175" t="s">
        <v>463</v>
      </c>
      <c r="C127" s="557">
        <v>0</v>
      </c>
      <c r="D127" s="225">
        <v>0</v>
      </c>
      <c r="E127" s="161">
        <v>143</v>
      </c>
      <c r="F127" s="219">
        <v>2314</v>
      </c>
      <c r="G127" s="161">
        <v>143</v>
      </c>
    </row>
    <row r="128" spans="1:7" x14ac:dyDescent="0.25">
      <c r="A128" s="1170"/>
      <c r="B128" s="1175"/>
      <c r="C128" s="557">
        <v>0</v>
      </c>
      <c r="D128" s="225">
        <v>0</v>
      </c>
      <c r="E128" s="161">
        <v>236</v>
      </c>
      <c r="F128" s="558">
        <v>1150</v>
      </c>
      <c r="G128" s="161">
        <v>236</v>
      </c>
    </row>
    <row r="129" spans="1:7" x14ac:dyDescent="0.25">
      <c r="A129" s="1170"/>
      <c r="B129" s="1175"/>
      <c r="C129" s="557">
        <v>0</v>
      </c>
      <c r="D129" s="225">
        <v>0</v>
      </c>
      <c r="E129" s="161">
        <v>56</v>
      </c>
      <c r="F129" s="558">
        <v>1210</v>
      </c>
      <c r="G129" s="161">
        <v>56</v>
      </c>
    </row>
    <row r="130" spans="1:7" x14ac:dyDescent="0.25">
      <c r="A130" s="1170" t="s">
        <v>1038</v>
      </c>
      <c r="B130" s="1175" t="s">
        <v>464</v>
      </c>
      <c r="C130" s="557">
        <v>0</v>
      </c>
      <c r="D130" s="225">
        <v>0</v>
      </c>
      <c r="E130" s="161">
        <v>143</v>
      </c>
      <c r="F130" s="219">
        <v>2314</v>
      </c>
      <c r="G130" s="161">
        <v>143</v>
      </c>
    </row>
    <row r="131" spans="1:7" x14ac:dyDescent="0.25">
      <c r="A131" s="1170"/>
      <c r="B131" s="1175"/>
      <c r="C131" s="557">
        <v>0</v>
      </c>
      <c r="D131" s="225">
        <v>0</v>
      </c>
      <c r="E131" s="161">
        <v>236</v>
      </c>
      <c r="F131" s="558">
        <v>1150</v>
      </c>
      <c r="G131" s="161">
        <v>236</v>
      </c>
    </row>
    <row r="132" spans="1:7" x14ac:dyDescent="0.25">
      <c r="A132" s="1170"/>
      <c r="B132" s="1175"/>
      <c r="C132" s="557">
        <v>0</v>
      </c>
      <c r="D132" s="225">
        <v>0</v>
      </c>
      <c r="E132" s="161">
        <v>56</v>
      </c>
      <c r="F132" s="558">
        <v>1210</v>
      </c>
      <c r="G132" s="161">
        <v>56</v>
      </c>
    </row>
    <row r="133" spans="1:7" x14ac:dyDescent="0.25">
      <c r="A133" s="1170" t="s">
        <v>1037</v>
      </c>
      <c r="B133" s="1175" t="s">
        <v>465</v>
      </c>
      <c r="C133" s="557">
        <v>0</v>
      </c>
      <c r="D133" s="225">
        <v>0</v>
      </c>
      <c r="E133" s="161">
        <v>160</v>
      </c>
      <c r="F133" s="219">
        <v>2314</v>
      </c>
      <c r="G133" s="161">
        <v>160</v>
      </c>
    </row>
    <row r="134" spans="1:7" x14ac:dyDescent="0.25">
      <c r="A134" s="1170"/>
      <c r="B134" s="1175"/>
      <c r="C134" s="557">
        <v>0</v>
      </c>
      <c r="D134" s="225">
        <v>0</v>
      </c>
      <c r="E134" s="161">
        <v>177</v>
      </c>
      <c r="F134" s="558">
        <v>1150</v>
      </c>
      <c r="G134" s="161">
        <v>177</v>
      </c>
    </row>
    <row r="135" spans="1:7" x14ac:dyDescent="0.25">
      <c r="A135" s="1170"/>
      <c r="B135" s="1175"/>
      <c r="C135" s="557">
        <v>0</v>
      </c>
      <c r="D135" s="225">
        <v>0</v>
      </c>
      <c r="E135" s="161">
        <v>42</v>
      </c>
      <c r="F135" s="558">
        <v>1210</v>
      </c>
      <c r="G135" s="161">
        <v>42</v>
      </c>
    </row>
    <row r="136" spans="1:7" x14ac:dyDescent="0.25">
      <c r="A136" s="1170" t="s">
        <v>1036</v>
      </c>
      <c r="B136" s="1175" t="s">
        <v>467</v>
      </c>
      <c r="C136" s="557">
        <v>129</v>
      </c>
      <c r="D136" s="557">
        <v>129</v>
      </c>
      <c r="E136" s="161">
        <v>129</v>
      </c>
      <c r="F136" s="219">
        <v>2314</v>
      </c>
      <c r="G136" s="161">
        <v>129</v>
      </c>
    </row>
    <row r="137" spans="1:7" x14ac:dyDescent="0.25">
      <c r="A137" s="1170"/>
      <c r="B137" s="1175"/>
      <c r="C137" s="557">
        <v>86</v>
      </c>
      <c r="D137" s="557">
        <v>86</v>
      </c>
      <c r="E137" s="161">
        <v>86</v>
      </c>
      <c r="F137" s="558">
        <v>1150</v>
      </c>
      <c r="G137" s="161">
        <v>86</v>
      </c>
    </row>
    <row r="138" spans="1:7" x14ac:dyDescent="0.25">
      <c r="A138" s="1170"/>
      <c r="B138" s="1175"/>
      <c r="C138" s="557">
        <v>22</v>
      </c>
      <c r="D138" s="557">
        <v>22</v>
      </c>
      <c r="E138" s="161">
        <v>22</v>
      </c>
      <c r="F138" s="558">
        <v>1210</v>
      </c>
      <c r="G138" s="161">
        <v>22</v>
      </c>
    </row>
    <row r="139" spans="1:7" x14ac:dyDescent="0.25">
      <c r="A139" s="578"/>
      <c r="B139" s="233" t="s">
        <v>468</v>
      </c>
      <c r="C139" s="230">
        <f>SUM(C140:C153)</f>
        <v>8289</v>
      </c>
      <c r="D139" s="230">
        <f>SUM(D140:D153)</f>
        <v>8267</v>
      </c>
      <c r="E139" s="230">
        <f>SUM(E140:E153)</f>
        <v>10779</v>
      </c>
      <c r="F139" s="230"/>
      <c r="G139" s="969">
        <f>SUM(G140:G153)</f>
        <v>9106</v>
      </c>
    </row>
    <row r="140" spans="1:7" x14ac:dyDescent="0.25">
      <c r="A140" s="578" t="s">
        <v>1035</v>
      </c>
      <c r="B140" s="555" t="s">
        <v>470</v>
      </c>
      <c r="C140" s="557">
        <v>171</v>
      </c>
      <c r="D140" s="225">
        <v>171</v>
      </c>
      <c r="E140" s="161">
        <v>170</v>
      </c>
      <c r="F140" s="219">
        <v>2314</v>
      </c>
      <c r="G140" s="161">
        <v>170</v>
      </c>
    </row>
    <row r="141" spans="1:7" x14ac:dyDescent="0.25">
      <c r="A141" s="578" t="s">
        <v>466</v>
      </c>
      <c r="B141" s="555" t="s">
        <v>472</v>
      </c>
      <c r="C141" s="557">
        <v>143</v>
      </c>
      <c r="D141" s="225">
        <v>129</v>
      </c>
      <c r="E141" s="161">
        <v>143</v>
      </c>
      <c r="F141" s="219">
        <v>2314</v>
      </c>
      <c r="G141" s="161">
        <v>143</v>
      </c>
    </row>
    <row r="142" spans="1:7" x14ac:dyDescent="0.25">
      <c r="A142" s="578" t="s">
        <v>469</v>
      </c>
      <c r="B142" s="555" t="s">
        <v>474</v>
      </c>
      <c r="C142" s="557">
        <v>0</v>
      </c>
      <c r="D142" s="557">
        <v>0</v>
      </c>
      <c r="E142" s="161">
        <v>171</v>
      </c>
      <c r="F142" s="219">
        <v>2314</v>
      </c>
      <c r="G142" s="161">
        <v>171</v>
      </c>
    </row>
    <row r="143" spans="1:7" x14ac:dyDescent="0.25">
      <c r="A143" s="578" t="s">
        <v>471</v>
      </c>
      <c r="B143" s="555" t="s">
        <v>476</v>
      </c>
      <c r="C143" s="557">
        <v>143</v>
      </c>
      <c r="D143" s="557">
        <v>143</v>
      </c>
      <c r="E143" s="161">
        <v>143</v>
      </c>
      <c r="F143" s="219">
        <v>2314</v>
      </c>
      <c r="G143" s="161">
        <v>143</v>
      </c>
    </row>
    <row r="144" spans="1:7" x14ac:dyDescent="0.25">
      <c r="A144" s="578" t="s">
        <v>473</v>
      </c>
      <c r="B144" s="556" t="s">
        <v>478</v>
      </c>
      <c r="C144" s="557">
        <v>171</v>
      </c>
      <c r="D144" s="557">
        <v>169</v>
      </c>
      <c r="E144" s="161">
        <v>171</v>
      </c>
      <c r="F144" s="219">
        <v>2314</v>
      </c>
      <c r="G144" s="161">
        <v>171</v>
      </c>
    </row>
    <row r="145" spans="1:7" x14ac:dyDescent="0.25">
      <c r="A145" s="1178" t="s">
        <v>1034</v>
      </c>
      <c r="B145" s="1173" t="s">
        <v>479</v>
      </c>
      <c r="C145" s="557">
        <v>498</v>
      </c>
      <c r="D145" s="557">
        <v>498</v>
      </c>
      <c r="E145" s="161">
        <v>498</v>
      </c>
      <c r="F145" s="558">
        <v>1150</v>
      </c>
      <c r="G145" s="161">
        <v>498</v>
      </c>
    </row>
    <row r="146" spans="1:7" x14ac:dyDescent="0.25">
      <c r="A146" s="1178"/>
      <c r="B146" s="1173"/>
      <c r="C146" s="557">
        <v>118</v>
      </c>
      <c r="D146" s="557">
        <v>118</v>
      </c>
      <c r="E146" s="161">
        <v>118</v>
      </c>
      <c r="F146" s="558">
        <v>1210</v>
      </c>
      <c r="G146" s="161">
        <v>118</v>
      </c>
    </row>
    <row r="147" spans="1:7" x14ac:dyDescent="0.25">
      <c r="A147" s="1178"/>
      <c r="B147" s="1173"/>
      <c r="C147" s="557">
        <v>1197</v>
      </c>
      <c r="D147" s="225">
        <v>1197</v>
      </c>
      <c r="E147" s="161">
        <f>650+600</f>
        <v>1250</v>
      </c>
      <c r="F147" s="558">
        <v>2231</v>
      </c>
      <c r="G147" s="161">
        <v>1000</v>
      </c>
    </row>
    <row r="148" spans="1:7" x14ac:dyDescent="0.25">
      <c r="A148" s="1178"/>
      <c r="B148" s="1173"/>
      <c r="C148" s="557">
        <v>1423</v>
      </c>
      <c r="D148" s="557">
        <v>1423</v>
      </c>
      <c r="E148" s="161">
        <v>1423</v>
      </c>
      <c r="F148" s="219">
        <v>2314</v>
      </c>
      <c r="G148" s="161">
        <v>1000</v>
      </c>
    </row>
    <row r="149" spans="1:7" x14ac:dyDescent="0.25">
      <c r="A149" s="910" t="s">
        <v>475</v>
      </c>
      <c r="B149" s="915" t="s">
        <v>480</v>
      </c>
      <c r="C149" s="557">
        <v>4425</v>
      </c>
      <c r="D149" s="225">
        <v>4419</v>
      </c>
      <c r="E149" s="161">
        <v>6000</v>
      </c>
      <c r="F149" s="219">
        <v>2314</v>
      </c>
      <c r="G149" s="161">
        <v>5000</v>
      </c>
    </row>
    <row r="150" spans="1:7" x14ac:dyDescent="0.25">
      <c r="A150" s="1170" t="s">
        <v>477</v>
      </c>
      <c r="B150" s="1177" t="s">
        <v>481</v>
      </c>
      <c r="C150" s="557">
        <v>0</v>
      </c>
      <c r="D150" s="225">
        <v>0</v>
      </c>
      <c r="E150" s="161">
        <v>236</v>
      </c>
      <c r="F150" s="558">
        <v>1150</v>
      </c>
      <c r="G150" s="161">
        <v>236</v>
      </c>
    </row>
    <row r="151" spans="1:7" x14ac:dyDescent="0.25">
      <c r="A151" s="1170"/>
      <c r="B151" s="1177"/>
      <c r="C151" s="557">
        <v>0</v>
      </c>
      <c r="D151" s="225">
        <v>0</v>
      </c>
      <c r="E151" s="161">
        <v>56</v>
      </c>
      <c r="F151" s="558">
        <v>1210</v>
      </c>
      <c r="G151" s="161">
        <v>56</v>
      </c>
    </row>
    <row r="152" spans="1:7" x14ac:dyDescent="0.25">
      <c r="A152" s="1170"/>
      <c r="B152" s="1177"/>
      <c r="C152" s="557">
        <v>0</v>
      </c>
      <c r="D152" s="225">
        <v>0</v>
      </c>
      <c r="E152" s="161">
        <v>250</v>
      </c>
      <c r="F152" s="558">
        <v>2264</v>
      </c>
      <c r="G152" s="161">
        <v>250</v>
      </c>
    </row>
    <row r="153" spans="1:7" x14ac:dyDescent="0.25">
      <c r="A153" s="1170"/>
      <c r="B153" s="1177"/>
      <c r="C153" s="557">
        <v>0</v>
      </c>
      <c r="D153" s="225">
        <v>0</v>
      </c>
      <c r="E153" s="161">
        <v>150</v>
      </c>
      <c r="F153" s="219">
        <v>2314</v>
      </c>
      <c r="G153" s="161">
        <v>150</v>
      </c>
    </row>
    <row r="154" spans="1:7" x14ac:dyDescent="0.25">
      <c r="A154" s="576" t="s">
        <v>340</v>
      </c>
      <c r="B154" s="229" t="s">
        <v>482</v>
      </c>
      <c r="C154" s="227">
        <f>SUM(C155:C158)</f>
        <v>5124</v>
      </c>
      <c r="D154" s="227">
        <f>SUM(D155:D158)</f>
        <v>5124</v>
      </c>
      <c r="E154" s="227">
        <f>SUM(E155:E158)</f>
        <v>8200</v>
      </c>
      <c r="F154" s="227"/>
      <c r="G154" s="232">
        <f t="shared" ref="G154" si="2">SUM(G155:G158)</f>
        <v>8200</v>
      </c>
    </row>
    <row r="155" spans="1:7" x14ac:dyDescent="0.25">
      <c r="A155" s="578" t="s">
        <v>483</v>
      </c>
      <c r="B155" s="554" t="s">
        <v>484</v>
      </c>
      <c r="C155" s="234">
        <v>0</v>
      </c>
      <c r="D155" s="225">
        <v>0</v>
      </c>
      <c r="E155" s="161">
        <v>3000</v>
      </c>
      <c r="F155" s="219">
        <v>2314</v>
      </c>
      <c r="G155" s="968">
        <v>3000</v>
      </c>
    </row>
    <row r="156" spans="1:7" x14ac:dyDescent="0.25">
      <c r="A156" s="1178" t="s">
        <v>485</v>
      </c>
      <c r="B156" s="1173" t="s">
        <v>486</v>
      </c>
      <c r="C156" s="557">
        <v>285</v>
      </c>
      <c r="D156" s="225">
        <v>285</v>
      </c>
      <c r="E156" s="161">
        <v>300</v>
      </c>
      <c r="F156" s="558">
        <v>2264</v>
      </c>
      <c r="G156" s="968">
        <v>300</v>
      </c>
    </row>
    <row r="157" spans="1:7" x14ac:dyDescent="0.25">
      <c r="A157" s="1178"/>
      <c r="B157" s="1173"/>
      <c r="C157" s="557">
        <v>854</v>
      </c>
      <c r="D157" s="225">
        <v>854</v>
      </c>
      <c r="E157" s="161">
        <v>900</v>
      </c>
      <c r="F157" s="558">
        <v>2370</v>
      </c>
      <c r="G157" s="968">
        <v>900</v>
      </c>
    </row>
    <row r="158" spans="1:7" x14ac:dyDescent="0.25">
      <c r="A158" s="1178"/>
      <c r="B158" s="1173"/>
      <c r="C158" s="557">
        <v>3985</v>
      </c>
      <c r="D158" s="225">
        <v>3985</v>
      </c>
      <c r="E158" s="161">
        <v>4000</v>
      </c>
      <c r="F158" s="219">
        <v>2314</v>
      </c>
      <c r="G158" s="968">
        <v>4000</v>
      </c>
    </row>
    <row r="159" spans="1:7" x14ac:dyDescent="0.25">
      <c r="A159" s="576" t="s">
        <v>314</v>
      </c>
      <c r="B159" s="229" t="s">
        <v>487</v>
      </c>
      <c r="C159" s="227">
        <f>SUM(C160:C164)</f>
        <v>380</v>
      </c>
      <c r="D159" s="227">
        <f>SUM(D160:D164)</f>
        <v>380</v>
      </c>
      <c r="E159" s="227">
        <f>SUM(E160:E164)</f>
        <v>380</v>
      </c>
      <c r="F159" s="227"/>
      <c r="G159" s="232">
        <f t="shared" ref="G159" si="3">SUM(G160:G164)</f>
        <v>380</v>
      </c>
    </row>
    <row r="160" spans="1:7" x14ac:dyDescent="0.25">
      <c r="A160" s="579"/>
      <c r="B160" s="229" t="s">
        <v>418</v>
      </c>
      <c r="C160" s="236"/>
      <c r="D160" s="225"/>
      <c r="E160" s="235"/>
      <c r="F160" s="232"/>
      <c r="G160" s="968"/>
    </row>
    <row r="161" spans="1:7" x14ac:dyDescent="0.25">
      <c r="A161" s="578" t="s">
        <v>37</v>
      </c>
      <c r="B161" s="554" t="s">
        <v>488</v>
      </c>
      <c r="C161" s="557">
        <v>72</v>
      </c>
      <c r="D161" s="225">
        <v>72</v>
      </c>
      <c r="E161" s="220">
        <v>72</v>
      </c>
      <c r="F161" s="219">
        <v>2314</v>
      </c>
      <c r="G161" s="220">
        <v>72</v>
      </c>
    </row>
    <row r="162" spans="1:7" x14ac:dyDescent="0.25">
      <c r="A162" s="578" t="s">
        <v>38</v>
      </c>
      <c r="B162" s="554" t="s">
        <v>489</v>
      </c>
      <c r="C162" s="557">
        <v>72</v>
      </c>
      <c r="D162" s="225">
        <v>72</v>
      </c>
      <c r="E162" s="220">
        <v>72</v>
      </c>
      <c r="F162" s="219">
        <v>2314</v>
      </c>
      <c r="G162" s="220">
        <v>72</v>
      </c>
    </row>
    <row r="163" spans="1:7" x14ac:dyDescent="0.25">
      <c r="A163" s="578" t="s">
        <v>39</v>
      </c>
      <c r="B163" s="554" t="s">
        <v>490</v>
      </c>
      <c r="C163" s="557">
        <v>107</v>
      </c>
      <c r="D163" s="225">
        <v>107</v>
      </c>
      <c r="E163" s="220">
        <v>107</v>
      </c>
      <c r="F163" s="219">
        <v>2314</v>
      </c>
      <c r="G163" s="220">
        <v>107</v>
      </c>
    </row>
    <row r="164" spans="1:7" x14ac:dyDescent="0.25">
      <c r="A164" s="578" t="s">
        <v>40</v>
      </c>
      <c r="B164" s="554" t="s">
        <v>491</v>
      </c>
      <c r="C164" s="557">
        <v>129</v>
      </c>
      <c r="D164" s="225">
        <v>129</v>
      </c>
      <c r="E164" s="220">
        <v>129</v>
      </c>
      <c r="F164" s="219">
        <v>2314</v>
      </c>
      <c r="G164" s="220">
        <v>129</v>
      </c>
    </row>
    <row r="165" spans="1:7" x14ac:dyDescent="0.25">
      <c r="A165" s="576" t="s">
        <v>316</v>
      </c>
      <c r="B165" s="229" t="s">
        <v>492</v>
      </c>
      <c r="C165" s="227">
        <f>SUM(C166:C170)</f>
        <v>401</v>
      </c>
      <c r="D165" s="227">
        <f>SUM(D166:D170)</f>
        <v>401</v>
      </c>
      <c r="E165" s="227">
        <f>SUM(E166:E170)</f>
        <v>401</v>
      </c>
      <c r="F165" s="227"/>
      <c r="G165" s="232">
        <f t="shared" ref="G165" si="4">SUM(G166:G170)</f>
        <v>401</v>
      </c>
    </row>
    <row r="166" spans="1:7" x14ac:dyDescent="0.25">
      <c r="A166" s="579"/>
      <c r="B166" s="229" t="s">
        <v>418</v>
      </c>
      <c r="C166" s="236"/>
      <c r="D166" s="225"/>
      <c r="E166" s="235"/>
      <c r="F166" s="232"/>
      <c r="G166" s="968"/>
    </row>
    <row r="167" spans="1:7" x14ac:dyDescent="0.25">
      <c r="A167" s="578" t="s">
        <v>42</v>
      </c>
      <c r="B167" s="554" t="s">
        <v>493</v>
      </c>
      <c r="C167" s="557">
        <v>200</v>
      </c>
      <c r="D167" s="557">
        <v>200</v>
      </c>
      <c r="E167" s="220">
        <v>200</v>
      </c>
      <c r="F167" s="219">
        <v>2314</v>
      </c>
      <c r="G167" s="220">
        <v>200</v>
      </c>
    </row>
    <row r="168" spans="1:7" x14ac:dyDescent="0.25">
      <c r="A168" s="578" t="s">
        <v>43</v>
      </c>
      <c r="B168" s="554" t="s">
        <v>494</v>
      </c>
      <c r="C168" s="557">
        <v>72</v>
      </c>
      <c r="D168" s="557">
        <v>72</v>
      </c>
      <c r="E168" s="220">
        <v>72</v>
      </c>
      <c r="F168" s="219">
        <v>2314</v>
      </c>
      <c r="G168" s="220">
        <v>72</v>
      </c>
    </row>
    <row r="169" spans="1:7" x14ac:dyDescent="0.25">
      <c r="A169" s="578" t="s">
        <v>44</v>
      </c>
      <c r="B169" s="554" t="s">
        <v>495</v>
      </c>
      <c r="C169" s="557">
        <v>72</v>
      </c>
      <c r="D169" s="557">
        <v>72</v>
      </c>
      <c r="E169" s="220">
        <v>72</v>
      </c>
      <c r="F169" s="219">
        <v>2314</v>
      </c>
      <c r="G169" s="220">
        <v>72</v>
      </c>
    </row>
    <row r="170" spans="1:7" x14ac:dyDescent="0.25">
      <c r="A170" s="578" t="s">
        <v>45</v>
      </c>
      <c r="B170" s="554" t="s">
        <v>496</v>
      </c>
      <c r="C170" s="557">
        <v>57</v>
      </c>
      <c r="D170" s="557">
        <v>57</v>
      </c>
      <c r="E170" s="220">
        <v>57</v>
      </c>
      <c r="F170" s="219">
        <v>2314</v>
      </c>
      <c r="G170" s="220">
        <v>57</v>
      </c>
    </row>
    <row r="171" spans="1:7" x14ac:dyDescent="0.25">
      <c r="A171" s="576" t="s">
        <v>329</v>
      </c>
      <c r="B171" s="229" t="s">
        <v>497</v>
      </c>
      <c r="C171" s="227">
        <f>SUM(C172:C217)</f>
        <v>74898</v>
      </c>
      <c r="D171" s="227">
        <f>SUM(D172:D217)</f>
        <v>74898</v>
      </c>
      <c r="E171" s="227">
        <f>SUM(E172:E217)</f>
        <v>76269</v>
      </c>
      <c r="F171" s="227"/>
      <c r="G171" s="232">
        <f>SUM(G172:G217)</f>
        <v>66938</v>
      </c>
    </row>
    <row r="172" spans="1:7" x14ac:dyDescent="0.25">
      <c r="A172" s="910" t="s">
        <v>47</v>
      </c>
      <c r="B172" s="915" t="s">
        <v>498</v>
      </c>
      <c r="C172" s="557">
        <v>0</v>
      </c>
      <c r="D172" s="557">
        <v>0</v>
      </c>
      <c r="E172" s="161">
        <v>300</v>
      </c>
      <c r="F172" s="558">
        <v>2262</v>
      </c>
      <c r="G172" s="161">
        <v>300</v>
      </c>
    </row>
    <row r="173" spans="1:7" x14ac:dyDescent="0.25">
      <c r="A173" s="581" t="s">
        <v>48</v>
      </c>
      <c r="B173" s="228" t="s">
        <v>500</v>
      </c>
      <c r="C173" s="557">
        <v>0</v>
      </c>
      <c r="D173" s="557">
        <v>0</v>
      </c>
      <c r="E173" s="161">
        <v>300</v>
      </c>
      <c r="F173" s="558">
        <v>2262</v>
      </c>
      <c r="G173" s="161">
        <v>300</v>
      </c>
    </row>
    <row r="174" spans="1:7" x14ac:dyDescent="0.25">
      <c r="A174" s="581" t="s">
        <v>49</v>
      </c>
      <c r="B174" s="553" t="s">
        <v>502</v>
      </c>
      <c r="C174" s="557">
        <v>0</v>
      </c>
      <c r="D174" s="557">
        <v>0</v>
      </c>
      <c r="E174" s="161">
        <v>300</v>
      </c>
      <c r="F174" s="558">
        <v>2262</v>
      </c>
      <c r="G174" s="161">
        <v>300</v>
      </c>
    </row>
    <row r="175" spans="1:7" x14ac:dyDescent="0.25">
      <c r="A175" s="1174" t="s">
        <v>50</v>
      </c>
      <c r="B175" s="1173" t="s">
        <v>505</v>
      </c>
      <c r="C175" s="557">
        <v>0</v>
      </c>
      <c r="D175" s="557">
        <v>0</v>
      </c>
      <c r="E175" s="161">
        <v>120</v>
      </c>
      <c r="F175" s="219">
        <v>2314</v>
      </c>
      <c r="G175" s="968">
        <v>120</v>
      </c>
    </row>
    <row r="176" spans="1:7" x14ac:dyDescent="0.25">
      <c r="A176" s="1174"/>
      <c r="B176" s="1173"/>
      <c r="C176" s="557">
        <v>0</v>
      </c>
      <c r="D176" s="557">
        <v>0</v>
      </c>
      <c r="E176" s="161">
        <v>50</v>
      </c>
      <c r="F176" s="558">
        <v>2363</v>
      </c>
      <c r="G176" s="968">
        <v>50</v>
      </c>
    </row>
    <row r="177" spans="1:7" x14ac:dyDescent="0.25">
      <c r="A177" s="913" t="s">
        <v>499</v>
      </c>
      <c r="B177" s="912" t="s">
        <v>508</v>
      </c>
      <c r="C177" s="557">
        <v>0</v>
      </c>
      <c r="D177" s="557">
        <v>0</v>
      </c>
      <c r="E177" s="161">
        <v>100</v>
      </c>
      <c r="F177" s="558">
        <v>2279</v>
      </c>
      <c r="G177" s="968">
        <v>300</v>
      </c>
    </row>
    <row r="178" spans="1:7" x14ac:dyDescent="0.25">
      <c r="A178" s="1174" t="s">
        <v>501</v>
      </c>
      <c r="B178" s="1175" t="s">
        <v>510</v>
      </c>
      <c r="C178" s="557">
        <v>0</v>
      </c>
      <c r="D178" s="225">
        <v>0</v>
      </c>
      <c r="E178" s="235">
        <v>90</v>
      </c>
      <c r="F178" s="232">
        <v>2279</v>
      </c>
      <c r="G178" s="968">
        <v>90</v>
      </c>
    </row>
    <row r="179" spans="1:7" ht="12.75" customHeight="1" x14ac:dyDescent="0.25">
      <c r="A179" s="1174"/>
      <c r="B179" s="1175"/>
      <c r="C179" s="557">
        <v>0</v>
      </c>
      <c r="D179" s="225">
        <v>0</v>
      </c>
      <c r="E179" s="235">
        <v>140</v>
      </c>
      <c r="F179" s="232">
        <v>2279</v>
      </c>
      <c r="G179" s="968">
        <v>140</v>
      </c>
    </row>
    <row r="180" spans="1:7" ht="12.75" customHeight="1" x14ac:dyDescent="0.25">
      <c r="A180" s="1174"/>
      <c r="B180" s="1175"/>
      <c r="C180" s="557">
        <v>0</v>
      </c>
      <c r="D180" s="225">
        <v>0</v>
      </c>
      <c r="E180" s="235">
        <v>40</v>
      </c>
      <c r="F180" s="232">
        <v>2322</v>
      </c>
      <c r="G180" s="968">
        <v>40</v>
      </c>
    </row>
    <row r="181" spans="1:7" ht="12.75" customHeight="1" x14ac:dyDescent="0.25">
      <c r="A181" s="1174"/>
      <c r="B181" s="1175"/>
      <c r="C181" s="557">
        <v>0</v>
      </c>
      <c r="D181" s="225">
        <v>0</v>
      </c>
      <c r="E181" s="235">
        <v>150</v>
      </c>
      <c r="F181" s="232">
        <v>2370</v>
      </c>
      <c r="G181" s="968">
        <v>150</v>
      </c>
    </row>
    <row r="182" spans="1:7" x14ac:dyDescent="0.25">
      <c r="A182" s="1174" t="s">
        <v>503</v>
      </c>
      <c r="B182" s="1175" t="s">
        <v>512</v>
      </c>
      <c r="C182" s="557">
        <v>0</v>
      </c>
      <c r="D182" s="225">
        <v>0</v>
      </c>
      <c r="E182" s="235">
        <f>855+3150</f>
        <v>4005</v>
      </c>
      <c r="F182" s="232">
        <v>1150</v>
      </c>
      <c r="G182" s="968">
        <v>3000</v>
      </c>
    </row>
    <row r="183" spans="1:7" ht="12.75" customHeight="1" x14ac:dyDescent="0.25">
      <c r="A183" s="1174"/>
      <c r="B183" s="1175"/>
      <c r="C183" s="557">
        <v>0</v>
      </c>
      <c r="D183" s="225">
        <v>0</v>
      </c>
      <c r="E183" s="235">
        <f>202+744</f>
        <v>946</v>
      </c>
      <c r="F183" s="232">
        <v>1210</v>
      </c>
      <c r="G183" s="968">
        <v>709</v>
      </c>
    </row>
    <row r="184" spans="1:7" x14ac:dyDescent="0.25">
      <c r="A184" s="1174"/>
      <c r="B184" s="1175"/>
      <c r="C184" s="557">
        <v>0</v>
      </c>
      <c r="D184" s="225">
        <v>0</v>
      </c>
      <c r="E184" s="235">
        <v>26000</v>
      </c>
      <c r="F184" s="232">
        <v>2262</v>
      </c>
      <c r="G184" s="968">
        <v>26000</v>
      </c>
    </row>
    <row r="185" spans="1:7" x14ac:dyDescent="0.25">
      <c r="A185" s="1174"/>
      <c r="B185" s="1175"/>
      <c r="C185" s="557">
        <v>0</v>
      </c>
      <c r="D185" s="225">
        <v>0</v>
      </c>
      <c r="E185" s="235">
        <v>1300</v>
      </c>
      <c r="F185" s="232">
        <v>2314</v>
      </c>
      <c r="G185" s="968">
        <v>1000</v>
      </c>
    </row>
    <row r="186" spans="1:7" x14ac:dyDescent="0.25">
      <c r="A186" s="1174"/>
      <c r="B186" s="1175"/>
      <c r="C186" s="557">
        <v>0</v>
      </c>
      <c r="D186" s="225">
        <v>0</v>
      </c>
      <c r="E186" s="235">
        <v>60</v>
      </c>
      <c r="F186" s="232">
        <v>2311</v>
      </c>
      <c r="G186" s="968">
        <v>60</v>
      </c>
    </row>
    <row r="187" spans="1:7" x14ac:dyDescent="0.25">
      <c r="A187" s="1174"/>
      <c r="B187" s="1175"/>
      <c r="C187" s="557">
        <v>0</v>
      </c>
      <c r="D187" s="225">
        <v>0</v>
      </c>
      <c r="E187" s="235">
        <v>150</v>
      </c>
      <c r="F187" s="232">
        <v>2341</v>
      </c>
      <c r="G187" s="968">
        <v>150</v>
      </c>
    </row>
    <row r="188" spans="1:7" ht="12.75" customHeight="1" x14ac:dyDescent="0.25">
      <c r="A188" s="1174"/>
      <c r="B188" s="1175"/>
      <c r="C188" s="557">
        <v>0</v>
      </c>
      <c r="D188" s="225">
        <v>0</v>
      </c>
      <c r="E188" s="235">
        <v>300</v>
      </c>
      <c r="F188" s="232">
        <v>2352</v>
      </c>
      <c r="G188" s="968">
        <v>200</v>
      </c>
    </row>
    <row r="189" spans="1:7" x14ac:dyDescent="0.25">
      <c r="A189" s="1174"/>
      <c r="B189" s="1175"/>
      <c r="C189" s="557">
        <v>0</v>
      </c>
      <c r="D189" s="225">
        <v>0</v>
      </c>
      <c r="E189" s="235">
        <v>200</v>
      </c>
      <c r="F189" s="232">
        <v>2361</v>
      </c>
      <c r="G189" s="968">
        <v>200</v>
      </c>
    </row>
    <row r="190" spans="1:7" x14ac:dyDescent="0.25">
      <c r="A190" s="1174"/>
      <c r="B190" s="1175"/>
      <c r="C190" s="557">
        <v>0</v>
      </c>
      <c r="D190" s="225">
        <v>0</v>
      </c>
      <c r="E190" s="235">
        <v>9600</v>
      </c>
      <c r="F190" s="232">
        <v>2363</v>
      </c>
      <c r="G190" s="968">
        <v>9600</v>
      </c>
    </row>
    <row r="191" spans="1:7" x14ac:dyDescent="0.25">
      <c r="A191" s="1174"/>
      <c r="B191" s="1175"/>
      <c r="C191" s="557">
        <v>0</v>
      </c>
      <c r="D191" s="225">
        <v>0</v>
      </c>
      <c r="E191" s="235">
        <f>300+1200+7500</f>
        <v>9000</v>
      </c>
      <c r="F191" s="219">
        <v>2314</v>
      </c>
      <c r="G191" s="968">
        <v>6000</v>
      </c>
    </row>
    <row r="192" spans="1:7" ht="24" x14ac:dyDescent="0.25">
      <c r="A192" s="581" t="s">
        <v>504</v>
      </c>
      <c r="B192" s="228" t="s">
        <v>514</v>
      </c>
      <c r="C192" s="557">
        <v>59959</v>
      </c>
      <c r="D192" s="225">
        <v>59959</v>
      </c>
      <c r="E192" s="161">
        <v>700</v>
      </c>
      <c r="F192" s="558">
        <v>2361</v>
      </c>
      <c r="G192" s="968">
        <v>700</v>
      </c>
    </row>
    <row r="193" spans="1:7" x14ac:dyDescent="0.25">
      <c r="A193" s="579"/>
      <c r="B193" s="229" t="s">
        <v>418</v>
      </c>
      <c r="C193" s="236"/>
      <c r="D193" s="225"/>
      <c r="E193" s="235"/>
      <c r="F193" s="232"/>
      <c r="G193" s="968"/>
    </row>
    <row r="194" spans="1:7" x14ac:dyDescent="0.25">
      <c r="A194" s="581" t="s">
        <v>506</v>
      </c>
      <c r="B194" s="553" t="s">
        <v>516</v>
      </c>
      <c r="C194" s="557">
        <v>143</v>
      </c>
      <c r="D194" s="225">
        <v>143</v>
      </c>
      <c r="E194" s="161">
        <v>143</v>
      </c>
      <c r="F194" s="219">
        <v>2314</v>
      </c>
      <c r="G194" s="968">
        <v>143</v>
      </c>
    </row>
    <row r="195" spans="1:7" x14ac:dyDescent="0.25">
      <c r="A195" s="579"/>
      <c r="B195" s="233" t="s">
        <v>422</v>
      </c>
      <c r="C195" s="236"/>
      <c r="D195" s="225"/>
      <c r="E195" s="235"/>
      <c r="F195" s="232"/>
      <c r="G195" s="968"/>
    </row>
    <row r="196" spans="1:7" x14ac:dyDescent="0.25">
      <c r="A196" s="1170" t="s">
        <v>507</v>
      </c>
      <c r="B196" s="1176" t="s">
        <v>519</v>
      </c>
      <c r="C196" s="557">
        <v>0</v>
      </c>
      <c r="D196" s="225">
        <v>0</v>
      </c>
      <c r="E196" s="161">
        <v>1200</v>
      </c>
      <c r="F196" s="558">
        <v>1150</v>
      </c>
      <c r="G196" s="968">
        <v>800</v>
      </c>
    </row>
    <row r="197" spans="1:7" x14ac:dyDescent="0.25">
      <c r="A197" s="1170"/>
      <c r="B197" s="1176"/>
      <c r="C197" s="557">
        <v>0</v>
      </c>
      <c r="D197" s="225">
        <v>0</v>
      </c>
      <c r="E197" s="161">
        <v>143</v>
      </c>
      <c r="F197" s="558">
        <v>2219</v>
      </c>
      <c r="G197" s="968">
        <v>143</v>
      </c>
    </row>
    <row r="198" spans="1:7" x14ac:dyDescent="0.25">
      <c r="A198" s="1170"/>
      <c r="B198" s="1176"/>
      <c r="C198" s="557">
        <v>0</v>
      </c>
      <c r="D198" s="225">
        <v>0</v>
      </c>
      <c r="E198" s="161">
        <v>150</v>
      </c>
      <c r="F198" s="558">
        <v>2279</v>
      </c>
      <c r="G198" s="968">
        <v>100</v>
      </c>
    </row>
    <row r="199" spans="1:7" x14ac:dyDescent="0.25">
      <c r="A199" s="1170"/>
      <c r="B199" s="1176"/>
      <c r="C199" s="557">
        <v>0</v>
      </c>
      <c r="D199" s="225">
        <v>0</v>
      </c>
      <c r="E199" s="161">
        <v>240</v>
      </c>
      <c r="F199" s="558">
        <v>2311</v>
      </c>
      <c r="G199" s="968">
        <v>240</v>
      </c>
    </row>
    <row r="200" spans="1:7" x14ac:dyDescent="0.25">
      <c r="A200" s="1170"/>
      <c r="B200" s="1176"/>
      <c r="C200" s="557">
        <v>639</v>
      </c>
      <c r="D200" s="225">
        <v>639</v>
      </c>
      <c r="E200" s="161">
        <f>1139+2000+200</f>
        <v>3339</v>
      </c>
      <c r="F200" s="219">
        <v>2314</v>
      </c>
      <c r="G200" s="968">
        <v>2000</v>
      </c>
    </row>
    <row r="201" spans="1:7" x14ac:dyDescent="0.25">
      <c r="A201" s="579"/>
      <c r="B201" s="233" t="s">
        <v>520</v>
      </c>
      <c r="C201" s="236"/>
      <c r="D201" s="225"/>
      <c r="E201" s="161"/>
      <c r="F201" s="558"/>
      <c r="G201" s="968"/>
    </row>
    <row r="202" spans="1:7" x14ac:dyDescent="0.25">
      <c r="A202" s="1170" t="s">
        <v>509</v>
      </c>
      <c r="B202" s="1171" t="s">
        <v>522</v>
      </c>
      <c r="C202" s="557">
        <f>4269+2731</f>
        <v>7000</v>
      </c>
      <c r="D202" s="557">
        <f>4269+2731</f>
        <v>7000</v>
      </c>
      <c r="E202" s="161">
        <v>7000</v>
      </c>
      <c r="F202" s="558">
        <v>1150</v>
      </c>
      <c r="G202" s="968">
        <v>5000</v>
      </c>
    </row>
    <row r="203" spans="1:7" x14ac:dyDescent="0.25">
      <c r="A203" s="1170"/>
      <c r="B203" s="1171"/>
      <c r="C203" s="557">
        <v>427</v>
      </c>
      <c r="D203" s="557">
        <v>427</v>
      </c>
      <c r="E203" s="161">
        <v>500</v>
      </c>
      <c r="F203" s="558">
        <v>2243</v>
      </c>
      <c r="G203" s="968">
        <v>500</v>
      </c>
    </row>
    <row r="204" spans="1:7" x14ac:dyDescent="0.25">
      <c r="A204" s="1170"/>
      <c r="B204" s="1171"/>
      <c r="C204" s="557">
        <v>0</v>
      </c>
      <c r="D204" s="557">
        <v>0</v>
      </c>
      <c r="E204" s="161">
        <v>1000</v>
      </c>
      <c r="F204" s="558">
        <v>2279</v>
      </c>
      <c r="G204" s="968">
        <v>1000</v>
      </c>
    </row>
    <row r="205" spans="1:7" x14ac:dyDescent="0.25">
      <c r="A205" s="1170"/>
      <c r="B205" s="1171"/>
      <c r="C205" s="557">
        <v>0</v>
      </c>
      <c r="D205" s="557">
        <v>0</v>
      </c>
      <c r="E205" s="161">
        <v>1000</v>
      </c>
      <c r="F205" s="558">
        <v>2231</v>
      </c>
      <c r="G205" s="968">
        <v>1000</v>
      </c>
    </row>
    <row r="206" spans="1:7" x14ac:dyDescent="0.25">
      <c r="A206" s="1170"/>
      <c r="B206" s="1171"/>
      <c r="C206" s="557">
        <f>720</f>
        <v>720</v>
      </c>
      <c r="D206" s="557">
        <f>720</f>
        <v>720</v>
      </c>
      <c r="E206" s="161">
        <v>720</v>
      </c>
      <c r="F206" s="219">
        <v>2314</v>
      </c>
      <c r="G206" s="968">
        <v>720</v>
      </c>
    </row>
    <row r="207" spans="1:7" x14ac:dyDescent="0.25">
      <c r="A207" s="1170"/>
      <c r="B207" s="1171"/>
      <c r="C207" s="557">
        <v>4269</v>
      </c>
      <c r="D207" s="557">
        <v>4269</v>
      </c>
      <c r="E207" s="161">
        <v>5000</v>
      </c>
      <c r="F207" s="558">
        <v>6422</v>
      </c>
      <c r="G207" s="968">
        <v>4000</v>
      </c>
    </row>
    <row r="208" spans="1:7" x14ac:dyDescent="0.25">
      <c r="A208" s="1170" t="s">
        <v>511</v>
      </c>
      <c r="B208" s="1171" t="s">
        <v>524</v>
      </c>
      <c r="C208" s="557">
        <v>171</v>
      </c>
      <c r="D208" s="557">
        <v>171</v>
      </c>
      <c r="E208" s="161">
        <v>200</v>
      </c>
      <c r="F208" s="219">
        <v>2314</v>
      </c>
      <c r="G208" s="968">
        <v>200</v>
      </c>
    </row>
    <row r="209" spans="1:7" x14ac:dyDescent="0.25">
      <c r="A209" s="1170"/>
      <c r="B209" s="1171"/>
      <c r="C209" s="557">
        <v>214</v>
      </c>
      <c r="D209" s="557">
        <v>214</v>
      </c>
      <c r="E209" s="161">
        <v>240</v>
      </c>
      <c r="F209" s="558">
        <v>1150</v>
      </c>
      <c r="G209" s="968">
        <v>240</v>
      </c>
    </row>
    <row r="210" spans="1:7" x14ac:dyDescent="0.25">
      <c r="A210" s="1170"/>
      <c r="B210" s="1171"/>
      <c r="C210" s="557">
        <v>72</v>
      </c>
      <c r="D210" s="557">
        <v>72</v>
      </c>
      <c r="E210" s="161">
        <v>100</v>
      </c>
      <c r="F210" s="558">
        <v>2314</v>
      </c>
      <c r="G210" s="968">
        <v>100</v>
      </c>
    </row>
    <row r="211" spans="1:7" ht="24" x14ac:dyDescent="0.25">
      <c r="A211" s="579" t="s">
        <v>513</v>
      </c>
      <c r="B211" s="556" t="s">
        <v>525</v>
      </c>
      <c r="C211" s="557">
        <v>484</v>
      </c>
      <c r="D211" s="225">
        <v>484</v>
      </c>
      <c r="E211" s="161">
        <v>500</v>
      </c>
      <c r="F211" s="558">
        <v>2314</v>
      </c>
      <c r="G211" s="968">
        <v>400</v>
      </c>
    </row>
    <row r="212" spans="1:7" x14ac:dyDescent="0.25">
      <c r="A212" s="579"/>
      <c r="B212" s="233" t="s">
        <v>0</v>
      </c>
      <c r="C212" s="236"/>
      <c r="D212" s="225"/>
      <c r="E212" s="235"/>
      <c r="F212" s="232"/>
      <c r="G212" s="968"/>
    </row>
    <row r="213" spans="1:7" x14ac:dyDescent="0.25">
      <c r="A213" s="579" t="s">
        <v>515</v>
      </c>
      <c r="B213" s="555" t="s">
        <v>526</v>
      </c>
      <c r="C213" s="557">
        <v>143</v>
      </c>
      <c r="D213" s="557">
        <v>143</v>
      </c>
      <c r="E213" s="220">
        <v>143</v>
      </c>
      <c r="F213" s="219">
        <v>2314</v>
      </c>
      <c r="G213" s="220">
        <v>143</v>
      </c>
    </row>
    <row r="214" spans="1:7" x14ac:dyDescent="0.25">
      <c r="A214" s="579" t="s">
        <v>517</v>
      </c>
      <c r="B214" s="555" t="s">
        <v>527</v>
      </c>
      <c r="C214" s="557">
        <v>143</v>
      </c>
      <c r="D214" s="557">
        <v>143</v>
      </c>
      <c r="E214" s="220">
        <v>143</v>
      </c>
      <c r="F214" s="219">
        <v>2314</v>
      </c>
      <c r="G214" s="220">
        <v>143</v>
      </c>
    </row>
    <row r="215" spans="1:7" x14ac:dyDescent="0.25">
      <c r="A215" s="579" t="s">
        <v>518</v>
      </c>
      <c r="B215" s="555" t="s">
        <v>528</v>
      </c>
      <c r="C215" s="557">
        <v>0</v>
      </c>
      <c r="D215" s="225">
        <v>0</v>
      </c>
      <c r="E215" s="220">
        <v>143</v>
      </c>
      <c r="F215" s="219">
        <v>2314</v>
      </c>
      <c r="G215" s="220">
        <v>143</v>
      </c>
    </row>
    <row r="216" spans="1:7" x14ac:dyDescent="0.25">
      <c r="A216" s="579" t="s">
        <v>521</v>
      </c>
      <c r="B216" s="555" t="s">
        <v>529</v>
      </c>
      <c r="C216" s="557">
        <v>257</v>
      </c>
      <c r="D216" s="225">
        <v>257</v>
      </c>
      <c r="E216" s="220">
        <v>257</v>
      </c>
      <c r="F216" s="219">
        <v>2314</v>
      </c>
      <c r="G216" s="220">
        <v>257</v>
      </c>
    </row>
    <row r="217" spans="1:7" x14ac:dyDescent="0.25">
      <c r="A217" s="579" t="s">
        <v>523</v>
      </c>
      <c r="B217" s="555" t="s">
        <v>530</v>
      </c>
      <c r="C217" s="557">
        <v>257</v>
      </c>
      <c r="D217" s="225">
        <v>257</v>
      </c>
      <c r="E217" s="220">
        <v>257</v>
      </c>
      <c r="F217" s="219">
        <v>2314</v>
      </c>
      <c r="G217" s="220">
        <v>257</v>
      </c>
    </row>
    <row r="218" spans="1:7" x14ac:dyDescent="0.25">
      <c r="A218" s="576" t="s">
        <v>331</v>
      </c>
      <c r="B218" s="229" t="s">
        <v>531</v>
      </c>
      <c r="C218" s="227">
        <f>SUM(C219:C251)</f>
        <v>16937</v>
      </c>
      <c r="D218" s="227">
        <f>SUM(D219:D251)</f>
        <v>15042</v>
      </c>
      <c r="E218" s="227">
        <f>SUM(E219:E251)</f>
        <v>42225</v>
      </c>
      <c r="F218" s="227"/>
      <c r="G218" s="232">
        <f>SUM(G219:G251)</f>
        <v>29497</v>
      </c>
    </row>
    <row r="219" spans="1:7" x14ac:dyDescent="0.25">
      <c r="A219" s="1170" t="s">
        <v>51</v>
      </c>
      <c r="B219" s="1171" t="s">
        <v>532</v>
      </c>
      <c r="C219" s="557">
        <v>285</v>
      </c>
      <c r="D219" s="557">
        <v>285</v>
      </c>
      <c r="E219" s="161">
        <v>500</v>
      </c>
      <c r="F219" s="219">
        <v>2314</v>
      </c>
      <c r="G219" s="968">
        <v>300</v>
      </c>
    </row>
    <row r="220" spans="1:7" x14ac:dyDescent="0.25">
      <c r="A220" s="1170"/>
      <c r="B220" s="1171"/>
      <c r="C220" s="557">
        <v>0</v>
      </c>
      <c r="D220" s="557">
        <v>0</v>
      </c>
      <c r="E220" s="161">
        <v>600</v>
      </c>
      <c r="F220" s="558">
        <v>2279</v>
      </c>
      <c r="G220" s="968">
        <v>600</v>
      </c>
    </row>
    <row r="221" spans="1:7" x14ac:dyDescent="0.25">
      <c r="A221" s="1170"/>
      <c r="B221" s="1171"/>
      <c r="C221" s="557">
        <v>328</v>
      </c>
      <c r="D221" s="557">
        <v>328</v>
      </c>
      <c r="E221" s="161">
        <v>700</v>
      </c>
      <c r="F221" s="558">
        <v>2261</v>
      </c>
      <c r="G221" s="968">
        <v>330</v>
      </c>
    </row>
    <row r="222" spans="1:7" x14ac:dyDescent="0.25">
      <c r="A222" s="1170"/>
      <c r="B222" s="1171"/>
      <c r="C222" s="557">
        <v>997</v>
      </c>
      <c r="D222" s="557">
        <v>997</v>
      </c>
      <c r="E222" s="161">
        <v>1000</v>
      </c>
      <c r="F222" s="558">
        <v>2235</v>
      </c>
      <c r="G222" s="968">
        <v>1000</v>
      </c>
    </row>
    <row r="223" spans="1:7" x14ac:dyDescent="0.25">
      <c r="A223" s="1170"/>
      <c r="B223" s="1171"/>
      <c r="C223" s="557">
        <v>983</v>
      </c>
      <c r="D223" s="557">
        <v>983</v>
      </c>
      <c r="E223" s="161">
        <v>1400</v>
      </c>
      <c r="F223" s="558">
        <v>2231</v>
      </c>
      <c r="G223" s="968">
        <v>1400</v>
      </c>
    </row>
    <row r="224" spans="1:7" x14ac:dyDescent="0.25">
      <c r="A224" s="1170" t="s">
        <v>52</v>
      </c>
      <c r="B224" s="1171" t="s">
        <v>533</v>
      </c>
      <c r="C224" s="557">
        <f>60+1025</f>
        <v>1085</v>
      </c>
      <c r="D224" s="557">
        <f>60+1025</f>
        <v>1085</v>
      </c>
      <c r="E224" s="161">
        <v>5000</v>
      </c>
      <c r="F224" s="558">
        <v>1150</v>
      </c>
      <c r="G224" s="968">
        <v>2200</v>
      </c>
    </row>
    <row r="225" spans="1:7" x14ac:dyDescent="0.25">
      <c r="A225" s="1170"/>
      <c r="B225" s="1171"/>
      <c r="C225" s="557">
        <f>15+243</f>
        <v>258</v>
      </c>
      <c r="D225" s="557">
        <f>15+243</f>
        <v>258</v>
      </c>
      <c r="E225" s="161">
        <v>1180</v>
      </c>
      <c r="F225" s="558">
        <v>1210</v>
      </c>
      <c r="G225" s="968">
        <v>520</v>
      </c>
    </row>
    <row r="226" spans="1:7" x14ac:dyDescent="0.25">
      <c r="A226" s="1170"/>
      <c r="B226" s="1171"/>
      <c r="C226" s="557">
        <v>0</v>
      </c>
      <c r="D226" s="557">
        <v>0</v>
      </c>
      <c r="E226" s="161">
        <v>3000</v>
      </c>
      <c r="F226" s="558">
        <v>2314</v>
      </c>
      <c r="G226" s="968">
        <v>400</v>
      </c>
    </row>
    <row r="227" spans="1:7" x14ac:dyDescent="0.25">
      <c r="A227" s="1170"/>
      <c r="B227" s="1171"/>
      <c r="C227" s="557">
        <f>1423-75-1348</f>
        <v>0</v>
      </c>
      <c r="D227" s="557">
        <f>1423-75-1348</f>
        <v>0</v>
      </c>
      <c r="E227" s="161">
        <v>6000</v>
      </c>
      <c r="F227" s="558">
        <v>2235</v>
      </c>
      <c r="G227" s="968">
        <v>2000</v>
      </c>
    </row>
    <row r="228" spans="1:7" x14ac:dyDescent="0.25">
      <c r="A228" s="910" t="s">
        <v>53</v>
      </c>
      <c r="B228" s="915" t="s">
        <v>1001</v>
      </c>
      <c r="C228" s="557">
        <f>3558-1310</f>
        <v>2248</v>
      </c>
      <c r="D228" s="557">
        <v>0</v>
      </c>
      <c r="E228" s="161">
        <v>0</v>
      </c>
      <c r="F228" s="558">
        <v>2235</v>
      </c>
      <c r="G228" s="968">
        <v>1500</v>
      </c>
    </row>
    <row r="229" spans="1:7" x14ac:dyDescent="0.25">
      <c r="A229" s="910" t="s">
        <v>54</v>
      </c>
      <c r="B229" s="911" t="s">
        <v>534</v>
      </c>
      <c r="C229" s="557">
        <v>1170</v>
      </c>
      <c r="D229" s="557">
        <v>1523</v>
      </c>
      <c r="E229" s="161">
        <v>4000</v>
      </c>
      <c r="F229" s="914">
        <v>2279</v>
      </c>
      <c r="G229" s="162">
        <v>5743</v>
      </c>
    </row>
    <row r="230" spans="1:7" x14ac:dyDescent="0.25">
      <c r="A230" s="1174" t="s">
        <v>55</v>
      </c>
      <c r="B230" s="1173" t="s">
        <v>535</v>
      </c>
      <c r="C230" s="557">
        <v>0</v>
      </c>
      <c r="D230" s="557">
        <v>0</v>
      </c>
      <c r="E230" s="161">
        <v>300</v>
      </c>
      <c r="F230" s="558">
        <v>2235</v>
      </c>
      <c r="G230" s="968">
        <v>300</v>
      </c>
    </row>
    <row r="231" spans="1:7" x14ac:dyDescent="0.25">
      <c r="A231" s="1174"/>
      <c r="B231" s="1173"/>
      <c r="C231" s="557">
        <v>3483</v>
      </c>
      <c r="D231" s="557">
        <v>3483</v>
      </c>
      <c r="E231" s="161">
        <v>4000</v>
      </c>
      <c r="F231" s="558">
        <v>2252</v>
      </c>
      <c r="G231" s="968">
        <v>3000</v>
      </c>
    </row>
    <row r="232" spans="1:7" x14ac:dyDescent="0.25">
      <c r="A232" s="1174" t="s">
        <v>109</v>
      </c>
      <c r="B232" s="1173" t="s">
        <v>536</v>
      </c>
      <c r="C232" s="557">
        <v>427</v>
      </c>
      <c r="D232" s="557">
        <v>427</v>
      </c>
      <c r="E232" s="161">
        <v>600</v>
      </c>
      <c r="F232" s="558">
        <v>2279</v>
      </c>
      <c r="G232" s="968">
        <v>200</v>
      </c>
    </row>
    <row r="233" spans="1:7" x14ac:dyDescent="0.25">
      <c r="A233" s="1174"/>
      <c r="B233" s="1173"/>
      <c r="C233" s="557">
        <v>285</v>
      </c>
      <c r="D233" s="557">
        <v>285</v>
      </c>
      <c r="E233" s="161">
        <v>500</v>
      </c>
      <c r="F233" s="219">
        <v>2314</v>
      </c>
      <c r="G233" s="968">
        <v>200</v>
      </c>
    </row>
    <row r="234" spans="1:7" x14ac:dyDescent="0.25">
      <c r="A234" s="1174" t="s">
        <v>110</v>
      </c>
      <c r="B234" s="1173" t="s">
        <v>537</v>
      </c>
      <c r="C234" s="557">
        <v>0</v>
      </c>
      <c r="D234" s="557">
        <v>0</v>
      </c>
      <c r="E234" s="161">
        <v>2000</v>
      </c>
      <c r="F234" s="558">
        <v>1150</v>
      </c>
      <c r="G234" s="968">
        <v>1100</v>
      </c>
    </row>
    <row r="235" spans="1:7" x14ac:dyDescent="0.25">
      <c r="A235" s="1174"/>
      <c r="B235" s="1173"/>
      <c r="C235" s="557">
        <v>0</v>
      </c>
      <c r="D235" s="557">
        <v>0</v>
      </c>
      <c r="E235" s="161">
        <v>472</v>
      </c>
      <c r="F235" s="558">
        <v>1210</v>
      </c>
      <c r="G235" s="968">
        <v>260</v>
      </c>
    </row>
    <row r="236" spans="1:7" x14ac:dyDescent="0.25">
      <c r="A236" s="1174"/>
      <c r="B236" s="1173"/>
      <c r="C236" s="557">
        <v>0</v>
      </c>
      <c r="D236" s="557">
        <v>0</v>
      </c>
      <c r="E236" s="161">
        <v>600</v>
      </c>
      <c r="F236" s="558">
        <v>2314</v>
      </c>
      <c r="G236" s="968">
        <v>200</v>
      </c>
    </row>
    <row r="237" spans="1:7" x14ac:dyDescent="0.25">
      <c r="A237" s="1174" t="s">
        <v>120</v>
      </c>
      <c r="B237" s="1173" t="s">
        <v>538</v>
      </c>
      <c r="C237" s="557">
        <v>0</v>
      </c>
      <c r="D237" s="557">
        <v>0</v>
      </c>
      <c r="E237" s="161">
        <v>600</v>
      </c>
      <c r="F237" s="558">
        <v>2279</v>
      </c>
      <c r="G237" s="968">
        <v>300</v>
      </c>
    </row>
    <row r="238" spans="1:7" x14ac:dyDescent="0.25">
      <c r="A238" s="1174"/>
      <c r="B238" s="1173"/>
      <c r="C238" s="557">
        <v>1140</v>
      </c>
      <c r="D238" s="557">
        <v>1140</v>
      </c>
      <c r="E238" s="161">
        <v>700</v>
      </c>
      <c r="F238" s="219">
        <v>2314</v>
      </c>
      <c r="G238" s="968">
        <v>500</v>
      </c>
    </row>
    <row r="239" spans="1:7" x14ac:dyDescent="0.25">
      <c r="A239" s="1172" t="s">
        <v>121</v>
      </c>
      <c r="B239" s="1173" t="s">
        <v>540</v>
      </c>
      <c r="C239" s="557">
        <v>214</v>
      </c>
      <c r="D239" s="557">
        <v>214</v>
      </c>
      <c r="E239" s="161">
        <v>214</v>
      </c>
      <c r="F239" s="558">
        <v>2264</v>
      </c>
      <c r="G239" s="968">
        <v>214</v>
      </c>
    </row>
    <row r="240" spans="1:7" x14ac:dyDescent="0.25">
      <c r="A240" s="1172"/>
      <c r="B240" s="1173"/>
      <c r="C240" s="557">
        <v>193</v>
      </c>
      <c r="D240" s="557">
        <v>193</v>
      </c>
      <c r="E240" s="161">
        <v>193</v>
      </c>
      <c r="F240" s="558">
        <v>1150</v>
      </c>
      <c r="G240" s="968">
        <v>193</v>
      </c>
    </row>
    <row r="241" spans="1:7" x14ac:dyDescent="0.25">
      <c r="A241" s="1172"/>
      <c r="B241" s="1173"/>
      <c r="C241" s="557">
        <v>43</v>
      </c>
      <c r="D241" s="225">
        <v>43</v>
      </c>
      <c r="E241" s="161">
        <v>43</v>
      </c>
      <c r="F241" s="558">
        <v>2311</v>
      </c>
      <c r="G241" s="968">
        <v>43</v>
      </c>
    </row>
    <row r="242" spans="1:7" x14ac:dyDescent="0.25">
      <c r="A242" s="1172"/>
      <c r="B242" s="1173"/>
      <c r="C242" s="557">
        <v>143</v>
      </c>
      <c r="D242" s="225">
        <v>143</v>
      </c>
      <c r="E242" s="161">
        <v>150</v>
      </c>
      <c r="F242" s="219">
        <v>2314</v>
      </c>
      <c r="G242" s="968">
        <v>150</v>
      </c>
    </row>
    <row r="243" spans="1:7" x14ac:dyDescent="0.25">
      <c r="A243" s="582" t="s">
        <v>539</v>
      </c>
      <c r="B243" s="553" t="s">
        <v>542</v>
      </c>
      <c r="C243" s="557">
        <v>570</v>
      </c>
      <c r="D243" s="557">
        <v>570</v>
      </c>
      <c r="E243" s="161">
        <v>600</v>
      </c>
      <c r="F243" s="219">
        <v>2314</v>
      </c>
      <c r="G243" s="968">
        <v>300</v>
      </c>
    </row>
    <row r="244" spans="1:7" x14ac:dyDescent="0.25">
      <c r="A244" s="582" t="s">
        <v>541</v>
      </c>
      <c r="B244" s="225" t="s">
        <v>545</v>
      </c>
      <c r="C244" s="557">
        <v>0</v>
      </c>
      <c r="D244" s="557">
        <v>0</v>
      </c>
      <c r="E244" s="161">
        <v>120</v>
      </c>
      <c r="F244" s="219">
        <v>2314</v>
      </c>
      <c r="G244" s="968">
        <v>120</v>
      </c>
    </row>
    <row r="245" spans="1:7" x14ac:dyDescent="0.25">
      <c r="A245" s="1170" t="s">
        <v>543</v>
      </c>
      <c r="B245" s="1171" t="s">
        <v>546</v>
      </c>
      <c r="C245" s="557">
        <v>0</v>
      </c>
      <c r="D245" s="557">
        <v>0</v>
      </c>
      <c r="E245" s="161">
        <f>1348+263</f>
        <v>1611</v>
      </c>
      <c r="F245" s="558">
        <v>2231</v>
      </c>
      <c r="G245" s="968">
        <v>1611</v>
      </c>
    </row>
    <row r="246" spans="1:7" x14ac:dyDescent="0.25">
      <c r="A246" s="1170"/>
      <c r="B246" s="1171"/>
      <c r="C246" s="557">
        <v>0</v>
      </c>
      <c r="D246" s="557">
        <v>0</v>
      </c>
      <c r="E246" s="161">
        <v>720</v>
      </c>
      <c r="F246" s="558">
        <v>2262</v>
      </c>
      <c r="G246" s="968">
        <v>720</v>
      </c>
    </row>
    <row r="247" spans="1:7" x14ac:dyDescent="0.25">
      <c r="A247" s="1170"/>
      <c r="B247" s="1171"/>
      <c r="C247" s="557">
        <v>0</v>
      </c>
      <c r="D247" s="557">
        <v>0</v>
      </c>
      <c r="E247" s="161">
        <v>320</v>
      </c>
      <c r="F247" s="558">
        <v>2279</v>
      </c>
      <c r="G247" s="968">
        <v>320</v>
      </c>
    </row>
    <row r="248" spans="1:7" x14ac:dyDescent="0.25">
      <c r="A248" s="1170"/>
      <c r="B248" s="1171"/>
      <c r="C248" s="557">
        <v>0</v>
      </c>
      <c r="D248" s="557">
        <v>0</v>
      </c>
      <c r="E248" s="161">
        <f>126+360</f>
        <v>486</v>
      </c>
      <c r="F248" s="219">
        <v>2314</v>
      </c>
      <c r="G248" s="968">
        <v>486</v>
      </c>
    </row>
    <row r="249" spans="1:7" x14ac:dyDescent="0.25">
      <c r="A249" s="1172" t="s">
        <v>544</v>
      </c>
      <c r="B249" s="1173" t="s">
        <v>547</v>
      </c>
      <c r="C249" s="557">
        <v>1796</v>
      </c>
      <c r="D249" s="557">
        <v>1796</v>
      </c>
      <c r="E249" s="161">
        <v>2946</v>
      </c>
      <c r="F249" s="558">
        <v>1150</v>
      </c>
      <c r="G249" s="968">
        <v>2000</v>
      </c>
    </row>
    <row r="250" spans="1:7" x14ac:dyDescent="0.25">
      <c r="A250" s="1172"/>
      <c r="B250" s="1173"/>
      <c r="C250" s="557">
        <v>589</v>
      </c>
      <c r="D250" s="557">
        <v>589</v>
      </c>
      <c r="E250" s="161">
        <v>695</v>
      </c>
      <c r="F250" s="558">
        <v>1210</v>
      </c>
      <c r="G250" s="968">
        <v>472</v>
      </c>
    </row>
    <row r="251" spans="1:7" x14ac:dyDescent="0.25">
      <c r="A251" s="1172"/>
      <c r="B251" s="1173"/>
      <c r="C251" s="557">
        <v>700</v>
      </c>
      <c r="D251" s="557">
        <v>700</v>
      </c>
      <c r="E251" s="161">
        <v>975</v>
      </c>
      <c r="F251" s="558">
        <v>2279</v>
      </c>
      <c r="G251" s="968">
        <v>815</v>
      </c>
    </row>
    <row r="253" spans="1:7" x14ac:dyDescent="0.25">
      <c r="A253" s="213" t="s">
        <v>1286</v>
      </c>
      <c r="C253" s="215"/>
      <c r="D253" s="215"/>
      <c r="E253" s="215"/>
      <c r="F253" s="215"/>
      <c r="G253" s="215"/>
    </row>
    <row r="254" spans="1:7" x14ac:dyDescent="0.25">
      <c r="A254" s="213" t="s">
        <v>1287</v>
      </c>
      <c r="C254" s="1098"/>
      <c r="D254" s="1098"/>
      <c r="E254" s="1098"/>
      <c r="F254" s="1098"/>
      <c r="G254" s="1098"/>
    </row>
    <row r="255" spans="1:7" ht="20.25" customHeight="1" x14ac:dyDescent="0.25">
      <c r="A255" s="1045" t="s">
        <v>1</v>
      </c>
      <c r="B255" s="1045" t="s">
        <v>2</v>
      </c>
      <c r="C255" s="1045" t="s">
        <v>26</v>
      </c>
      <c r="D255" s="1045" t="s">
        <v>27</v>
      </c>
      <c r="E255" s="1045" t="s">
        <v>299</v>
      </c>
      <c r="F255" s="1045" t="s">
        <v>6</v>
      </c>
      <c r="G255" s="1045" t="s">
        <v>1190</v>
      </c>
    </row>
    <row r="256" spans="1:7" ht="12.75" customHeight="1" x14ac:dyDescent="0.25">
      <c r="A256" s="1045"/>
      <c r="B256" s="1045"/>
      <c r="C256" s="1045"/>
      <c r="D256" s="1045"/>
      <c r="E256" s="1045"/>
      <c r="F256" s="1045"/>
      <c r="G256" s="1045"/>
    </row>
    <row r="257" spans="1:7" x14ac:dyDescent="0.25">
      <c r="A257" s="281"/>
      <c r="B257" s="284" t="s">
        <v>365</v>
      </c>
      <c r="C257" s="283">
        <f>SUM(C258:C258)</f>
        <v>499</v>
      </c>
      <c r="D257" s="283">
        <f>SUM(D258:D258)</f>
        <v>434</v>
      </c>
      <c r="E257" s="283">
        <f>SUM(E258:E258)</f>
        <v>500</v>
      </c>
      <c r="F257" s="283"/>
      <c r="G257" s="283">
        <f>SUM(G258:G258)</f>
        <v>500</v>
      </c>
    </row>
    <row r="258" spans="1:7" x14ac:dyDescent="0.25">
      <c r="A258" s="583">
        <v>1</v>
      </c>
      <c r="B258" s="555" t="s">
        <v>548</v>
      </c>
      <c r="C258" s="584">
        <v>499</v>
      </c>
      <c r="D258" s="225">
        <v>434</v>
      </c>
      <c r="E258" s="225">
        <v>500</v>
      </c>
      <c r="F258" s="221">
        <v>2370</v>
      </c>
      <c r="G258" s="225">
        <v>500</v>
      </c>
    </row>
    <row r="260" spans="1:7" x14ac:dyDescent="0.25">
      <c r="A260" s="213" t="s">
        <v>1288</v>
      </c>
      <c r="C260" s="215"/>
      <c r="D260" s="215"/>
      <c r="E260" s="215"/>
      <c r="F260" s="215"/>
      <c r="G260" s="215"/>
    </row>
    <row r="261" spans="1:7" x14ac:dyDescent="0.25">
      <c r="A261" s="213" t="s">
        <v>1242</v>
      </c>
      <c r="C261" s="1098"/>
      <c r="D261" s="1098"/>
      <c r="E261" s="1098"/>
      <c r="F261" s="1098"/>
      <c r="G261" s="1098"/>
    </row>
    <row r="262" spans="1:7" ht="20.25" customHeight="1" x14ac:dyDescent="0.25">
      <c r="A262" s="1045" t="s">
        <v>1</v>
      </c>
      <c r="B262" s="1045" t="s">
        <v>2</v>
      </c>
      <c r="C262" s="1045" t="s">
        <v>26</v>
      </c>
      <c r="D262" s="1045" t="s">
        <v>27</v>
      </c>
      <c r="E262" s="1045" t="s">
        <v>299</v>
      </c>
      <c r="F262" s="1045" t="s">
        <v>6</v>
      </c>
      <c r="G262" s="1045" t="s">
        <v>1190</v>
      </c>
    </row>
    <row r="263" spans="1:7" ht="12.75" customHeight="1" x14ac:dyDescent="0.25">
      <c r="A263" s="1045"/>
      <c r="B263" s="1045"/>
      <c r="C263" s="1045"/>
      <c r="D263" s="1045"/>
      <c r="E263" s="1045"/>
      <c r="F263" s="1045"/>
      <c r="G263" s="1045"/>
    </row>
    <row r="264" spans="1:7" x14ac:dyDescent="0.25">
      <c r="A264" s="281"/>
      <c r="B264" s="284" t="s">
        <v>365</v>
      </c>
      <c r="C264" s="283">
        <f>SUM(C265:C265)</f>
        <v>24443</v>
      </c>
      <c r="D264" s="283">
        <f>SUM(D265:D265)</f>
        <v>24000</v>
      </c>
      <c r="E264" s="283">
        <f>SUM(E265:E265)</f>
        <v>100000</v>
      </c>
      <c r="F264" s="283"/>
      <c r="G264" s="283">
        <f>SUM(G265:G265)</f>
        <v>30000</v>
      </c>
    </row>
    <row r="265" spans="1:7" x14ac:dyDescent="0.25">
      <c r="A265" s="583">
        <v>1</v>
      </c>
      <c r="B265" s="552" t="s">
        <v>549</v>
      </c>
      <c r="C265" s="584">
        <v>24443</v>
      </c>
      <c r="D265" s="225">
        <v>24000</v>
      </c>
      <c r="E265" s="225">
        <v>100000</v>
      </c>
      <c r="F265" s="221">
        <v>3262</v>
      </c>
      <c r="G265" s="968">
        <v>30000</v>
      </c>
    </row>
    <row r="266" spans="1:7" s="1" customFormat="1" x14ac:dyDescent="0.2">
      <c r="F266" s="32"/>
    </row>
    <row r="267" spans="1:7" s="169" customFormat="1" ht="12.75" x14ac:dyDescent="0.2">
      <c r="F267" s="179"/>
    </row>
  </sheetData>
  <autoFilter ref="A13:G251"/>
  <sortState ref="C309:H314">
    <sortCondition ref="F309:F314"/>
  </sortState>
  <mergeCells count="130">
    <mergeCell ref="C6:G6"/>
    <mergeCell ref="A8:G8"/>
    <mergeCell ref="A13:A14"/>
    <mergeCell ref="B13:B14"/>
    <mergeCell ref="C13:C14"/>
    <mergeCell ref="D13:D14"/>
    <mergeCell ref="E13:E14"/>
    <mergeCell ref="F13:F14"/>
    <mergeCell ref="G13:G14"/>
    <mergeCell ref="A34:A35"/>
    <mergeCell ref="B34:B35"/>
    <mergeCell ref="A36:A38"/>
    <mergeCell ref="B36:B38"/>
    <mergeCell ref="A26:A29"/>
    <mergeCell ref="B26:B29"/>
    <mergeCell ref="A31:A33"/>
    <mergeCell ref="B31:B33"/>
    <mergeCell ref="A17:A18"/>
    <mergeCell ref="B17:B18"/>
    <mergeCell ref="A19:A20"/>
    <mergeCell ref="B19:B20"/>
    <mergeCell ref="A21:A23"/>
    <mergeCell ref="B21:B23"/>
    <mergeCell ref="A55:A56"/>
    <mergeCell ref="B55:B56"/>
    <mergeCell ref="A58:A59"/>
    <mergeCell ref="B58:B59"/>
    <mergeCell ref="A46:A47"/>
    <mergeCell ref="B46:B47"/>
    <mergeCell ref="A52:A54"/>
    <mergeCell ref="B52:B54"/>
    <mergeCell ref="A41:A42"/>
    <mergeCell ref="B41:B42"/>
    <mergeCell ref="A43:A44"/>
    <mergeCell ref="B43:B44"/>
    <mergeCell ref="A73:A76"/>
    <mergeCell ref="B73:B76"/>
    <mergeCell ref="A78:A79"/>
    <mergeCell ref="B78:B79"/>
    <mergeCell ref="A80:A81"/>
    <mergeCell ref="B80:B81"/>
    <mergeCell ref="A63:A68"/>
    <mergeCell ref="B63:B68"/>
    <mergeCell ref="A69:A70"/>
    <mergeCell ref="B69:B70"/>
    <mergeCell ref="A99:A101"/>
    <mergeCell ref="B99:B101"/>
    <mergeCell ref="A102:A104"/>
    <mergeCell ref="B102:B104"/>
    <mergeCell ref="A105:A107"/>
    <mergeCell ref="B105:B107"/>
    <mergeCell ref="A84:A86"/>
    <mergeCell ref="B84:B86"/>
    <mergeCell ref="A93:A95"/>
    <mergeCell ref="B93:B95"/>
    <mergeCell ref="A96:A98"/>
    <mergeCell ref="B96:B98"/>
    <mergeCell ref="A117:A119"/>
    <mergeCell ref="B117:B119"/>
    <mergeCell ref="A121:A123"/>
    <mergeCell ref="B121:B123"/>
    <mergeCell ref="A124:A126"/>
    <mergeCell ref="B124:B126"/>
    <mergeCell ref="A108:A110"/>
    <mergeCell ref="B108:B110"/>
    <mergeCell ref="A111:A113"/>
    <mergeCell ref="B111:B113"/>
    <mergeCell ref="A114:A116"/>
    <mergeCell ref="B114:B116"/>
    <mergeCell ref="A150:A153"/>
    <mergeCell ref="B150:B153"/>
    <mergeCell ref="A156:A158"/>
    <mergeCell ref="B156:B158"/>
    <mergeCell ref="A136:A138"/>
    <mergeCell ref="B136:B138"/>
    <mergeCell ref="A145:A148"/>
    <mergeCell ref="B145:B148"/>
    <mergeCell ref="A127:A129"/>
    <mergeCell ref="B127:B129"/>
    <mergeCell ref="A130:A132"/>
    <mergeCell ref="B130:B132"/>
    <mergeCell ref="A133:A135"/>
    <mergeCell ref="B133:B135"/>
    <mergeCell ref="A208:A210"/>
    <mergeCell ref="B208:B210"/>
    <mergeCell ref="A182:A191"/>
    <mergeCell ref="B182:B191"/>
    <mergeCell ref="A196:A200"/>
    <mergeCell ref="B196:B200"/>
    <mergeCell ref="A202:A207"/>
    <mergeCell ref="B202:B207"/>
    <mergeCell ref="A175:A176"/>
    <mergeCell ref="B175:B176"/>
    <mergeCell ref="A178:A181"/>
    <mergeCell ref="B178:B181"/>
    <mergeCell ref="B232:B233"/>
    <mergeCell ref="A234:A236"/>
    <mergeCell ref="B234:B236"/>
    <mergeCell ref="A237:A238"/>
    <mergeCell ref="B237:B238"/>
    <mergeCell ref="A230:A231"/>
    <mergeCell ref="B230:B231"/>
    <mergeCell ref="A219:A223"/>
    <mergeCell ref="B219:B223"/>
    <mergeCell ref="A224:A227"/>
    <mergeCell ref="B224:B227"/>
    <mergeCell ref="B1:G1"/>
    <mergeCell ref="C261:G261"/>
    <mergeCell ref="A262:A263"/>
    <mergeCell ref="B262:B263"/>
    <mergeCell ref="C262:C263"/>
    <mergeCell ref="D262:D263"/>
    <mergeCell ref="E262:E263"/>
    <mergeCell ref="F262:F263"/>
    <mergeCell ref="G262:G263"/>
    <mergeCell ref="C254:G254"/>
    <mergeCell ref="A255:A256"/>
    <mergeCell ref="B255:B256"/>
    <mergeCell ref="C255:C256"/>
    <mergeCell ref="D255:D256"/>
    <mergeCell ref="E255:E256"/>
    <mergeCell ref="F255:F256"/>
    <mergeCell ref="G255:G256"/>
    <mergeCell ref="A245:A248"/>
    <mergeCell ref="B245:B248"/>
    <mergeCell ref="A249:A251"/>
    <mergeCell ref="B249:B251"/>
    <mergeCell ref="A239:A242"/>
    <mergeCell ref="B239:B242"/>
    <mergeCell ref="A232:A233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99"/>
  </sheetPr>
  <dimension ref="A1:G19"/>
  <sheetViews>
    <sheetView zoomScaleNormal="100" workbookViewId="0">
      <selection activeCell="B2" sqref="B2"/>
    </sheetView>
  </sheetViews>
  <sheetFormatPr defaultRowHeight="12" x14ac:dyDescent="0.2"/>
  <cols>
    <col min="1" max="1" width="5" style="1" customWidth="1"/>
    <col min="2" max="2" width="60" style="1" customWidth="1"/>
    <col min="3" max="3" width="11.85546875" style="1" hidden="1" customWidth="1"/>
    <col min="4" max="4" width="11.140625" style="1" hidden="1" customWidth="1"/>
    <col min="5" max="5" width="10.28515625" style="1" hidden="1" customWidth="1"/>
    <col min="6" max="6" width="10.5703125" style="1" customWidth="1"/>
    <col min="7" max="7" width="9.7109375" style="1" customWidth="1"/>
    <col min="8" max="253" width="9.140625" style="1"/>
    <col min="254" max="254" width="6.140625" style="1" customWidth="1"/>
    <col min="255" max="255" width="44.85546875" style="1" customWidth="1"/>
    <col min="256" max="256" width="11.85546875" style="1" customWidth="1"/>
    <col min="257" max="257" width="11.140625" style="1" customWidth="1"/>
    <col min="258" max="258" width="10.28515625" style="1" customWidth="1"/>
    <col min="259" max="259" width="10.5703125" style="1" customWidth="1"/>
    <col min="260" max="260" width="9.7109375" style="1" customWidth="1"/>
    <col min="261" max="261" width="16.7109375" style="1" customWidth="1"/>
    <col min="262" max="509" width="9.140625" style="1"/>
    <col min="510" max="510" width="6.140625" style="1" customWidth="1"/>
    <col min="511" max="511" width="44.85546875" style="1" customWidth="1"/>
    <col min="512" max="512" width="11.85546875" style="1" customWidth="1"/>
    <col min="513" max="513" width="11.140625" style="1" customWidth="1"/>
    <col min="514" max="514" width="10.28515625" style="1" customWidth="1"/>
    <col min="515" max="515" width="10.5703125" style="1" customWidth="1"/>
    <col min="516" max="516" width="9.7109375" style="1" customWidth="1"/>
    <col min="517" max="517" width="16.7109375" style="1" customWidth="1"/>
    <col min="518" max="765" width="9.140625" style="1"/>
    <col min="766" max="766" width="6.140625" style="1" customWidth="1"/>
    <col min="767" max="767" width="44.85546875" style="1" customWidth="1"/>
    <col min="768" max="768" width="11.85546875" style="1" customWidth="1"/>
    <col min="769" max="769" width="11.140625" style="1" customWidth="1"/>
    <col min="770" max="770" width="10.28515625" style="1" customWidth="1"/>
    <col min="771" max="771" width="10.5703125" style="1" customWidth="1"/>
    <col min="772" max="772" width="9.7109375" style="1" customWidth="1"/>
    <col min="773" max="773" width="16.7109375" style="1" customWidth="1"/>
    <col min="774" max="1021" width="9.140625" style="1"/>
    <col min="1022" max="1022" width="6.140625" style="1" customWidth="1"/>
    <col min="1023" max="1023" width="44.85546875" style="1" customWidth="1"/>
    <col min="1024" max="1024" width="11.85546875" style="1" customWidth="1"/>
    <col min="1025" max="1025" width="11.140625" style="1" customWidth="1"/>
    <col min="1026" max="1026" width="10.28515625" style="1" customWidth="1"/>
    <col min="1027" max="1027" width="10.5703125" style="1" customWidth="1"/>
    <col min="1028" max="1028" width="9.7109375" style="1" customWidth="1"/>
    <col min="1029" max="1029" width="16.7109375" style="1" customWidth="1"/>
    <col min="1030" max="1277" width="9.140625" style="1"/>
    <col min="1278" max="1278" width="6.140625" style="1" customWidth="1"/>
    <col min="1279" max="1279" width="44.85546875" style="1" customWidth="1"/>
    <col min="1280" max="1280" width="11.85546875" style="1" customWidth="1"/>
    <col min="1281" max="1281" width="11.140625" style="1" customWidth="1"/>
    <col min="1282" max="1282" width="10.28515625" style="1" customWidth="1"/>
    <col min="1283" max="1283" width="10.5703125" style="1" customWidth="1"/>
    <col min="1284" max="1284" width="9.7109375" style="1" customWidth="1"/>
    <col min="1285" max="1285" width="16.7109375" style="1" customWidth="1"/>
    <col min="1286" max="1533" width="9.140625" style="1"/>
    <col min="1534" max="1534" width="6.140625" style="1" customWidth="1"/>
    <col min="1535" max="1535" width="44.85546875" style="1" customWidth="1"/>
    <col min="1536" max="1536" width="11.85546875" style="1" customWidth="1"/>
    <col min="1537" max="1537" width="11.140625" style="1" customWidth="1"/>
    <col min="1538" max="1538" width="10.28515625" style="1" customWidth="1"/>
    <col min="1539" max="1539" width="10.5703125" style="1" customWidth="1"/>
    <col min="1540" max="1540" width="9.7109375" style="1" customWidth="1"/>
    <col min="1541" max="1541" width="16.7109375" style="1" customWidth="1"/>
    <col min="1542" max="1789" width="9.140625" style="1"/>
    <col min="1790" max="1790" width="6.140625" style="1" customWidth="1"/>
    <col min="1791" max="1791" width="44.85546875" style="1" customWidth="1"/>
    <col min="1792" max="1792" width="11.85546875" style="1" customWidth="1"/>
    <col min="1793" max="1793" width="11.140625" style="1" customWidth="1"/>
    <col min="1794" max="1794" width="10.28515625" style="1" customWidth="1"/>
    <col min="1795" max="1795" width="10.5703125" style="1" customWidth="1"/>
    <col min="1796" max="1796" width="9.7109375" style="1" customWidth="1"/>
    <col min="1797" max="1797" width="16.7109375" style="1" customWidth="1"/>
    <col min="1798" max="2045" width="9.140625" style="1"/>
    <col min="2046" max="2046" width="6.140625" style="1" customWidth="1"/>
    <col min="2047" max="2047" width="44.85546875" style="1" customWidth="1"/>
    <col min="2048" max="2048" width="11.85546875" style="1" customWidth="1"/>
    <col min="2049" max="2049" width="11.140625" style="1" customWidth="1"/>
    <col min="2050" max="2050" width="10.28515625" style="1" customWidth="1"/>
    <col min="2051" max="2051" width="10.5703125" style="1" customWidth="1"/>
    <col min="2052" max="2052" width="9.7109375" style="1" customWidth="1"/>
    <col min="2053" max="2053" width="16.7109375" style="1" customWidth="1"/>
    <col min="2054" max="2301" width="9.140625" style="1"/>
    <col min="2302" max="2302" width="6.140625" style="1" customWidth="1"/>
    <col min="2303" max="2303" width="44.85546875" style="1" customWidth="1"/>
    <col min="2304" max="2304" width="11.85546875" style="1" customWidth="1"/>
    <col min="2305" max="2305" width="11.140625" style="1" customWidth="1"/>
    <col min="2306" max="2306" width="10.28515625" style="1" customWidth="1"/>
    <col min="2307" max="2307" width="10.5703125" style="1" customWidth="1"/>
    <col min="2308" max="2308" width="9.7109375" style="1" customWidth="1"/>
    <col min="2309" max="2309" width="16.7109375" style="1" customWidth="1"/>
    <col min="2310" max="2557" width="9.140625" style="1"/>
    <col min="2558" max="2558" width="6.140625" style="1" customWidth="1"/>
    <col min="2559" max="2559" width="44.85546875" style="1" customWidth="1"/>
    <col min="2560" max="2560" width="11.85546875" style="1" customWidth="1"/>
    <col min="2561" max="2561" width="11.140625" style="1" customWidth="1"/>
    <col min="2562" max="2562" width="10.28515625" style="1" customWidth="1"/>
    <col min="2563" max="2563" width="10.5703125" style="1" customWidth="1"/>
    <col min="2564" max="2564" width="9.7109375" style="1" customWidth="1"/>
    <col min="2565" max="2565" width="16.7109375" style="1" customWidth="1"/>
    <col min="2566" max="2813" width="9.140625" style="1"/>
    <col min="2814" max="2814" width="6.140625" style="1" customWidth="1"/>
    <col min="2815" max="2815" width="44.85546875" style="1" customWidth="1"/>
    <col min="2816" max="2816" width="11.85546875" style="1" customWidth="1"/>
    <col min="2817" max="2817" width="11.140625" style="1" customWidth="1"/>
    <col min="2818" max="2818" width="10.28515625" style="1" customWidth="1"/>
    <col min="2819" max="2819" width="10.5703125" style="1" customWidth="1"/>
    <col min="2820" max="2820" width="9.7109375" style="1" customWidth="1"/>
    <col min="2821" max="2821" width="16.7109375" style="1" customWidth="1"/>
    <col min="2822" max="3069" width="9.140625" style="1"/>
    <col min="3070" max="3070" width="6.140625" style="1" customWidth="1"/>
    <col min="3071" max="3071" width="44.85546875" style="1" customWidth="1"/>
    <col min="3072" max="3072" width="11.85546875" style="1" customWidth="1"/>
    <col min="3073" max="3073" width="11.140625" style="1" customWidth="1"/>
    <col min="3074" max="3074" width="10.28515625" style="1" customWidth="1"/>
    <col min="3075" max="3075" width="10.5703125" style="1" customWidth="1"/>
    <col min="3076" max="3076" width="9.7109375" style="1" customWidth="1"/>
    <col min="3077" max="3077" width="16.7109375" style="1" customWidth="1"/>
    <col min="3078" max="3325" width="9.140625" style="1"/>
    <col min="3326" max="3326" width="6.140625" style="1" customWidth="1"/>
    <col min="3327" max="3327" width="44.85546875" style="1" customWidth="1"/>
    <col min="3328" max="3328" width="11.85546875" style="1" customWidth="1"/>
    <col min="3329" max="3329" width="11.140625" style="1" customWidth="1"/>
    <col min="3330" max="3330" width="10.28515625" style="1" customWidth="1"/>
    <col min="3331" max="3331" width="10.5703125" style="1" customWidth="1"/>
    <col min="3332" max="3332" width="9.7109375" style="1" customWidth="1"/>
    <col min="3333" max="3333" width="16.7109375" style="1" customWidth="1"/>
    <col min="3334" max="3581" width="9.140625" style="1"/>
    <col min="3582" max="3582" width="6.140625" style="1" customWidth="1"/>
    <col min="3583" max="3583" width="44.85546875" style="1" customWidth="1"/>
    <col min="3584" max="3584" width="11.85546875" style="1" customWidth="1"/>
    <col min="3585" max="3585" width="11.140625" style="1" customWidth="1"/>
    <col min="3586" max="3586" width="10.28515625" style="1" customWidth="1"/>
    <col min="3587" max="3587" width="10.5703125" style="1" customWidth="1"/>
    <col min="3588" max="3588" width="9.7109375" style="1" customWidth="1"/>
    <col min="3589" max="3589" width="16.7109375" style="1" customWidth="1"/>
    <col min="3590" max="3837" width="9.140625" style="1"/>
    <col min="3838" max="3838" width="6.140625" style="1" customWidth="1"/>
    <col min="3839" max="3839" width="44.85546875" style="1" customWidth="1"/>
    <col min="3840" max="3840" width="11.85546875" style="1" customWidth="1"/>
    <col min="3841" max="3841" width="11.140625" style="1" customWidth="1"/>
    <col min="3842" max="3842" width="10.28515625" style="1" customWidth="1"/>
    <col min="3843" max="3843" width="10.5703125" style="1" customWidth="1"/>
    <col min="3844" max="3844" width="9.7109375" style="1" customWidth="1"/>
    <col min="3845" max="3845" width="16.7109375" style="1" customWidth="1"/>
    <col min="3846" max="4093" width="9.140625" style="1"/>
    <col min="4094" max="4094" width="6.140625" style="1" customWidth="1"/>
    <col min="4095" max="4095" width="44.85546875" style="1" customWidth="1"/>
    <col min="4096" max="4096" width="11.85546875" style="1" customWidth="1"/>
    <col min="4097" max="4097" width="11.140625" style="1" customWidth="1"/>
    <col min="4098" max="4098" width="10.28515625" style="1" customWidth="1"/>
    <col min="4099" max="4099" width="10.5703125" style="1" customWidth="1"/>
    <col min="4100" max="4100" width="9.7109375" style="1" customWidth="1"/>
    <col min="4101" max="4101" width="16.7109375" style="1" customWidth="1"/>
    <col min="4102" max="4349" width="9.140625" style="1"/>
    <col min="4350" max="4350" width="6.140625" style="1" customWidth="1"/>
    <col min="4351" max="4351" width="44.85546875" style="1" customWidth="1"/>
    <col min="4352" max="4352" width="11.85546875" style="1" customWidth="1"/>
    <col min="4353" max="4353" width="11.140625" style="1" customWidth="1"/>
    <col min="4354" max="4354" width="10.28515625" style="1" customWidth="1"/>
    <col min="4355" max="4355" width="10.5703125" style="1" customWidth="1"/>
    <col min="4356" max="4356" width="9.7109375" style="1" customWidth="1"/>
    <col min="4357" max="4357" width="16.7109375" style="1" customWidth="1"/>
    <col min="4358" max="4605" width="9.140625" style="1"/>
    <col min="4606" max="4606" width="6.140625" style="1" customWidth="1"/>
    <col min="4607" max="4607" width="44.85546875" style="1" customWidth="1"/>
    <col min="4608" max="4608" width="11.85546875" style="1" customWidth="1"/>
    <col min="4609" max="4609" width="11.140625" style="1" customWidth="1"/>
    <col min="4610" max="4610" width="10.28515625" style="1" customWidth="1"/>
    <col min="4611" max="4611" width="10.5703125" style="1" customWidth="1"/>
    <col min="4612" max="4612" width="9.7109375" style="1" customWidth="1"/>
    <col min="4613" max="4613" width="16.7109375" style="1" customWidth="1"/>
    <col min="4614" max="4861" width="9.140625" style="1"/>
    <col min="4862" max="4862" width="6.140625" style="1" customWidth="1"/>
    <col min="4863" max="4863" width="44.85546875" style="1" customWidth="1"/>
    <col min="4864" max="4864" width="11.85546875" style="1" customWidth="1"/>
    <col min="4865" max="4865" width="11.140625" style="1" customWidth="1"/>
    <col min="4866" max="4866" width="10.28515625" style="1" customWidth="1"/>
    <col min="4867" max="4867" width="10.5703125" style="1" customWidth="1"/>
    <col min="4868" max="4868" width="9.7109375" style="1" customWidth="1"/>
    <col min="4869" max="4869" width="16.7109375" style="1" customWidth="1"/>
    <col min="4870" max="5117" width="9.140625" style="1"/>
    <col min="5118" max="5118" width="6.140625" style="1" customWidth="1"/>
    <col min="5119" max="5119" width="44.85546875" style="1" customWidth="1"/>
    <col min="5120" max="5120" width="11.85546875" style="1" customWidth="1"/>
    <col min="5121" max="5121" width="11.140625" style="1" customWidth="1"/>
    <col min="5122" max="5122" width="10.28515625" style="1" customWidth="1"/>
    <col min="5123" max="5123" width="10.5703125" style="1" customWidth="1"/>
    <col min="5124" max="5124" width="9.7109375" style="1" customWidth="1"/>
    <col min="5125" max="5125" width="16.7109375" style="1" customWidth="1"/>
    <col min="5126" max="5373" width="9.140625" style="1"/>
    <col min="5374" max="5374" width="6.140625" style="1" customWidth="1"/>
    <col min="5375" max="5375" width="44.85546875" style="1" customWidth="1"/>
    <col min="5376" max="5376" width="11.85546875" style="1" customWidth="1"/>
    <col min="5377" max="5377" width="11.140625" style="1" customWidth="1"/>
    <col min="5378" max="5378" width="10.28515625" style="1" customWidth="1"/>
    <col min="5379" max="5379" width="10.5703125" style="1" customWidth="1"/>
    <col min="5380" max="5380" width="9.7109375" style="1" customWidth="1"/>
    <col min="5381" max="5381" width="16.7109375" style="1" customWidth="1"/>
    <col min="5382" max="5629" width="9.140625" style="1"/>
    <col min="5630" max="5630" width="6.140625" style="1" customWidth="1"/>
    <col min="5631" max="5631" width="44.85546875" style="1" customWidth="1"/>
    <col min="5632" max="5632" width="11.85546875" style="1" customWidth="1"/>
    <col min="5633" max="5633" width="11.140625" style="1" customWidth="1"/>
    <col min="5634" max="5634" width="10.28515625" style="1" customWidth="1"/>
    <col min="5635" max="5635" width="10.5703125" style="1" customWidth="1"/>
    <col min="5636" max="5636" width="9.7109375" style="1" customWidth="1"/>
    <col min="5637" max="5637" width="16.7109375" style="1" customWidth="1"/>
    <col min="5638" max="5885" width="9.140625" style="1"/>
    <col min="5886" max="5886" width="6.140625" style="1" customWidth="1"/>
    <col min="5887" max="5887" width="44.85546875" style="1" customWidth="1"/>
    <col min="5888" max="5888" width="11.85546875" style="1" customWidth="1"/>
    <col min="5889" max="5889" width="11.140625" style="1" customWidth="1"/>
    <col min="5890" max="5890" width="10.28515625" style="1" customWidth="1"/>
    <col min="5891" max="5891" width="10.5703125" style="1" customWidth="1"/>
    <col min="5892" max="5892" width="9.7109375" style="1" customWidth="1"/>
    <col min="5893" max="5893" width="16.7109375" style="1" customWidth="1"/>
    <col min="5894" max="6141" width="9.140625" style="1"/>
    <col min="6142" max="6142" width="6.140625" style="1" customWidth="1"/>
    <col min="6143" max="6143" width="44.85546875" style="1" customWidth="1"/>
    <col min="6144" max="6144" width="11.85546875" style="1" customWidth="1"/>
    <col min="6145" max="6145" width="11.140625" style="1" customWidth="1"/>
    <col min="6146" max="6146" width="10.28515625" style="1" customWidth="1"/>
    <col min="6147" max="6147" width="10.5703125" style="1" customWidth="1"/>
    <col min="6148" max="6148" width="9.7109375" style="1" customWidth="1"/>
    <col min="6149" max="6149" width="16.7109375" style="1" customWidth="1"/>
    <col min="6150" max="6397" width="9.140625" style="1"/>
    <col min="6398" max="6398" width="6.140625" style="1" customWidth="1"/>
    <col min="6399" max="6399" width="44.85546875" style="1" customWidth="1"/>
    <col min="6400" max="6400" width="11.85546875" style="1" customWidth="1"/>
    <col min="6401" max="6401" width="11.140625" style="1" customWidth="1"/>
    <col min="6402" max="6402" width="10.28515625" style="1" customWidth="1"/>
    <col min="6403" max="6403" width="10.5703125" style="1" customWidth="1"/>
    <col min="6404" max="6404" width="9.7109375" style="1" customWidth="1"/>
    <col min="6405" max="6405" width="16.7109375" style="1" customWidth="1"/>
    <col min="6406" max="6653" width="9.140625" style="1"/>
    <col min="6654" max="6654" width="6.140625" style="1" customWidth="1"/>
    <col min="6655" max="6655" width="44.85546875" style="1" customWidth="1"/>
    <col min="6656" max="6656" width="11.85546875" style="1" customWidth="1"/>
    <col min="6657" max="6657" width="11.140625" style="1" customWidth="1"/>
    <col min="6658" max="6658" width="10.28515625" style="1" customWidth="1"/>
    <col min="6659" max="6659" width="10.5703125" style="1" customWidth="1"/>
    <col min="6660" max="6660" width="9.7109375" style="1" customWidth="1"/>
    <col min="6661" max="6661" width="16.7109375" style="1" customWidth="1"/>
    <col min="6662" max="6909" width="9.140625" style="1"/>
    <col min="6910" max="6910" width="6.140625" style="1" customWidth="1"/>
    <col min="6911" max="6911" width="44.85546875" style="1" customWidth="1"/>
    <col min="6912" max="6912" width="11.85546875" style="1" customWidth="1"/>
    <col min="6913" max="6913" width="11.140625" style="1" customWidth="1"/>
    <col min="6914" max="6914" width="10.28515625" style="1" customWidth="1"/>
    <col min="6915" max="6915" width="10.5703125" style="1" customWidth="1"/>
    <col min="6916" max="6916" width="9.7109375" style="1" customWidth="1"/>
    <col min="6917" max="6917" width="16.7109375" style="1" customWidth="1"/>
    <col min="6918" max="7165" width="9.140625" style="1"/>
    <col min="7166" max="7166" width="6.140625" style="1" customWidth="1"/>
    <col min="7167" max="7167" width="44.85546875" style="1" customWidth="1"/>
    <col min="7168" max="7168" width="11.85546875" style="1" customWidth="1"/>
    <col min="7169" max="7169" width="11.140625" style="1" customWidth="1"/>
    <col min="7170" max="7170" width="10.28515625" style="1" customWidth="1"/>
    <col min="7171" max="7171" width="10.5703125" style="1" customWidth="1"/>
    <col min="7172" max="7172" width="9.7109375" style="1" customWidth="1"/>
    <col min="7173" max="7173" width="16.7109375" style="1" customWidth="1"/>
    <col min="7174" max="7421" width="9.140625" style="1"/>
    <col min="7422" max="7422" width="6.140625" style="1" customWidth="1"/>
    <col min="7423" max="7423" width="44.85546875" style="1" customWidth="1"/>
    <col min="7424" max="7424" width="11.85546875" style="1" customWidth="1"/>
    <col min="7425" max="7425" width="11.140625" style="1" customWidth="1"/>
    <col min="7426" max="7426" width="10.28515625" style="1" customWidth="1"/>
    <col min="7427" max="7427" width="10.5703125" style="1" customWidth="1"/>
    <col min="7428" max="7428" width="9.7109375" style="1" customWidth="1"/>
    <col min="7429" max="7429" width="16.7109375" style="1" customWidth="1"/>
    <col min="7430" max="7677" width="9.140625" style="1"/>
    <col min="7678" max="7678" width="6.140625" style="1" customWidth="1"/>
    <col min="7679" max="7679" width="44.85546875" style="1" customWidth="1"/>
    <col min="7680" max="7680" width="11.85546875" style="1" customWidth="1"/>
    <col min="7681" max="7681" width="11.140625" style="1" customWidth="1"/>
    <col min="7682" max="7682" width="10.28515625" style="1" customWidth="1"/>
    <col min="7683" max="7683" width="10.5703125" style="1" customWidth="1"/>
    <col min="7684" max="7684" width="9.7109375" style="1" customWidth="1"/>
    <col min="7685" max="7685" width="16.7109375" style="1" customWidth="1"/>
    <col min="7686" max="7933" width="9.140625" style="1"/>
    <col min="7934" max="7934" width="6.140625" style="1" customWidth="1"/>
    <col min="7935" max="7935" width="44.85546875" style="1" customWidth="1"/>
    <col min="7936" max="7936" width="11.85546875" style="1" customWidth="1"/>
    <col min="7937" max="7937" width="11.140625" style="1" customWidth="1"/>
    <col min="7938" max="7938" width="10.28515625" style="1" customWidth="1"/>
    <col min="7939" max="7939" width="10.5703125" style="1" customWidth="1"/>
    <col min="7940" max="7940" width="9.7109375" style="1" customWidth="1"/>
    <col min="7941" max="7941" width="16.7109375" style="1" customWidth="1"/>
    <col min="7942" max="8189" width="9.140625" style="1"/>
    <col min="8190" max="8190" width="6.140625" style="1" customWidth="1"/>
    <col min="8191" max="8191" width="44.85546875" style="1" customWidth="1"/>
    <col min="8192" max="8192" width="11.85546875" style="1" customWidth="1"/>
    <col min="8193" max="8193" width="11.140625" style="1" customWidth="1"/>
    <col min="8194" max="8194" width="10.28515625" style="1" customWidth="1"/>
    <col min="8195" max="8195" width="10.5703125" style="1" customWidth="1"/>
    <col min="8196" max="8196" width="9.7109375" style="1" customWidth="1"/>
    <col min="8197" max="8197" width="16.7109375" style="1" customWidth="1"/>
    <col min="8198" max="8445" width="9.140625" style="1"/>
    <col min="8446" max="8446" width="6.140625" style="1" customWidth="1"/>
    <col min="8447" max="8447" width="44.85546875" style="1" customWidth="1"/>
    <col min="8448" max="8448" width="11.85546875" style="1" customWidth="1"/>
    <col min="8449" max="8449" width="11.140625" style="1" customWidth="1"/>
    <col min="8450" max="8450" width="10.28515625" style="1" customWidth="1"/>
    <col min="8451" max="8451" width="10.5703125" style="1" customWidth="1"/>
    <col min="8452" max="8452" width="9.7109375" style="1" customWidth="1"/>
    <col min="8453" max="8453" width="16.7109375" style="1" customWidth="1"/>
    <col min="8454" max="8701" width="9.140625" style="1"/>
    <col min="8702" max="8702" width="6.140625" style="1" customWidth="1"/>
    <col min="8703" max="8703" width="44.85546875" style="1" customWidth="1"/>
    <col min="8704" max="8704" width="11.85546875" style="1" customWidth="1"/>
    <col min="8705" max="8705" width="11.140625" style="1" customWidth="1"/>
    <col min="8706" max="8706" width="10.28515625" style="1" customWidth="1"/>
    <col min="8707" max="8707" width="10.5703125" style="1" customWidth="1"/>
    <col min="8708" max="8708" width="9.7109375" style="1" customWidth="1"/>
    <col min="8709" max="8709" width="16.7109375" style="1" customWidth="1"/>
    <col min="8710" max="8957" width="9.140625" style="1"/>
    <col min="8958" max="8958" width="6.140625" style="1" customWidth="1"/>
    <col min="8959" max="8959" width="44.85546875" style="1" customWidth="1"/>
    <col min="8960" max="8960" width="11.85546875" style="1" customWidth="1"/>
    <col min="8961" max="8961" width="11.140625" style="1" customWidth="1"/>
    <col min="8962" max="8962" width="10.28515625" style="1" customWidth="1"/>
    <col min="8963" max="8963" width="10.5703125" style="1" customWidth="1"/>
    <col min="8964" max="8964" width="9.7109375" style="1" customWidth="1"/>
    <col min="8965" max="8965" width="16.7109375" style="1" customWidth="1"/>
    <col min="8966" max="9213" width="9.140625" style="1"/>
    <col min="9214" max="9214" width="6.140625" style="1" customWidth="1"/>
    <col min="9215" max="9215" width="44.85546875" style="1" customWidth="1"/>
    <col min="9216" max="9216" width="11.85546875" style="1" customWidth="1"/>
    <col min="9217" max="9217" width="11.140625" style="1" customWidth="1"/>
    <col min="9218" max="9218" width="10.28515625" style="1" customWidth="1"/>
    <col min="9219" max="9219" width="10.5703125" style="1" customWidth="1"/>
    <col min="9220" max="9220" width="9.7109375" style="1" customWidth="1"/>
    <col min="9221" max="9221" width="16.7109375" style="1" customWidth="1"/>
    <col min="9222" max="9469" width="9.140625" style="1"/>
    <col min="9470" max="9470" width="6.140625" style="1" customWidth="1"/>
    <col min="9471" max="9471" width="44.85546875" style="1" customWidth="1"/>
    <col min="9472" max="9472" width="11.85546875" style="1" customWidth="1"/>
    <col min="9473" max="9473" width="11.140625" style="1" customWidth="1"/>
    <col min="9474" max="9474" width="10.28515625" style="1" customWidth="1"/>
    <col min="9475" max="9475" width="10.5703125" style="1" customWidth="1"/>
    <col min="9476" max="9476" width="9.7109375" style="1" customWidth="1"/>
    <col min="9477" max="9477" width="16.7109375" style="1" customWidth="1"/>
    <col min="9478" max="9725" width="9.140625" style="1"/>
    <col min="9726" max="9726" width="6.140625" style="1" customWidth="1"/>
    <col min="9727" max="9727" width="44.85546875" style="1" customWidth="1"/>
    <col min="9728" max="9728" width="11.85546875" style="1" customWidth="1"/>
    <col min="9729" max="9729" width="11.140625" style="1" customWidth="1"/>
    <col min="9730" max="9730" width="10.28515625" style="1" customWidth="1"/>
    <col min="9731" max="9731" width="10.5703125" style="1" customWidth="1"/>
    <col min="9732" max="9732" width="9.7109375" style="1" customWidth="1"/>
    <col min="9733" max="9733" width="16.7109375" style="1" customWidth="1"/>
    <col min="9734" max="9981" width="9.140625" style="1"/>
    <col min="9982" max="9982" width="6.140625" style="1" customWidth="1"/>
    <col min="9983" max="9983" width="44.85546875" style="1" customWidth="1"/>
    <col min="9984" max="9984" width="11.85546875" style="1" customWidth="1"/>
    <col min="9985" max="9985" width="11.140625" style="1" customWidth="1"/>
    <col min="9986" max="9986" width="10.28515625" style="1" customWidth="1"/>
    <col min="9987" max="9987" width="10.5703125" style="1" customWidth="1"/>
    <col min="9988" max="9988" width="9.7109375" style="1" customWidth="1"/>
    <col min="9989" max="9989" width="16.7109375" style="1" customWidth="1"/>
    <col min="9990" max="10237" width="9.140625" style="1"/>
    <col min="10238" max="10238" width="6.140625" style="1" customWidth="1"/>
    <col min="10239" max="10239" width="44.85546875" style="1" customWidth="1"/>
    <col min="10240" max="10240" width="11.85546875" style="1" customWidth="1"/>
    <col min="10241" max="10241" width="11.140625" style="1" customWidth="1"/>
    <col min="10242" max="10242" width="10.28515625" style="1" customWidth="1"/>
    <col min="10243" max="10243" width="10.5703125" style="1" customWidth="1"/>
    <col min="10244" max="10244" width="9.7109375" style="1" customWidth="1"/>
    <col min="10245" max="10245" width="16.7109375" style="1" customWidth="1"/>
    <col min="10246" max="10493" width="9.140625" style="1"/>
    <col min="10494" max="10494" width="6.140625" style="1" customWidth="1"/>
    <col min="10495" max="10495" width="44.85546875" style="1" customWidth="1"/>
    <col min="10496" max="10496" width="11.85546875" style="1" customWidth="1"/>
    <col min="10497" max="10497" width="11.140625" style="1" customWidth="1"/>
    <col min="10498" max="10498" width="10.28515625" style="1" customWidth="1"/>
    <col min="10499" max="10499" width="10.5703125" style="1" customWidth="1"/>
    <col min="10500" max="10500" width="9.7109375" style="1" customWidth="1"/>
    <col min="10501" max="10501" width="16.7109375" style="1" customWidth="1"/>
    <col min="10502" max="10749" width="9.140625" style="1"/>
    <col min="10750" max="10750" width="6.140625" style="1" customWidth="1"/>
    <col min="10751" max="10751" width="44.85546875" style="1" customWidth="1"/>
    <col min="10752" max="10752" width="11.85546875" style="1" customWidth="1"/>
    <col min="10753" max="10753" width="11.140625" style="1" customWidth="1"/>
    <col min="10754" max="10754" width="10.28515625" style="1" customWidth="1"/>
    <col min="10755" max="10755" width="10.5703125" style="1" customWidth="1"/>
    <col min="10756" max="10756" width="9.7109375" style="1" customWidth="1"/>
    <col min="10757" max="10757" width="16.7109375" style="1" customWidth="1"/>
    <col min="10758" max="11005" width="9.140625" style="1"/>
    <col min="11006" max="11006" width="6.140625" style="1" customWidth="1"/>
    <col min="11007" max="11007" width="44.85546875" style="1" customWidth="1"/>
    <col min="11008" max="11008" width="11.85546875" style="1" customWidth="1"/>
    <col min="11009" max="11009" width="11.140625" style="1" customWidth="1"/>
    <col min="11010" max="11010" width="10.28515625" style="1" customWidth="1"/>
    <col min="11011" max="11011" width="10.5703125" style="1" customWidth="1"/>
    <col min="11012" max="11012" width="9.7109375" style="1" customWidth="1"/>
    <col min="11013" max="11013" width="16.7109375" style="1" customWidth="1"/>
    <col min="11014" max="11261" width="9.140625" style="1"/>
    <col min="11262" max="11262" width="6.140625" style="1" customWidth="1"/>
    <col min="11263" max="11263" width="44.85546875" style="1" customWidth="1"/>
    <col min="11264" max="11264" width="11.85546875" style="1" customWidth="1"/>
    <col min="11265" max="11265" width="11.140625" style="1" customWidth="1"/>
    <col min="11266" max="11266" width="10.28515625" style="1" customWidth="1"/>
    <col min="11267" max="11267" width="10.5703125" style="1" customWidth="1"/>
    <col min="11268" max="11268" width="9.7109375" style="1" customWidth="1"/>
    <col min="11269" max="11269" width="16.7109375" style="1" customWidth="1"/>
    <col min="11270" max="11517" width="9.140625" style="1"/>
    <col min="11518" max="11518" width="6.140625" style="1" customWidth="1"/>
    <col min="11519" max="11519" width="44.85546875" style="1" customWidth="1"/>
    <col min="11520" max="11520" width="11.85546875" style="1" customWidth="1"/>
    <col min="11521" max="11521" width="11.140625" style="1" customWidth="1"/>
    <col min="11522" max="11522" width="10.28515625" style="1" customWidth="1"/>
    <col min="11523" max="11523" width="10.5703125" style="1" customWidth="1"/>
    <col min="11524" max="11524" width="9.7109375" style="1" customWidth="1"/>
    <col min="11525" max="11525" width="16.7109375" style="1" customWidth="1"/>
    <col min="11526" max="11773" width="9.140625" style="1"/>
    <col min="11774" max="11774" width="6.140625" style="1" customWidth="1"/>
    <col min="11775" max="11775" width="44.85546875" style="1" customWidth="1"/>
    <col min="11776" max="11776" width="11.85546875" style="1" customWidth="1"/>
    <col min="11777" max="11777" width="11.140625" style="1" customWidth="1"/>
    <col min="11778" max="11778" width="10.28515625" style="1" customWidth="1"/>
    <col min="11779" max="11779" width="10.5703125" style="1" customWidth="1"/>
    <col min="11780" max="11780" width="9.7109375" style="1" customWidth="1"/>
    <col min="11781" max="11781" width="16.7109375" style="1" customWidth="1"/>
    <col min="11782" max="12029" width="9.140625" style="1"/>
    <col min="12030" max="12030" width="6.140625" style="1" customWidth="1"/>
    <col min="12031" max="12031" width="44.85546875" style="1" customWidth="1"/>
    <col min="12032" max="12032" width="11.85546875" style="1" customWidth="1"/>
    <col min="12033" max="12033" width="11.140625" style="1" customWidth="1"/>
    <col min="12034" max="12034" width="10.28515625" style="1" customWidth="1"/>
    <col min="12035" max="12035" width="10.5703125" style="1" customWidth="1"/>
    <col min="12036" max="12036" width="9.7109375" style="1" customWidth="1"/>
    <col min="12037" max="12037" width="16.7109375" style="1" customWidth="1"/>
    <col min="12038" max="12285" width="9.140625" style="1"/>
    <col min="12286" max="12286" width="6.140625" style="1" customWidth="1"/>
    <col min="12287" max="12287" width="44.85546875" style="1" customWidth="1"/>
    <col min="12288" max="12288" width="11.85546875" style="1" customWidth="1"/>
    <col min="12289" max="12289" width="11.140625" style="1" customWidth="1"/>
    <col min="12290" max="12290" width="10.28515625" style="1" customWidth="1"/>
    <col min="12291" max="12291" width="10.5703125" style="1" customWidth="1"/>
    <col min="12292" max="12292" width="9.7109375" style="1" customWidth="1"/>
    <col min="12293" max="12293" width="16.7109375" style="1" customWidth="1"/>
    <col min="12294" max="12541" width="9.140625" style="1"/>
    <col min="12542" max="12542" width="6.140625" style="1" customWidth="1"/>
    <col min="12543" max="12543" width="44.85546875" style="1" customWidth="1"/>
    <col min="12544" max="12544" width="11.85546875" style="1" customWidth="1"/>
    <col min="12545" max="12545" width="11.140625" style="1" customWidth="1"/>
    <col min="12546" max="12546" width="10.28515625" style="1" customWidth="1"/>
    <col min="12547" max="12547" width="10.5703125" style="1" customWidth="1"/>
    <col min="12548" max="12548" width="9.7109375" style="1" customWidth="1"/>
    <col min="12549" max="12549" width="16.7109375" style="1" customWidth="1"/>
    <col min="12550" max="12797" width="9.140625" style="1"/>
    <col min="12798" max="12798" width="6.140625" style="1" customWidth="1"/>
    <col min="12799" max="12799" width="44.85546875" style="1" customWidth="1"/>
    <col min="12800" max="12800" width="11.85546875" style="1" customWidth="1"/>
    <col min="12801" max="12801" width="11.140625" style="1" customWidth="1"/>
    <col min="12802" max="12802" width="10.28515625" style="1" customWidth="1"/>
    <col min="12803" max="12803" width="10.5703125" style="1" customWidth="1"/>
    <col min="12804" max="12804" width="9.7109375" style="1" customWidth="1"/>
    <col min="12805" max="12805" width="16.7109375" style="1" customWidth="1"/>
    <col min="12806" max="13053" width="9.140625" style="1"/>
    <col min="13054" max="13054" width="6.140625" style="1" customWidth="1"/>
    <col min="13055" max="13055" width="44.85546875" style="1" customWidth="1"/>
    <col min="13056" max="13056" width="11.85546875" style="1" customWidth="1"/>
    <col min="13057" max="13057" width="11.140625" style="1" customWidth="1"/>
    <col min="13058" max="13058" width="10.28515625" style="1" customWidth="1"/>
    <col min="13059" max="13059" width="10.5703125" style="1" customWidth="1"/>
    <col min="13060" max="13060" width="9.7109375" style="1" customWidth="1"/>
    <col min="13061" max="13061" width="16.7109375" style="1" customWidth="1"/>
    <col min="13062" max="13309" width="9.140625" style="1"/>
    <col min="13310" max="13310" width="6.140625" style="1" customWidth="1"/>
    <col min="13311" max="13311" width="44.85546875" style="1" customWidth="1"/>
    <col min="13312" max="13312" width="11.85546875" style="1" customWidth="1"/>
    <col min="13313" max="13313" width="11.140625" style="1" customWidth="1"/>
    <col min="13314" max="13314" width="10.28515625" style="1" customWidth="1"/>
    <col min="13315" max="13315" width="10.5703125" style="1" customWidth="1"/>
    <col min="13316" max="13316" width="9.7109375" style="1" customWidth="1"/>
    <col min="13317" max="13317" width="16.7109375" style="1" customWidth="1"/>
    <col min="13318" max="13565" width="9.140625" style="1"/>
    <col min="13566" max="13566" width="6.140625" style="1" customWidth="1"/>
    <col min="13567" max="13567" width="44.85546875" style="1" customWidth="1"/>
    <col min="13568" max="13568" width="11.85546875" style="1" customWidth="1"/>
    <col min="13569" max="13569" width="11.140625" style="1" customWidth="1"/>
    <col min="13570" max="13570" width="10.28515625" style="1" customWidth="1"/>
    <col min="13571" max="13571" width="10.5703125" style="1" customWidth="1"/>
    <col min="13572" max="13572" width="9.7109375" style="1" customWidth="1"/>
    <col min="13573" max="13573" width="16.7109375" style="1" customWidth="1"/>
    <col min="13574" max="13821" width="9.140625" style="1"/>
    <col min="13822" max="13822" width="6.140625" style="1" customWidth="1"/>
    <col min="13823" max="13823" width="44.85546875" style="1" customWidth="1"/>
    <col min="13824" max="13824" width="11.85546875" style="1" customWidth="1"/>
    <col min="13825" max="13825" width="11.140625" style="1" customWidth="1"/>
    <col min="13826" max="13826" width="10.28515625" style="1" customWidth="1"/>
    <col min="13827" max="13827" width="10.5703125" style="1" customWidth="1"/>
    <col min="13828" max="13828" width="9.7109375" style="1" customWidth="1"/>
    <col min="13829" max="13829" width="16.7109375" style="1" customWidth="1"/>
    <col min="13830" max="14077" width="9.140625" style="1"/>
    <col min="14078" max="14078" width="6.140625" style="1" customWidth="1"/>
    <col min="14079" max="14079" width="44.85546875" style="1" customWidth="1"/>
    <col min="14080" max="14080" width="11.85546875" style="1" customWidth="1"/>
    <col min="14081" max="14081" width="11.140625" style="1" customWidth="1"/>
    <col min="14082" max="14082" width="10.28515625" style="1" customWidth="1"/>
    <col min="14083" max="14083" width="10.5703125" style="1" customWidth="1"/>
    <col min="14084" max="14084" width="9.7109375" style="1" customWidth="1"/>
    <col min="14085" max="14085" width="16.7109375" style="1" customWidth="1"/>
    <col min="14086" max="14333" width="9.140625" style="1"/>
    <col min="14334" max="14334" width="6.140625" style="1" customWidth="1"/>
    <col min="14335" max="14335" width="44.85546875" style="1" customWidth="1"/>
    <col min="14336" max="14336" width="11.85546875" style="1" customWidth="1"/>
    <col min="14337" max="14337" width="11.140625" style="1" customWidth="1"/>
    <col min="14338" max="14338" width="10.28515625" style="1" customWidth="1"/>
    <col min="14339" max="14339" width="10.5703125" style="1" customWidth="1"/>
    <col min="14340" max="14340" width="9.7109375" style="1" customWidth="1"/>
    <col min="14341" max="14341" width="16.7109375" style="1" customWidth="1"/>
    <col min="14342" max="14589" width="9.140625" style="1"/>
    <col min="14590" max="14590" width="6.140625" style="1" customWidth="1"/>
    <col min="14591" max="14591" width="44.85546875" style="1" customWidth="1"/>
    <col min="14592" max="14592" width="11.85546875" style="1" customWidth="1"/>
    <col min="14593" max="14593" width="11.140625" style="1" customWidth="1"/>
    <col min="14594" max="14594" width="10.28515625" style="1" customWidth="1"/>
    <col min="14595" max="14595" width="10.5703125" style="1" customWidth="1"/>
    <col min="14596" max="14596" width="9.7109375" style="1" customWidth="1"/>
    <col min="14597" max="14597" width="16.7109375" style="1" customWidth="1"/>
    <col min="14598" max="14845" width="9.140625" style="1"/>
    <col min="14846" max="14846" width="6.140625" style="1" customWidth="1"/>
    <col min="14847" max="14847" width="44.85546875" style="1" customWidth="1"/>
    <col min="14848" max="14848" width="11.85546875" style="1" customWidth="1"/>
    <col min="14849" max="14849" width="11.140625" style="1" customWidth="1"/>
    <col min="14850" max="14850" width="10.28515625" style="1" customWidth="1"/>
    <col min="14851" max="14851" width="10.5703125" style="1" customWidth="1"/>
    <col min="14852" max="14852" width="9.7109375" style="1" customWidth="1"/>
    <col min="14853" max="14853" width="16.7109375" style="1" customWidth="1"/>
    <col min="14854" max="15101" width="9.140625" style="1"/>
    <col min="15102" max="15102" width="6.140625" style="1" customWidth="1"/>
    <col min="15103" max="15103" width="44.85546875" style="1" customWidth="1"/>
    <col min="15104" max="15104" width="11.85546875" style="1" customWidth="1"/>
    <col min="15105" max="15105" width="11.140625" style="1" customWidth="1"/>
    <col min="15106" max="15106" width="10.28515625" style="1" customWidth="1"/>
    <col min="15107" max="15107" width="10.5703125" style="1" customWidth="1"/>
    <col min="15108" max="15108" width="9.7109375" style="1" customWidth="1"/>
    <col min="15109" max="15109" width="16.7109375" style="1" customWidth="1"/>
    <col min="15110" max="15357" width="9.140625" style="1"/>
    <col min="15358" max="15358" width="6.140625" style="1" customWidth="1"/>
    <col min="15359" max="15359" width="44.85546875" style="1" customWidth="1"/>
    <col min="15360" max="15360" width="11.85546875" style="1" customWidth="1"/>
    <col min="15361" max="15361" width="11.140625" style="1" customWidth="1"/>
    <col min="15362" max="15362" width="10.28515625" style="1" customWidth="1"/>
    <col min="15363" max="15363" width="10.5703125" style="1" customWidth="1"/>
    <col min="15364" max="15364" width="9.7109375" style="1" customWidth="1"/>
    <col min="15365" max="15365" width="16.7109375" style="1" customWidth="1"/>
    <col min="15366" max="15613" width="9.140625" style="1"/>
    <col min="15614" max="15614" width="6.140625" style="1" customWidth="1"/>
    <col min="15615" max="15615" width="44.85546875" style="1" customWidth="1"/>
    <col min="15616" max="15616" width="11.85546875" style="1" customWidth="1"/>
    <col min="15617" max="15617" width="11.140625" style="1" customWidth="1"/>
    <col min="15618" max="15618" width="10.28515625" style="1" customWidth="1"/>
    <col min="15619" max="15619" width="10.5703125" style="1" customWidth="1"/>
    <col min="15620" max="15620" width="9.7109375" style="1" customWidth="1"/>
    <col min="15621" max="15621" width="16.7109375" style="1" customWidth="1"/>
    <col min="15622" max="15869" width="9.140625" style="1"/>
    <col min="15870" max="15870" width="6.140625" style="1" customWidth="1"/>
    <col min="15871" max="15871" width="44.85546875" style="1" customWidth="1"/>
    <col min="15872" max="15872" width="11.85546875" style="1" customWidth="1"/>
    <col min="15873" max="15873" width="11.140625" style="1" customWidth="1"/>
    <col min="15874" max="15874" width="10.28515625" style="1" customWidth="1"/>
    <col min="15875" max="15875" width="10.5703125" style="1" customWidth="1"/>
    <col min="15876" max="15876" width="9.7109375" style="1" customWidth="1"/>
    <col min="15877" max="15877" width="16.7109375" style="1" customWidth="1"/>
    <col min="15878" max="16125" width="9.140625" style="1"/>
    <col min="16126" max="16126" width="6.140625" style="1" customWidth="1"/>
    <col min="16127" max="16127" width="44.85546875" style="1" customWidth="1"/>
    <col min="16128" max="16128" width="11.85546875" style="1" customWidth="1"/>
    <col min="16129" max="16129" width="11.140625" style="1" customWidth="1"/>
    <col min="16130" max="16130" width="10.28515625" style="1" customWidth="1"/>
    <col min="16131" max="16131" width="10.5703125" style="1" customWidth="1"/>
    <col min="16132" max="16132" width="9.7109375" style="1" customWidth="1"/>
    <col min="16133" max="16133" width="16.7109375" style="1" customWidth="1"/>
    <col min="16134" max="16384" width="9.140625" style="1"/>
  </cols>
  <sheetData>
    <row r="1" spans="1:7" ht="16.5" x14ac:dyDescent="0.25">
      <c r="B1" s="1034" t="s">
        <v>1292</v>
      </c>
      <c r="C1" s="1034"/>
      <c r="D1" s="1034"/>
      <c r="E1" s="1034"/>
      <c r="F1" s="1034"/>
      <c r="G1" s="1034"/>
    </row>
    <row r="2" spans="1:7" ht="16.5" x14ac:dyDescent="0.25">
      <c r="C2" s="950"/>
      <c r="D2" s="950"/>
      <c r="E2" s="950"/>
      <c r="F2" s="950"/>
      <c r="G2" s="951" t="s">
        <v>1184</v>
      </c>
    </row>
    <row r="3" spans="1:7" ht="16.5" x14ac:dyDescent="0.25">
      <c r="C3" s="950"/>
      <c r="D3" s="950"/>
      <c r="E3" s="950"/>
      <c r="F3" s="950"/>
      <c r="G3" s="951" t="s">
        <v>1185</v>
      </c>
    </row>
    <row r="6" spans="1:7" x14ac:dyDescent="0.2">
      <c r="A6" s="1" t="s">
        <v>298</v>
      </c>
      <c r="B6" s="144"/>
      <c r="C6" s="1043"/>
      <c r="D6" s="1043"/>
      <c r="E6" s="1043"/>
      <c r="F6" s="1043"/>
      <c r="G6" s="1043"/>
    </row>
    <row r="7" spans="1:7" x14ac:dyDescent="0.2">
      <c r="B7" s="144"/>
      <c r="C7" s="145"/>
      <c r="D7" s="145"/>
      <c r="E7" s="145"/>
      <c r="F7" s="145"/>
      <c r="G7" s="145"/>
    </row>
    <row r="8" spans="1:7" ht="15.75" x14ac:dyDescent="0.25">
      <c r="A8" s="1044" t="s">
        <v>291</v>
      </c>
      <c r="B8" s="1044"/>
      <c r="C8" s="1044"/>
      <c r="D8" s="1044"/>
      <c r="E8" s="1044"/>
      <c r="F8" s="1044"/>
      <c r="G8" s="1044"/>
    </row>
    <row r="9" spans="1:7" ht="12" customHeight="1" x14ac:dyDescent="0.25">
      <c r="A9" s="146"/>
      <c r="B9" s="146"/>
      <c r="C9" s="146"/>
      <c r="D9" s="146"/>
      <c r="E9" s="146"/>
      <c r="F9" s="146"/>
      <c r="G9" s="146"/>
    </row>
    <row r="10" spans="1:7" ht="15.75" x14ac:dyDescent="0.25">
      <c r="A10" s="1" t="s">
        <v>1290</v>
      </c>
      <c r="C10" s="1185"/>
      <c r="D10" s="1185"/>
      <c r="E10" s="1185"/>
      <c r="F10" s="1185"/>
      <c r="G10" s="1185"/>
    </row>
    <row r="11" spans="1:7" ht="15.75" x14ac:dyDescent="0.25">
      <c r="C11" s="209"/>
      <c r="D11" s="209"/>
      <c r="E11" s="209"/>
      <c r="F11" s="209"/>
      <c r="G11" s="209"/>
    </row>
    <row r="12" spans="1:7" x14ac:dyDescent="0.2">
      <c r="A12" s="1" t="s">
        <v>1260</v>
      </c>
      <c r="C12" s="149"/>
      <c r="D12" s="149"/>
      <c r="E12" s="149"/>
      <c r="F12" s="149"/>
      <c r="G12" s="149"/>
    </row>
    <row r="13" spans="1:7" x14ac:dyDescent="0.2">
      <c r="A13" s="1" t="s">
        <v>1291</v>
      </c>
      <c r="C13" s="485"/>
      <c r="D13" s="149"/>
      <c r="E13" s="149"/>
      <c r="F13" s="149"/>
      <c r="G13" s="149"/>
    </row>
    <row r="14" spans="1:7" ht="23.25" customHeight="1" x14ac:dyDescent="0.2">
      <c r="A14" s="1102" t="s">
        <v>1</v>
      </c>
      <c r="B14" s="1102" t="s">
        <v>2</v>
      </c>
      <c r="C14" s="1102" t="s">
        <v>26</v>
      </c>
      <c r="D14" s="1102" t="s">
        <v>27</v>
      </c>
      <c r="E14" s="1102" t="s">
        <v>299</v>
      </c>
      <c r="F14" s="1122" t="s">
        <v>6</v>
      </c>
      <c r="G14" s="1122" t="s">
        <v>1190</v>
      </c>
    </row>
    <row r="15" spans="1:7" ht="12.75" customHeight="1" x14ac:dyDescent="0.2">
      <c r="A15" s="1102"/>
      <c r="B15" s="1102"/>
      <c r="C15" s="1102"/>
      <c r="D15" s="1102"/>
      <c r="E15" s="1102"/>
      <c r="F15" s="1123"/>
      <c r="G15" s="1123"/>
    </row>
    <row r="16" spans="1:7" x14ac:dyDescent="0.2">
      <c r="A16" s="1120" t="s">
        <v>300</v>
      </c>
      <c r="B16" s="1121"/>
      <c r="C16" s="200">
        <f>SUM(C17:C18)</f>
        <v>24258</v>
      </c>
      <c r="D16" s="200">
        <f>SUM(D17:D18)</f>
        <v>10909</v>
      </c>
      <c r="E16" s="200">
        <f>SUM(E17:E18)</f>
        <v>30000</v>
      </c>
      <c r="F16" s="200"/>
      <c r="G16" s="200">
        <f>SUM(G17:G18)</f>
        <v>30000</v>
      </c>
    </row>
    <row r="17" spans="1:7" x14ac:dyDescent="0.2">
      <c r="A17" s="143">
        <v>1</v>
      </c>
      <c r="B17" s="201" t="s">
        <v>363</v>
      </c>
      <c r="C17" s="208">
        <v>10029</v>
      </c>
      <c r="D17" s="208">
        <v>0</v>
      </c>
      <c r="E17" s="208">
        <v>10000</v>
      </c>
      <c r="F17" s="200">
        <v>2239</v>
      </c>
      <c r="G17" s="208">
        <v>10000</v>
      </c>
    </row>
    <row r="18" spans="1:7" x14ac:dyDescent="0.2">
      <c r="A18" s="143">
        <v>2</v>
      </c>
      <c r="B18" s="201" t="s">
        <v>364</v>
      </c>
      <c r="C18" s="208">
        <v>14229</v>
      </c>
      <c r="D18" s="208">
        <v>10909</v>
      </c>
      <c r="E18" s="208">
        <v>20000</v>
      </c>
      <c r="F18" s="200">
        <v>5240</v>
      </c>
      <c r="G18" s="208">
        <v>20000</v>
      </c>
    </row>
    <row r="19" spans="1:7" x14ac:dyDescent="0.2">
      <c r="A19" s="165"/>
      <c r="B19" s="165"/>
      <c r="C19" s="165"/>
      <c r="D19" s="165"/>
      <c r="E19" s="165"/>
      <c r="F19" s="165"/>
      <c r="G19" s="165"/>
    </row>
  </sheetData>
  <mergeCells count="12">
    <mergeCell ref="B1:G1"/>
    <mergeCell ref="A16:B16"/>
    <mergeCell ref="C6:G6"/>
    <mergeCell ref="A8:G8"/>
    <mergeCell ref="C10:G10"/>
    <mergeCell ref="A14:A15"/>
    <mergeCell ref="B14:B15"/>
    <mergeCell ref="C14:C15"/>
    <mergeCell ref="D14:D15"/>
    <mergeCell ref="E14:E15"/>
    <mergeCell ref="F14:F15"/>
    <mergeCell ref="G14:G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99"/>
  </sheetPr>
  <dimension ref="A1:J55"/>
  <sheetViews>
    <sheetView workbookViewId="0">
      <selection activeCell="B2" sqref="B2"/>
    </sheetView>
  </sheetViews>
  <sheetFormatPr defaultRowHeight="15" x14ac:dyDescent="0.25"/>
  <cols>
    <col min="1" max="1" width="4.5703125" style="291" customWidth="1"/>
    <col min="2" max="2" width="63.7109375" style="291" customWidth="1"/>
    <col min="3" max="3" width="11.85546875" style="484" hidden="1" customWidth="1"/>
    <col min="4" max="4" width="10.140625" style="484" hidden="1" customWidth="1"/>
    <col min="5" max="5" width="11.7109375" style="484" hidden="1" customWidth="1"/>
    <col min="6" max="6" width="11" style="484" customWidth="1"/>
    <col min="7" max="7" width="9.42578125" style="484" customWidth="1"/>
    <col min="8" max="251" width="9.140625" style="291"/>
    <col min="252" max="252" width="4.5703125" style="291" customWidth="1"/>
    <col min="253" max="253" width="29.5703125" style="291" customWidth="1"/>
    <col min="254" max="254" width="11.85546875" style="291" customWidth="1"/>
    <col min="255" max="255" width="10.140625" style="291" customWidth="1"/>
    <col min="256" max="256" width="11.7109375" style="291" customWidth="1"/>
    <col min="257" max="257" width="11.5703125" style="291" customWidth="1"/>
    <col min="258" max="258" width="10.140625" style="291" customWidth="1"/>
    <col min="259" max="259" width="17" style="291" customWidth="1"/>
    <col min="260" max="507" width="9.140625" style="291"/>
    <col min="508" max="508" width="4.5703125" style="291" customWidth="1"/>
    <col min="509" max="509" width="29.5703125" style="291" customWidth="1"/>
    <col min="510" max="510" width="11.85546875" style="291" customWidth="1"/>
    <col min="511" max="511" width="10.140625" style="291" customWidth="1"/>
    <col min="512" max="512" width="11.7109375" style="291" customWidth="1"/>
    <col min="513" max="513" width="11.5703125" style="291" customWidth="1"/>
    <col min="514" max="514" width="10.140625" style="291" customWidth="1"/>
    <col min="515" max="515" width="17" style="291" customWidth="1"/>
    <col min="516" max="763" width="9.140625" style="291"/>
    <col min="764" max="764" width="4.5703125" style="291" customWidth="1"/>
    <col min="765" max="765" width="29.5703125" style="291" customWidth="1"/>
    <col min="766" max="766" width="11.85546875" style="291" customWidth="1"/>
    <col min="767" max="767" width="10.140625" style="291" customWidth="1"/>
    <col min="768" max="768" width="11.7109375" style="291" customWidth="1"/>
    <col min="769" max="769" width="11.5703125" style="291" customWidth="1"/>
    <col min="770" max="770" width="10.140625" style="291" customWidth="1"/>
    <col min="771" max="771" width="17" style="291" customWidth="1"/>
    <col min="772" max="1019" width="9.140625" style="291"/>
    <col min="1020" max="1020" width="4.5703125" style="291" customWidth="1"/>
    <col min="1021" max="1021" width="29.5703125" style="291" customWidth="1"/>
    <col min="1022" max="1022" width="11.85546875" style="291" customWidth="1"/>
    <col min="1023" max="1023" width="10.140625" style="291" customWidth="1"/>
    <col min="1024" max="1024" width="11.7109375" style="291" customWidth="1"/>
    <col min="1025" max="1025" width="11.5703125" style="291" customWidth="1"/>
    <col min="1026" max="1026" width="10.140625" style="291" customWidth="1"/>
    <col min="1027" max="1027" width="17" style="291" customWidth="1"/>
    <col min="1028" max="1275" width="9.140625" style="291"/>
    <col min="1276" max="1276" width="4.5703125" style="291" customWidth="1"/>
    <col min="1277" max="1277" width="29.5703125" style="291" customWidth="1"/>
    <col min="1278" max="1278" width="11.85546875" style="291" customWidth="1"/>
    <col min="1279" max="1279" width="10.140625" style="291" customWidth="1"/>
    <col min="1280" max="1280" width="11.7109375" style="291" customWidth="1"/>
    <col min="1281" max="1281" width="11.5703125" style="291" customWidth="1"/>
    <col min="1282" max="1282" width="10.140625" style="291" customWidth="1"/>
    <col min="1283" max="1283" width="17" style="291" customWidth="1"/>
    <col min="1284" max="1531" width="9.140625" style="291"/>
    <col min="1532" max="1532" width="4.5703125" style="291" customWidth="1"/>
    <col min="1533" max="1533" width="29.5703125" style="291" customWidth="1"/>
    <col min="1534" max="1534" width="11.85546875" style="291" customWidth="1"/>
    <col min="1535" max="1535" width="10.140625" style="291" customWidth="1"/>
    <col min="1536" max="1536" width="11.7109375" style="291" customWidth="1"/>
    <col min="1537" max="1537" width="11.5703125" style="291" customWidth="1"/>
    <col min="1538" max="1538" width="10.140625" style="291" customWidth="1"/>
    <col min="1539" max="1539" width="17" style="291" customWidth="1"/>
    <col min="1540" max="1787" width="9.140625" style="291"/>
    <col min="1788" max="1788" width="4.5703125" style="291" customWidth="1"/>
    <col min="1789" max="1789" width="29.5703125" style="291" customWidth="1"/>
    <col min="1790" max="1790" width="11.85546875" style="291" customWidth="1"/>
    <col min="1791" max="1791" width="10.140625" style="291" customWidth="1"/>
    <col min="1792" max="1792" width="11.7109375" style="291" customWidth="1"/>
    <col min="1793" max="1793" width="11.5703125" style="291" customWidth="1"/>
    <col min="1794" max="1794" width="10.140625" style="291" customWidth="1"/>
    <col min="1795" max="1795" width="17" style="291" customWidth="1"/>
    <col min="1796" max="2043" width="9.140625" style="291"/>
    <col min="2044" max="2044" width="4.5703125" style="291" customWidth="1"/>
    <col min="2045" max="2045" width="29.5703125" style="291" customWidth="1"/>
    <col min="2046" max="2046" width="11.85546875" style="291" customWidth="1"/>
    <col min="2047" max="2047" width="10.140625" style="291" customWidth="1"/>
    <col min="2048" max="2048" width="11.7109375" style="291" customWidth="1"/>
    <col min="2049" max="2049" width="11.5703125" style="291" customWidth="1"/>
    <col min="2050" max="2050" width="10.140625" style="291" customWidth="1"/>
    <col min="2051" max="2051" width="17" style="291" customWidth="1"/>
    <col min="2052" max="2299" width="9.140625" style="291"/>
    <col min="2300" max="2300" width="4.5703125" style="291" customWidth="1"/>
    <col min="2301" max="2301" width="29.5703125" style="291" customWidth="1"/>
    <col min="2302" max="2302" width="11.85546875" style="291" customWidth="1"/>
    <col min="2303" max="2303" width="10.140625" style="291" customWidth="1"/>
    <col min="2304" max="2304" width="11.7109375" style="291" customWidth="1"/>
    <col min="2305" max="2305" width="11.5703125" style="291" customWidth="1"/>
    <col min="2306" max="2306" width="10.140625" style="291" customWidth="1"/>
    <col min="2307" max="2307" width="17" style="291" customWidth="1"/>
    <col min="2308" max="2555" width="9.140625" style="291"/>
    <col min="2556" max="2556" width="4.5703125" style="291" customWidth="1"/>
    <col min="2557" max="2557" width="29.5703125" style="291" customWidth="1"/>
    <col min="2558" max="2558" width="11.85546875" style="291" customWidth="1"/>
    <col min="2559" max="2559" width="10.140625" style="291" customWidth="1"/>
    <col min="2560" max="2560" width="11.7109375" style="291" customWidth="1"/>
    <col min="2561" max="2561" width="11.5703125" style="291" customWidth="1"/>
    <col min="2562" max="2562" width="10.140625" style="291" customWidth="1"/>
    <col min="2563" max="2563" width="17" style="291" customWidth="1"/>
    <col min="2564" max="2811" width="9.140625" style="291"/>
    <col min="2812" max="2812" width="4.5703125" style="291" customWidth="1"/>
    <col min="2813" max="2813" width="29.5703125" style="291" customWidth="1"/>
    <col min="2814" max="2814" width="11.85546875" style="291" customWidth="1"/>
    <col min="2815" max="2815" width="10.140625" style="291" customWidth="1"/>
    <col min="2816" max="2816" width="11.7109375" style="291" customWidth="1"/>
    <col min="2817" max="2817" width="11.5703125" style="291" customWidth="1"/>
    <col min="2818" max="2818" width="10.140625" style="291" customWidth="1"/>
    <col min="2819" max="2819" width="17" style="291" customWidth="1"/>
    <col min="2820" max="3067" width="9.140625" style="291"/>
    <col min="3068" max="3068" width="4.5703125" style="291" customWidth="1"/>
    <col min="3069" max="3069" width="29.5703125" style="291" customWidth="1"/>
    <col min="3070" max="3070" width="11.85546875" style="291" customWidth="1"/>
    <col min="3071" max="3071" width="10.140625" style="291" customWidth="1"/>
    <col min="3072" max="3072" width="11.7109375" style="291" customWidth="1"/>
    <col min="3073" max="3073" width="11.5703125" style="291" customWidth="1"/>
    <col min="3074" max="3074" width="10.140625" style="291" customWidth="1"/>
    <col min="3075" max="3075" width="17" style="291" customWidth="1"/>
    <col min="3076" max="3323" width="9.140625" style="291"/>
    <col min="3324" max="3324" width="4.5703125" style="291" customWidth="1"/>
    <col min="3325" max="3325" width="29.5703125" style="291" customWidth="1"/>
    <col min="3326" max="3326" width="11.85546875" style="291" customWidth="1"/>
    <col min="3327" max="3327" width="10.140625" style="291" customWidth="1"/>
    <col min="3328" max="3328" width="11.7109375" style="291" customWidth="1"/>
    <col min="3329" max="3329" width="11.5703125" style="291" customWidth="1"/>
    <col min="3330" max="3330" width="10.140625" style="291" customWidth="1"/>
    <col min="3331" max="3331" width="17" style="291" customWidth="1"/>
    <col min="3332" max="3579" width="9.140625" style="291"/>
    <col min="3580" max="3580" width="4.5703125" style="291" customWidth="1"/>
    <col min="3581" max="3581" width="29.5703125" style="291" customWidth="1"/>
    <col min="3582" max="3582" width="11.85546875" style="291" customWidth="1"/>
    <col min="3583" max="3583" width="10.140625" style="291" customWidth="1"/>
    <col min="3584" max="3584" width="11.7109375" style="291" customWidth="1"/>
    <col min="3585" max="3585" width="11.5703125" style="291" customWidth="1"/>
    <col min="3586" max="3586" width="10.140625" style="291" customWidth="1"/>
    <col min="3587" max="3587" width="17" style="291" customWidth="1"/>
    <col min="3588" max="3835" width="9.140625" style="291"/>
    <col min="3836" max="3836" width="4.5703125" style="291" customWidth="1"/>
    <col min="3837" max="3837" width="29.5703125" style="291" customWidth="1"/>
    <col min="3838" max="3838" width="11.85546875" style="291" customWidth="1"/>
    <col min="3839" max="3839" width="10.140625" style="291" customWidth="1"/>
    <col min="3840" max="3840" width="11.7109375" style="291" customWidth="1"/>
    <col min="3841" max="3841" width="11.5703125" style="291" customWidth="1"/>
    <col min="3842" max="3842" width="10.140625" style="291" customWidth="1"/>
    <col min="3843" max="3843" width="17" style="291" customWidth="1"/>
    <col min="3844" max="4091" width="9.140625" style="291"/>
    <col min="4092" max="4092" width="4.5703125" style="291" customWidth="1"/>
    <col min="4093" max="4093" width="29.5703125" style="291" customWidth="1"/>
    <col min="4094" max="4094" width="11.85546875" style="291" customWidth="1"/>
    <col min="4095" max="4095" width="10.140625" style="291" customWidth="1"/>
    <col min="4096" max="4096" width="11.7109375" style="291" customWidth="1"/>
    <col min="4097" max="4097" width="11.5703125" style="291" customWidth="1"/>
    <col min="4098" max="4098" width="10.140625" style="291" customWidth="1"/>
    <col min="4099" max="4099" width="17" style="291" customWidth="1"/>
    <col min="4100" max="4347" width="9.140625" style="291"/>
    <col min="4348" max="4348" width="4.5703125" style="291" customWidth="1"/>
    <col min="4349" max="4349" width="29.5703125" style="291" customWidth="1"/>
    <col min="4350" max="4350" width="11.85546875" style="291" customWidth="1"/>
    <col min="4351" max="4351" width="10.140625" style="291" customWidth="1"/>
    <col min="4352" max="4352" width="11.7109375" style="291" customWidth="1"/>
    <col min="4353" max="4353" width="11.5703125" style="291" customWidth="1"/>
    <col min="4354" max="4354" width="10.140625" style="291" customWidth="1"/>
    <col min="4355" max="4355" width="17" style="291" customWidth="1"/>
    <col min="4356" max="4603" width="9.140625" style="291"/>
    <col min="4604" max="4604" width="4.5703125" style="291" customWidth="1"/>
    <col min="4605" max="4605" width="29.5703125" style="291" customWidth="1"/>
    <col min="4606" max="4606" width="11.85546875" style="291" customWidth="1"/>
    <col min="4607" max="4607" width="10.140625" style="291" customWidth="1"/>
    <col min="4608" max="4608" width="11.7109375" style="291" customWidth="1"/>
    <col min="4609" max="4609" width="11.5703125" style="291" customWidth="1"/>
    <col min="4610" max="4610" width="10.140625" style="291" customWidth="1"/>
    <col min="4611" max="4611" width="17" style="291" customWidth="1"/>
    <col min="4612" max="4859" width="9.140625" style="291"/>
    <col min="4860" max="4860" width="4.5703125" style="291" customWidth="1"/>
    <col min="4861" max="4861" width="29.5703125" style="291" customWidth="1"/>
    <col min="4862" max="4862" width="11.85546875" style="291" customWidth="1"/>
    <col min="4863" max="4863" width="10.140625" style="291" customWidth="1"/>
    <col min="4864" max="4864" width="11.7109375" style="291" customWidth="1"/>
    <col min="4865" max="4865" width="11.5703125" style="291" customWidth="1"/>
    <col min="4866" max="4866" width="10.140625" style="291" customWidth="1"/>
    <col min="4867" max="4867" width="17" style="291" customWidth="1"/>
    <col min="4868" max="5115" width="9.140625" style="291"/>
    <col min="5116" max="5116" width="4.5703125" style="291" customWidth="1"/>
    <col min="5117" max="5117" width="29.5703125" style="291" customWidth="1"/>
    <col min="5118" max="5118" width="11.85546875" style="291" customWidth="1"/>
    <col min="5119" max="5119" width="10.140625" style="291" customWidth="1"/>
    <col min="5120" max="5120" width="11.7109375" style="291" customWidth="1"/>
    <col min="5121" max="5121" width="11.5703125" style="291" customWidth="1"/>
    <col min="5122" max="5122" width="10.140625" style="291" customWidth="1"/>
    <col min="5123" max="5123" width="17" style="291" customWidth="1"/>
    <col min="5124" max="5371" width="9.140625" style="291"/>
    <col min="5372" max="5372" width="4.5703125" style="291" customWidth="1"/>
    <col min="5373" max="5373" width="29.5703125" style="291" customWidth="1"/>
    <col min="5374" max="5374" width="11.85546875" style="291" customWidth="1"/>
    <col min="5375" max="5375" width="10.140625" style="291" customWidth="1"/>
    <col min="5376" max="5376" width="11.7109375" style="291" customWidth="1"/>
    <col min="5377" max="5377" width="11.5703125" style="291" customWidth="1"/>
    <col min="5378" max="5378" width="10.140625" style="291" customWidth="1"/>
    <col min="5379" max="5379" width="17" style="291" customWidth="1"/>
    <col min="5380" max="5627" width="9.140625" style="291"/>
    <col min="5628" max="5628" width="4.5703125" style="291" customWidth="1"/>
    <col min="5629" max="5629" width="29.5703125" style="291" customWidth="1"/>
    <col min="5630" max="5630" width="11.85546875" style="291" customWidth="1"/>
    <col min="5631" max="5631" width="10.140625" style="291" customWidth="1"/>
    <col min="5632" max="5632" width="11.7109375" style="291" customWidth="1"/>
    <col min="5633" max="5633" width="11.5703125" style="291" customWidth="1"/>
    <col min="5634" max="5634" width="10.140625" style="291" customWidth="1"/>
    <col min="5635" max="5635" width="17" style="291" customWidth="1"/>
    <col min="5636" max="5883" width="9.140625" style="291"/>
    <col min="5884" max="5884" width="4.5703125" style="291" customWidth="1"/>
    <col min="5885" max="5885" width="29.5703125" style="291" customWidth="1"/>
    <col min="5886" max="5886" width="11.85546875" style="291" customWidth="1"/>
    <col min="5887" max="5887" width="10.140625" style="291" customWidth="1"/>
    <col min="5888" max="5888" width="11.7109375" style="291" customWidth="1"/>
    <col min="5889" max="5889" width="11.5703125" style="291" customWidth="1"/>
    <col min="5890" max="5890" width="10.140625" style="291" customWidth="1"/>
    <col min="5891" max="5891" width="17" style="291" customWidth="1"/>
    <col min="5892" max="6139" width="9.140625" style="291"/>
    <col min="6140" max="6140" width="4.5703125" style="291" customWidth="1"/>
    <col min="6141" max="6141" width="29.5703125" style="291" customWidth="1"/>
    <col min="6142" max="6142" width="11.85546875" style="291" customWidth="1"/>
    <col min="6143" max="6143" width="10.140625" style="291" customWidth="1"/>
    <col min="6144" max="6144" width="11.7109375" style="291" customWidth="1"/>
    <col min="6145" max="6145" width="11.5703125" style="291" customWidth="1"/>
    <col min="6146" max="6146" width="10.140625" style="291" customWidth="1"/>
    <col min="6147" max="6147" width="17" style="291" customWidth="1"/>
    <col min="6148" max="6395" width="9.140625" style="291"/>
    <col min="6396" max="6396" width="4.5703125" style="291" customWidth="1"/>
    <col min="6397" max="6397" width="29.5703125" style="291" customWidth="1"/>
    <col min="6398" max="6398" width="11.85546875" style="291" customWidth="1"/>
    <col min="6399" max="6399" width="10.140625" style="291" customWidth="1"/>
    <col min="6400" max="6400" width="11.7109375" style="291" customWidth="1"/>
    <col min="6401" max="6401" width="11.5703125" style="291" customWidth="1"/>
    <col min="6402" max="6402" width="10.140625" style="291" customWidth="1"/>
    <col min="6403" max="6403" width="17" style="291" customWidth="1"/>
    <col min="6404" max="6651" width="9.140625" style="291"/>
    <col min="6652" max="6652" width="4.5703125" style="291" customWidth="1"/>
    <col min="6653" max="6653" width="29.5703125" style="291" customWidth="1"/>
    <col min="6654" max="6654" width="11.85546875" style="291" customWidth="1"/>
    <col min="6655" max="6655" width="10.140625" style="291" customWidth="1"/>
    <col min="6656" max="6656" width="11.7109375" style="291" customWidth="1"/>
    <col min="6657" max="6657" width="11.5703125" style="291" customWidth="1"/>
    <col min="6658" max="6658" width="10.140625" style="291" customWidth="1"/>
    <col min="6659" max="6659" width="17" style="291" customWidth="1"/>
    <col min="6660" max="6907" width="9.140625" style="291"/>
    <col min="6908" max="6908" width="4.5703125" style="291" customWidth="1"/>
    <col min="6909" max="6909" width="29.5703125" style="291" customWidth="1"/>
    <col min="6910" max="6910" width="11.85546875" style="291" customWidth="1"/>
    <col min="6911" max="6911" width="10.140625" style="291" customWidth="1"/>
    <col min="6912" max="6912" width="11.7109375" style="291" customWidth="1"/>
    <col min="6913" max="6913" width="11.5703125" style="291" customWidth="1"/>
    <col min="6914" max="6914" width="10.140625" style="291" customWidth="1"/>
    <col min="6915" max="6915" width="17" style="291" customWidth="1"/>
    <col min="6916" max="7163" width="9.140625" style="291"/>
    <col min="7164" max="7164" width="4.5703125" style="291" customWidth="1"/>
    <col min="7165" max="7165" width="29.5703125" style="291" customWidth="1"/>
    <col min="7166" max="7166" width="11.85546875" style="291" customWidth="1"/>
    <col min="7167" max="7167" width="10.140625" style="291" customWidth="1"/>
    <col min="7168" max="7168" width="11.7109375" style="291" customWidth="1"/>
    <col min="7169" max="7169" width="11.5703125" style="291" customWidth="1"/>
    <col min="7170" max="7170" width="10.140625" style="291" customWidth="1"/>
    <col min="7171" max="7171" width="17" style="291" customWidth="1"/>
    <col min="7172" max="7419" width="9.140625" style="291"/>
    <col min="7420" max="7420" width="4.5703125" style="291" customWidth="1"/>
    <col min="7421" max="7421" width="29.5703125" style="291" customWidth="1"/>
    <col min="7422" max="7422" width="11.85546875" style="291" customWidth="1"/>
    <col min="7423" max="7423" width="10.140625" style="291" customWidth="1"/>
    <col min="7424" max="7424" width="11.7109375" style="291" customWidth="1"/>
    <col min="7425" max="7425" width="11.5703125" style="291" customWidth="1"/>
    <col min="7426" max="7426" width="10.140625" style="291" customWidth="1"/>
    <col min="7427" max="7427" width="17" style="291" customWidth="1"/>
    <col min="7428" max="7675" width="9.140625" style="291"/>
    <col min="7676" max="7676" width="4.5703125" style="291" customWidth="1"/>
    <col min="7677" max="7677" width="29.5703125" style="291" customWidth="1"/>
    <col min="7678" max="7678" width="11.85546875" style="291" customWidth="1"/>
    <col min="7679" max="7679" width="10.140625" style="291" customWidth="1"/>
    <col min="7680" max="7680" width="11.7109375" style="291" customWidth="1"/>
    <col min="7681" max="7681" width="11.5703125" style="291" customWidth="1"/>
    <col min="7682" max="7682" width="10.140625" style="291" customWidth="1"/>
    <col min="7683" max="7683" width="17" style="291" customWidth="1"/>
    <col min="7684" max="7931" width="9.140625" style="291"/>
    <col min="7932" max="7932" width="4.5703125" style="291" customWidth="1"/>
    <col min="7933" max="7933" width="29.5703125" style="291" customWidth="1"/>
    <col min="7934" max="7934" width="11.85546875" style="291" customWidth="1"/>
    <col min="7935" max="7935" width="10.140625" style="291" customWidth="1"/>
    <col min="7936" max="7936" width="11.7109375" style="291" customWidth="1"/>
    <col min="7937" max="7937" width="11.5703125" style="291" customWidth="1"/>
    <col min="7938" max="7938" width="10.140625" style="291" customWidth="1"/>
    <col min="7939" max="7939" width="17" style="291" customWidth="1"/>
    <col min="7940" max="8187" width="9.140625" style="291"/>
    <col min="8188" max="8188" width="4.5703125" style="291" customWidth="1"/>
    <col min="8189" max="8189" width="29.5703125" style="291" customWidth="1"/>
    <col min="8190" max="8190" width="11.85546875" style="291" customWidth="1"/>
    <col min="8191" max="8191" width="10.140625" style="291" customWidth="1"/>
    <col min="8192" max="8192" width="11.7109375" style="291" customWidth="1"/>
    <col min="8193" max="8193" width="11.5703125" style="291" customWidth="1"/>
    <col min="8194" max="8194" width="10.140625" style="291" customWidth="1"/>
    <col min="8195" max="8195" width="17" style="291" customWidth="1"/>
    <col min="8196" max="8443" width="9.140625" style="291"/>
    <col min="8444" max="8444" width="4.5703125" style="291" customWidth="1"/>
    <col min="8445" max="8445" width="29.5703125" style="291" customWidth="1"/>
    <col min="8446" max="8446" width="11.85546875" style="291" customWidth="1"/>
    <col min="8447" max="8447" width="10.140625" style="291" customWidth="1"/>
    <col min="8448" max="8448" width="11.7109375" style="291" customWidth="1"/>
    <col min="8449" max="8449" width="11.5703125" style="291" customWidth="1"/>
    <col min="8450" max="8450" width="10.140625" style="291" customWidth="1"/>
    <col min="8451" max="8451" width="17" style="291" customWidth="1"/>
    <col min="8452" max="8699" width="9.140625" style="291"/>
    <col min="8700" max="8700" width="4.5703125" style="291" customWidth="1"/>
    <col min="8701" max="8701" width="29.5703125" style="291" customWidth="1"/>
    <col min="8702" max="8702" width="11.85546875" style="291" customWidth="1"/>
    <col min="8703" max="8703" width="10.140625" style="291" customWidth="1"/>
    <col min="8704" max="8704" width="11.7109375" style="291" customWidth="1"/>
    <col min="8705" max="8705" width="11.5703125" style="291" customWidth="1"/>
    <col min="8706" max="8706" width="10.140625" style="291" customWidth="1"/>
    <col min="8707" max="8707" width="17" style="291" customWidth="1"/>
    <col min="8708" max="8955" width="9.140625" style="291"/>
    <col min="8956" max="8956" width="4.5703125" style="291" customWidth="1"/>
    <col min="8957" max="8957" width="29.5703125" style="291" customWidth="1"/>
    <col min="8958" max="8958" width="11.85546875" style="291" customWidth="1"/>
    <col min="8959" max="8959" width="10.140625" style="291" customWidth="1"/>
    <col min="8960" max="8960" width="11.7109375" style="291" customWidth="1"/>
    <col min="8961" max="8961" width="11.5703125" style="291" customWidth="1"/>
    <col min="8962" max="8962" width="10.140625" style="291" customWidth="1"/>
    <col min="8963" max="8963" width="17" style="291" customWidth="1"/>
    <col min="8964" max="9211" width="9.140625" style="291"/>
    <col min="9212" max="9212" width="4.5703125" style="291" customWidth="1"/>
    <col min="9213" max="9213" width="29.5703125" style="291" customWidth="1"/>
    <col min="9214" max="9214" width="11.85546875" style="291" customWidth="1"/>
    <col min="9215" max="9215" width="10.140625" style="291" customWidth="1"/>
    <col min="9216" max="9216" width="11.7109375" style="291" customWidth="1"/>
    <col min="9217" max="9217" width="11.5703125" style="291" customWidth="1"/>
    <col min="9218" max="9218" width="10.140625" style="291" customWidth="1"/>
    <col min="9219" max="9219" width="17" style="291" customWidth="1"/>
    <col min="9220" max="9467" width="9.140625" style="291"/>
    <col min="9468" max="9468" width="4.5703125" style="291" customWidth="1"/>
    <col min="9469" max="9469" width="29.5703125" style="291" customWidth="1"/>
    <col min="9470" max="9470" width="11.85546875" style="291" customWidth="1"/>
    <col min="9471" max="9471" width="10.140625" style="291" customWidth="1"/>
    <col min="9472" max="9472" width="11.7109375" style="291" customWidth="1"/>
    <col min="9473" max="9473" width="11.5703125" style="291" customWidth="1"/>
    <col min="9474" max="9474" width="10.140625" style="291" customWidth="1"/>
    <col min="9475" max="9475" width="17" style="291" customWidth="1"/>
    <col min="9476" max="9723" width="9.140625" style="291"/>
    <col min="9724" max="9724" width="4.5703125" style="291" customWidth="1"/>
    <col min="9725" max="9725" width="29.5703125" style="291" customWidth="1"/>
    <col min="9726" max="9726" width="11.85546875" style="291" customWidth="1"/>
    <col min="9727" max="9727" width="10.140625" style="291" customWidth="1"/>
    <col min="9728" max="9728" width="11.7109375" style="291" customWidth="1"/>
    <col min="9729" max="9729" width="11.5703125" style="291" customWidth="1"/>
    <col min="9730" max="9730" width="10.140625" style="291" customWidth="1"/>
    <col min="9731" max="9731" width="17" style="291" customWidth="1"/>
    <col min="9732" max="9979" width="9.140625" style="291"/>
    <col min="9980" max="9980" width="4.5703125" style="291" customWidth="1"/>
    <col min="9981" max="9981" width="29.5703125" style="291" customWidth="1"/>
    <col min="9982" max="9982" width="11.85546875" style="291" customWidth="1"/>
    <col min="9983" max="9983" width="10.140625" style="291" customWidth="1"/>
    <col min="9984" max="9984" width="11.7109375" style="291" customWidth="1"/>
    <col min="9985" max="9985" width="11.5703125" style="291" customWidth="1"/>
    <col min="9986" max="9986" width="10.140625" style="291" customWidth="1"/>
    <col min="9987" max="9987" width="17" style="291" customWidth="1"/>
    <col min="9988" max="10235" width="9.140625" style="291"/>
    <col min="10236" max="10236" width="4.5703125" style="291" customWidth="1"/>
    <col min="10237" max="10237" width="29.5703125" style="291" customWidth="1"/>
    <col min="10238" max="10238" width="11.85546875" style="291" customWidth="1"/>
    <col min="10239" max="10239" width="10.140625" style="291" customWidth="1"/>
    <col min="10240" max="10240" width="11.7109375" style="291" customWidth="1"/>
    <col min="10241" max="10241" width="11.5703125" style="291" customWidth="1"/>
    <col min="10242" max="10242" width="10.140625" style="291" customWidth="1"/>
    <col min="10243" max="10243" width="17" style="291" customWidth="1"/>
    <col min="10244" max="10491" width="9.140625" style="291"/>
    <col min="10492" max="10492" width="4.5703125" style="291" customWidth="1"/>
    <col min="10493" max="10493" width="29.5703125" style="291" customWidth="1"/>
    <col min="10494" max="10494" width="11.85546875" style="291" customWidth="1"/>
    <col min="10495" max="10495" width="10.140625" style="291" customWidth="1"/>
    <col min="10496" max="10496" width="11.7109375" style="291" customWidth="1"/>
    <col min="10497" max="10497" width="11.5703125" style="291" customWidth="1"/>
    <col min="10498" max="10498" width="10.140625" style="291" customWidth="1"/>
    <col min="10499" max="10499" width="17" style="291" customWidth="1"/>
    <col min="10500" max="10747" width="9.140625" style="291"/>
    <col min="10748" max="10748" width="4.5703125" style="291" customWidth="1"/>
    <col min="10749" max="10749" width="29.5703125" style="291" customWidth="1"/>
    <col min="10750" max="10750" width="11.85546875" style="291" customWidth="1"/>
    <col min="10751" max="10751" width="10.140625" style="291" customWidth="1"/>
    <col min="10752" max="10752" width="11.7109375" style="291" customWidth="1"/>
    <col min="10753" max="10753" width="11.5703125" style="291" customWidth="1"/>
    <col min="10754" max="10754" width="10.140625" style="291" customWidth="1"/>
    <col min="10755" max="10755" width="17" style="291" customWidth="1"/>
    <col min="10756" max="11003" width="9.140625" style="291"/>
    <col min="11004" max="11004" width="4.5703125" style="291" customWidth="1"/>
    <col min="11005" max="11005" width="29.5703125" style="291" customWidth="1"/>
    <col min="11006" max="11006" width="11.85546875" style="291" customWidth="1"/>
    <col min="11007" max="11007" width="10.140625" style="291" customWidth="1"/>
    <col min="11008" max="11008" width="11.7109375" style="291" customWidth="1"/>
    <col min="11009" max="11009" width="11.5703125" style="291" customWidth="1"/>
    <col min="11010" max="11010" width="10.140625" style="291" customWidth="1"/>
    <col min="11011" max="11011" width="17" style="291" customWidth="1"/>
    <col min="11012" max="11259" width="9.140625" style="291"/>
    <col min="11260" max="11260" width="4.5703125" style="291" customWidth="1"/>
    <col min="11261" max="11261" width="29.5703125" style="291" customWidth="1"/>
    <col min="11262" max="11262" width="11.85546875" style="291" customWidth="1"/>
    <col min="11263" max="11263" width="10.140625" style="291" customWidth="1"/>
    <col min="11264" max="11264" width="11.7109375" style="291" customWidth="1"/>
    <col min="11265" max="11265" width="11.5703125" style="291" customWidth="1"/>
    <col min="11266" max="11266" width="10.140625" style="291" customWidth="1"/>
    <col min="11267" max="11267" width="17" style="291" customWidth="1"/>
    <col min="11268" max="11515" width="9.140625" style="291"/>
    <col min="11516" max="11516" width="4.5703125" style="291" customWidth="1"/>
    <col min="11517" max="11517" width="29.5703125" style="291" customWidth="1"/>
    <col min="11518" max="11518" width="11.85546875" style="291" customWidth="1"/>
    <col min="11519" max="11519" width="10.140625" style="291" customWidth="1"/>
    <col min="11520" max="11520" width="11.7109375" style="291" customWidth="1"/>
    <col min="11521" max="11521" width="11.5703125" style="291" customWidth="1"/>
    <col min="11522" max="11522" width="10.140625" style="291" customWidth="1"/>
    <col min="11523" max="11523" width="17" style="291" customWidth="1"/>
    <col min="11524" max="11771" width="9.140625" style="291"/>
    <col min="11772" max="11772" width="4.5703125" style="291" customWidth="1"/>
    <col min="11773" max="11773" width="29.5703125" style="291" customWidth="1"/>
    <col min="11774" max="11774" width="11.85546875" style="291" customWidth="1"/>
    <col min="11775" max="11775" width="10.140625" style="291" customWidth="1"/>
    <col min="11776" max="11776" width="11.7109375" style="291" customWidth="1"/>
    <col min="11777" max="11777" width="11.5703125" style="291" customWidth="1"/>
    <col min="11778" max="11778" width="10.140625" style="291" customWidth="1"/>
    <col min="11779" max="11779" width="17" style="291" customWidth="1"/>
    <col min="11780" max="12027" width="9.140625" style="291"/>
    <col min="12028" max="12028" width="4.5703125" style="291" customWidth="1"/>
    <col min="12029" max="12029" width="29.5703125" style="291" customWidth="1"/>
    <col min="12030" max="12030" width="11.85546875" style="291" customWidth="1"/>
    <col min="12031" max="12031" width="10.140625" style="291" customWidth="1"/>
    <col min="12032" max="12032" width="11.7109375" style="291" customWidth="1"/>
    <col min="12033" max="12033" width="11.5703125" style="291" customWidth="1"/>
    <col min="12034" max="12034" width="10.140625" style="291" customWidth="1"/>
    <col min="12035" max="12035" width="17" style="291" customWidth="1"/>
    <col min="12036" max="12283" width="9.140625" style="291"/>
    <col min="12284" max="12284" width="4.5703125" style="291" customWidth="1"/>
    <col min="12285" max="12285" width="29.5703125" style="291" customWidth="1"/>
    <col min="12286" max="12286" width="11.85546875" style="291" customWidth="1"/>
    <col min="12287" max="12287" width="10.140625" style="291" customWidth="1"/>
    <col min="12288" max="12288" width="11.7109375" style="291" customWidth="1"/>
    <col min="12289" max="12289" width="11.5703125" style="291" customWidth="1"/>
    <col min="12290" max="12290" width="10.140625" style="291" customWidth="1"/>
    <col min="12291" max="12291" width="17" style="291" customWidth="1"/>
    <col min="12292" max="12539" width="9.140625" style="291"/>
    <col min="12540" max="12540" width="4.5703125" style="291" customWidth="1"/>
    <col min="12541" max="12541" width="29.5703125" style="291" customWidth="1"/>
    <col min="12542" max="12542" width="11.85546875" style="291" customWidth="1"/>
    <col min="12543" max="12543" width="10.140625" style="291" customWidth="1"/>
    <col min="12544" max="12544" width="11.7109375" style="291" customWidth="1"/>
    <col min="12545" max="12545" width="11.5703125" style="291" customWidth="1"/>
    <col min="12546" max="12546" width="10.140625" style="291" customWidth="1"/>
    <col min="12547" max="12547" width="17" style="291" customWidth="1"/>
    <col min="12548" max="12795" width="9.140625" style="291"/>
    <col min="12796" max="12796" width="4.5703125" style="291" customWidth="1"/>
    <col min="12797" max="12797" width="29.5703125" style="291" customWidth="1"/>
    <col min="12798" max="12798" width="11.85546875" style="291" customWidth="1"/>
    <col min="12799" max="12799" width="10.140625" style="291" customWidth="1"/>
    <col min="12800" max="12800" width="11.7109375" style="291" customWidth="1"/>
    <col min="12801" max="12801" width="11.5703125" style="291" customWidth="1"/>
    <col min="12802" max="12802" width="10.140625" style="291" customWidth="1"/>
    <col min="12803" max="12803" width="17" style="291" customWidth="1"/>
    <col min="12804" max="13051" width="9.140625" style="291"/>
    <col min="13052" max="13052" width="4.5703125" style="291" customWidth="1"/>
    <col min="13053" max="13053" width="29.5703125" style="291" customWidth="1"/>
    <col min="13054" max="13054" width="11.85546875" style="291" customWidth="1"/>
    <col min="13055" max="13055" width="10.140625" style="291" customWidth="1"/>
    <col min="13056" max="13056" width="11.7109375" style="291" customWidth="1"/>
    <col min="13057" max="13057" width="11.5703125" style="291" customWidth="1"/>
    <col min="13058" max="13058" width="10.140625" style="291" customWidth="1"/>
    <col min="13059" max="13059" width="17" style="291" customWidth="1"/>
    <col min="13060" max="13307" width="9.140625" style="291"/>
    <col min="13308" max="13308" width="4.5703125" style="291" customWidth="1"/>
    <col min="13309" max="13309" width="29.5703125" style="291" customWidth="1"/>
    <col min="13310" max="13310" width="11.85546875" style="291" customWidth="1"/>
    <col min="13311" max="13311" width="10.140625" style="291" customWidth="1"/>
    <col min="13312" max="13312" width="11.7109375" style="291" customWidth="1"/>
    <col min="13313" max="13313" width="11.5703125" style="291" customWidth="1"/>
    <col min="13314" max="13314" width="10.140625" style="291" customWidth="1"/>
    <col min="13315" max="13315" width="17" style="291" customWidth="1"/>
    <col min="13316" max="13563" width="9.140625" style="291"/>
    <col min="13564" max="13564" width="4.5703125" style="291" customWidth="1"/>
    <col min="13565" max="13565" width="29.5703125" style="291" customWidth="1"/>
    <col min="13566" max="13566" width="11.85546875" style="291" customWidth="1"/>
    <col min="13567" max="13567" width="10.140625" style="291" customWidth="1"/>
    <col min="13568" max="13568" width="11.7109375" style="291" customWidth="1"/>
    <col min="13569" max="13569" width="11.5703125" style="291" customWidth="1"/>
    <col min="13570" max="13570" width="10.140625" style="291" customWidth="1"/>
    <col min="13571" max="13571" width="17" style="291" customWidth="1"/>
    <col min="13572" max="13819" width="9.140625" style="291"/>
    <col min="13820" max="13820" width="4.5703125" style="291" customWidth="1"/>
    <col min="13821" max="13821" width="29.5703125" style="291" customWidth="1"/>
    <col min="13822" max="13822" width="11.85546875" style="291" customWidth="1"/>
    <col min="13823" max="13823" width="10.140625" style="291" customWidth="1"/>
    <col min="13824" max="13824" width="11.7109375" style="291" customWidth="1"/>
    <col min="13825" max="13825" width="11.5703125" style="291" customWidth="1"/>
    <col min="13826" max="13826" width="10.140625" style="291" customWidth="1"/>
    <col min="13827" max="13827" width="17" style="291" customWidth="1"/>
    <col min="13828" max="14075" width="9.140625" style="291"/>
    <col min="14076" max="14076" width="4.5703125" style="291" customWidth="1"/>
    <col min="14077" max="14077" width="29.5703125" style="291" customWidth="1"/>
    <col min="14078" max="14078" width="11.85546875" style="291" customWidth="1"/>
    <col min="14079" max="14079" width="10.140625" style="291" customWidth="1"/>
    <col min="14080" max="14080" width="11.7109375" style="291" customWidth="1"/>
    <col min="14081" max="14081" width="11.5703125" style="291" customWidth="1"/>
    <col min="14082" max="14082" width="10.140625" style="291" customWidth="1"/>
    <col min="14083" max="14083" width="17" style="291" customWidth="1"/>
    <col min="14084" max="14331" width="9.140625" style="291"/>
    <col min="14332" max="14332" width="4.5703125" style="291" customWidth="1"/>
    <col min="14333" max="14333" width="29.5703125" style="291" customWidth="1"/>
    <col min="14334" max="14334" width="11.85546875" style="291" customWidth="1"/>
    <col min="14335" max="14335" width="10.140625" style="291" customWidth="1"/>
    <col min="14336" max="14336" width="11.7109375" style="291" customWidth="1"/>
    <col min="14337" max="14337" width="11.5703125" style="291" customWidth="1"/>
    <col min="14338" max="14338" width="10.140625" style="291" customWidth="1"/>
    <col min="14339" max="14339" width="17" style="291" customWidth="1"/>
    <col min="14340" max="14587" width="9.140625" style="291"/>
    <col min="14588" max="14588" width="4.5703125" style="291" customWidth="1"/>
    <col min="14589" max="14589" width="29.5703125" style="291" customWidth="1"/>
    <col min="14590" max="14590" width="11.85546875" style="291" customWidth="1"/>
    <col min="14591" max="14591" width="10.140625" style="291" customWidth="1"/>
    <col min="14592" max="14592" width="11.7109375" style="291" customWidth="1"/>
    <col min="14593" max="14593" width="11.5703125" style="291" customWidth="1"/>
    <col min="14594" max="14594" width="10.140625" style="291" customWidth="1"/>
    <col min="14595" max="14595" width="17" style="291" customWidth="1"/>
    <col min="14596" max="14843" width="9.140625" style="291"/>
    <col min="14844" max="14844" width="4.5703125" style="291" customWidth="1"/>
    <col min="14845" max="14845" width="29.5703125" style="291" customWidth="1"/>
    <col min="14846" max="14846" width="11.85546875" style="291" customWidth="1"/>
    <col min="14847" max="14847" width="10.140625" style="291" customWidth="1"/>
    <col min="14848" max="14848" width="11.7109375" style="291" customWidth="1"/>
    <col min="14849" max="14849" width="11.5703125" style="291" customWidth="1"/>
    <col min="14850" max="14850" width="10.140625" style="291" customWidth="1"/>
    <col min="14851" max="14851" width="17" style="291" customWidth="1"/>
    <col min="14852" max="15099" width="9.140625" style="291"/>
    <col min="15100" max="15100" width="4.5703125" style="291" customWidth="1"/>
    <col min="15101" max="15101" width="29.5703125" style="291" customWidth="1"/>
    <col min="15102" max="15102" width="11.85546875" style="291" customWidth="1"/>
    <col min="15103" max="15103" width="10.140625" style="291" customWidth="1"/>
    <col min="15104" max="15104" width="11.7109375" style="291" customWidth="1"/>
    <col min="15105" max="15105" width="11.5703125" style="291" customWidth="1"/>
    <col min="15106" max="15106" width="10.140625" style="291" customWidth="1"/>
    <col min="15107" max="15107" width="17" style="291" customWidth="1"/>
    <col min="15108" max="15355" width="9.140625" style="291"/>
    <col min="15356" max="15356" width="4.5703125" style="291" customWidth="1"/>
    <col min="15357" max="15357" width="29.5703125" style="291" customWidth="1"/>
    <col min="15358" max="15358" width="11.85546875" style="291" customWidth="1"/>
    <col min="15359" max="15359" width="10.140625" style="291" customWidth="1"/>
    <col min="15360" max="15360" width="11.7109375" style="291" customWidth="1"/>
    <col min="15361" max="15361" width="11.5703125" style="291" customWidth="1"/>
    <col min="15362" max="15362" width="10.140625" style="291" customWidth="1"/>
    <col min="15363" max="15363" width="17" style="291" customWidth="1"/>
    <col min="15364" max="15611" width="9.140625" style="291"/>
    <col min="15612" max="15612" width="4.5703125" style="291" customWidth="1"/>
    <col min="15613" max="15613" width="29.5703125" style="291" customWidth="1"/>
    <col min="15614" max="15614" width="11.85546875" style="291" customWidth="1"/>
    <col min="15615" max="15615" width="10.140625" style="291" customWidth="1"/>
    <col min="15616" max="15616" width="11.7109375" style="291" customWidth="1"/>
    <col min="15617" max="15617" width="11.5703125" style="291" customWidth="1"/>
    <col min="15618" max="15618" width="10.140625" style="291" customWidth="1"/>
    <col min="15619" max="15619" width="17" style="291" customWidth="1"/>
    <col min="15620" max="15867" width="9.140625" style="291"/>
    <col min="15868" max="15868" width="4.5703125" style="291" customWidth="1"/>
    <col min="15869" max="15869" width="29.5703125" style="291" customWidth="1"/>
    <col min="15870" max="15870" width="11.85546875" style="291" customWidth="1"/>
    <col min="15871" max="15871" width="10.140625" style="291" customWidth="1"/>
    <col min="15872" max="15872" width="11.7109375" style="291" customWidth="1"/>
    <col min="15873" max="15873" width="11.5703125" style="291" customWidth="1"/>
    <col min="15874" max="15874" width="10.140625" style="291" customWidth="1"/>
    <col min="15875" max="15875" width="17" style="291" customWidth="1"/>
    <col min="15876" max="16123" width="9.140625" style="291"/>
    <col min="16124" max="16124" width="4.5703125" style="291" customWidth="1"/>
    <col min="16125" max="16125" width="29.5703125" style="291" customWidth="1"/>
    <col min="16126" max="16126" width="11.85546875" style="291" customWidth="1"/>
    <col min="16127" max="16127" width="10.140625" style="291" customWidth="1"/>
    <col min="16128" max="16128" width="11.7109375" style="291" customWidth="1"/>
    <col min="16129" max="16129" width="11.5703125" style="291" customWidth="1"/>
    <col min="16130" max="16130" width="10.140625" style="291" customWidth="1"/>
    <col min="16131" max="16131" width="17" style="291" customWidth="1"/>
    <col min="16132" max="16384" width="9.140625" style="291"/>
  </cols>
  <sheetData>
    <row r="1" spans="1:7" ht="16.5" x14ac:dyDescent="0.25">
      <c r="B1" s="1034" t="s">
        <v>1296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5" spans="1:7" ht="9.75" customHeight="1" x14ac:dyDescent="0.25"/>
    <row r="6" spans="1:7" s="1" customFormat="1" ht="12" x14ac:dyDescent="0.2">
      <c r="A6" s="1" t="s">
        <v>298</v>
      </c>
      <c r="B6" s="144"/>
      <c r="C6" s="374"/>
      <c r="D6" s="374"/>
      <c r="E6" s="374"/>
      <c r="F6" s="374"/>
      <c r="G6" s="374"/>
    </row>
    <row r="7" spans="1:7" s="1" customFormat="1" ht="12" x14ac:dyDescent="0.2">
      <c r="B7" s="144"/>
      <c r="C7" s="374"/>
      <c r="D7" s="374"/>
      <c r="E7" s="374"/>
      <c r="F7" s="374"/>
      <c r="G7" s="374"/>
    </row>
    <row r="8" spans="1:7" s="1" customFormat="1" ht="15.75" x14ac:dyDescent="0.25">
      <c r="A8" s="1044" t="s">
        <v>291</v>
      </c>
      <c r="B8" s="1044"/>
      <c r="C8" s="1044"/>
      <c r="D8" s="1044"/>
      <c r="E8" s="1044"/>
      <c r="F8" s="1044"/>
      <c r="G8" s="1044"/>
    </row>
    <row r="9" spans="1:7" s="1" customFormat="1" ht="10.5" customHeight="1" x14ac:dyDescent="0.25">
      <c r="A9" s="146"/>
      <c r="B9" s="146"/>
      <c r="C9" s="373"/>
      <c r="D9" s="373"/>
      <c r="E9" s="373"/>
      <c r="F9" s="373"/>
      <c r="G9" s="373"/>
    </row>
    <row r="10" spans="1:7" s="1" customFormat="1" ht="15.75" x14ac:dyDescent="0.25">
      <c r="A10" s="1" t="s">
        <v>1293</v>
      </c>
      <c r="C10" s="1188"/>
      <c r="D10" s="1188"/>
      <c r="E10" s="1188"/>
      <c r="F10" s="1188"/>
      <c r="G10" s="1188"/>
    </row>
    <row r="11" spans="1:7" s="1" customFormat="1" ht="10.5" customHeight="1" x14ac:dyDescent="0.25">
      <c r="C11" s="477"/>
      <c r="D11" s="477"/>
      <c r="E11" s="477"/>
      <c r="F11" s="477"/>
      <c r="G11" s="477"/>
    </row>
    <row r="12" spans="1:7" s="1" customFormat="1" ht="12" x14ac:dyDescent="0.2">
      <c r="A12" s="1" t="s">
        <v>1260</v>
      </c>
      <c r="C12" s="1189"/>
      <c r="D12" s="1189"/>
      <c r="E12" s="1189"/>
      <c r="F12" s="1189"/>
      <c r="G12" s="1189"/>
    </row>
    <row r="13" spans="1:7" s="1" customFormat="1" ht="12" x14ac:dyDescent="0.2">
      <c r="A13" s="1" t="s">
        <v>1294</v>
      </c>
      <c r="C13" s="1101"/>
      <c r="D13" s="1101"/>
      <c r="E13" s="1101"/>
      <c r="F13" s="1101"/>
      <c r="G13" s="1101"/>
    </row>
    <row r="14" spans="1:7" s="1" customFormat="1" ht="21" customHeight="1" x14ac:dyDescent="0.2">
      <c r="A14" s="1102" t="s">
        <v>1</v>
      </c>
      <c r="B14" s="1102" t="s">
        <v>2</v>
      </c>
      <c r="C14" s="1045" t="s">
        <v>60</v>
      </c>
      <c r="D14" s="1045" t="s">
        <v>61</v>
      </c>
      <c r="E14" s="1045" t="s">
        <v>28</v>
      </c>
      <c r="F14" s="1046" t="s">
        <v>6</v>
      </c>
      <c r="G14" s="1046" t="s">
        <v>1190</v>
      </c>
    </row>
    <row r="15" spans="1:7" s="1" customFormat="1" ht="12.75" customHeight="1" x14ac:dyDescent="0.2">
      <c r="A15" s="1102"/>
      <c r="B15" s="1102"/>
      <c r="C15" s="1045"/>
      <c r="D15" s="1045"/>
      <c r="E15" s="1045"/>
      <c r="F15" s="1048"/>
      <c r="G15" s="1048"/>
    </row>
    <row r="16" spans="1:7" s="1" customFormat="1" ht="12" x14ac:dyDescent="0.2">
      <c r="A16" s="1094" t="s">
        <v>300</v>
      </c>
      <c r="B16" s="1094"/>
      <c r="C16" s="377">
        <f>SUM(C17:C21)</f>
        <v>103288</v>
      </c>
      <c r="D16" s="377">
        <f>SUM(D17:D21)</f>
        <v>20835</v>
      </c>
      <c r="E16" s="377">
        <f>SUM(E17:E21)</f>
        <v>188600</v>
      </c>
      <c r="F16" s="377"/>
      <c r="G16" s="377">
        <f>SUM(G17:G21)</f>
        <v>125600</v>
      </c>
    </row>
    <row r="17" spans="1:10" x14ac:dyDescent="0.25">
      <c r="A17" s="288">
        <v>1</v>
      </c>
      <c r="B17" s="289" t="s">
        <v>603</v>
      </c>
      <c r="C17" s="290">
        <v>66933</v>
      </c>
      <c r="D17" s="478">
        <v>3800</v>
      </c>
      <c r="E17" s="478">
        <v>130000</v>
      </c>
      <c r="F17" s="283">
        <v>5110</v>
      </c>
      <c r="G17" s="159">
        <v>67000</v>
      </c>
    </row>
    <row r="18" spans="1:10" x14ac:dyDescent="0.25">
      <c r="A18" s="288">
        <v>2</v>
      </c>
      <c r="B18" s="289" t="s">
        <v>1116</v>
      </c>
      <c r="C18" s="290">
        <v>33875</v>
      </c>
      <c r="D18" s="478">
        <v>15584</v>
      </c>
      <c r="E18" s="478">
        <v>24600</v>
      </c>
      <c r="F18" s="283">
        <v>2239</v>
      </c>
      <c r="G18" s="159">
        <v>24600</v>
      </c>
    </row>
    <row r="19" spans="1:10" x14ac:dyDescent="0.25">
      <c r="A19" s="970">
        <v>3</v>
      </c>
      <c r="B19" s="738" t="s">
        <v>604</v>
      </c>
      <c r="C19" s="290"/>
      <c r="D19" s="478"/>
      <c r="E19" s="478">
        <v>17000</v>
      </c>
      <c r="F19" s="232">
        <v>5110</v>
      </c>
      <c r="G19" s="159">
        <v>17000</v>
      </c>
    </row>
    <row r="20" spans="1:10" x14ac:dyDescent="0.25">
      <c r="A20" s="288">
        <v>4</v>
      </c>
      <c r="B20" s="292" t="s">
        <v>605</v>
      </c>
      <c r="C20" s="290">
        <f>1029+1451</f>
        <v>2480</v>
      </c>
      <c r="D20" s="162">
        <v>1451</v>
      </c>
      <c r="E20" s="155">
        <v>2000</v>
      </c>
      <c r="F20" s="283">
        <v>5110</v>
      </c>
      <c r="G20" s="159">
        <v>2000</v>
      </c>
    </row>
    <row r="21" spans="1:10" x14ac:dyDescent="0.25">
      <c r="A21" s="970">
        <v>5</v>
      </c>
      <c r="B21" s="292" t="s">
        <v>606</v>
      </c>
      <c r="C21" s="290">
        <v>0</v>
      </c>
      <c r="D21" s="162">
        <v>0</v>
      </c>
      <c r="E21" s="155">
        <v>15000</v>
      </c>
      <c r="F21" s="283">
        <v>5110</v>
      </c>
      <c r="G21" s="159">
        <v>15000</v>
      </c>
    </row>
    <row r="22" spans="1:10" ht="11.25" customHeight="1" x14ac:dyDescent="0.25"/>
    <row r="23" spans="1:10" s="1" customFormat="1" ht="12" x14ac:dyDescent="0.2">
      <c r="A23" s="1" t="s">
        <v>1261</v>
      </c>
      <c r="C23" s="375"/>
      <c r="D23" s="375"/>
      <c r="E23" s="375"/>
      <c r="F23" s="375"/>
      <c r="G23" s="375"/>
    </row>
    <row r="24" spans="1:10" s="1" customFormat="1" ht="12" x14ac:dyDescent="0.2">
      <c r="A24" s="1" t="s">
        <v>1227</v>
      </c>
      <c r="C24" s="1101"/>
      <c r="D24" s="1101"/>
      <c r="E24" s="1101"/>
      <c r="F24" s="1101"/>
      <c r="G24" s="1101"/>
    </row>
    <row r="25" spans="1:10" s="1" customFormat="1" ht="21" customHeight="1" x14ac:dyDescent="0.2">
      <c r="A25" s="1102" t="s">
        <v>1</v>
      </c>
      <c r="B25" s="1102" t="s">
        <v>2</v>
      </c>
      <c r="C25" s="1045" t="s">
        <v>60</v>
      </c>
      <c r="D25" s="1045" t="s">
        <v>61</v>
      </c>
      <c r="E25" s="1045" t="s">
        <v>28</v>
      </c>
      <c r="F25" s="1046" t="s">
        <v>6</v>
      </c>
      <c r="G25" s="1046" t="s">
        <v>1246</v>
      </c>
    </row>
    <row r="26" spans="1:10" s="1" customFormat="1" ht="12.75" customHeight="1" x14ac:dyDescent="0.2">
      <c r="A26" s="1102"/>
      <c r="B26" s="1102"/>
      <c r="C26" s="1045"/>
      <c r="D26" s="1045"/>
      <c r="E26" s="1045"/>
      <c r="F26" s="1048"/>
      <c r="G26" s="1048"/>
    </row>
    <row r="27" spans="1:10" s="1" customFormat="1" ht="12" x14ac:dyDescent="0.2">
      <c r="A27" s="1094" t="s">
        <v>300</v>
      </c>
      <c r="B27" s="1094"/>
      <c r="C27" s="377">
        <f>SUM(C28:C36)</f>
        <v>4576</v>
      </c>
      <c r="D27" s="377">
        <f>SUM(D28:D36)</f>
        <v>4576</v>
      </c>
      <c r="E27" s="377">
        <f>SUM(E28:E36)</f>
        <v>121000</v>
      </c>
      <c r="F27" s="377"/>
      <c r="G27" s="377">
        <f>SUM(G28:G36)</f>
        <v>121000</v>
      </c>
    </row>
    <row r="28" spans="1:10" x14ac:dyDescent="0.25">
      <c r="A28" s="293">
        <v>1</v>
      </c>
      <c r="B28" s="206" t="s">
        <v>581</v>
      </c>
      <c r="C28" s="155">
        <v>4576</v>
      </c>
      <c r="D28" s="155">
        <v>4576</v>
      </c>
      <c r="E28" s="155">
        <v>37500</v>
      </c>
      <c r="F28" s="283">
        <v>2279</v>
      </c>
      <c r="G28" s="159">
        <v>37500</v>
      </c>
      <c r="H28" s="294"/>
      <c r="I28" s="294"/>
      <c r="J28" s="294"/>
    </row>
    <row r="29" spans="1:10" x14ac:dyDescent="0.25">
      <c r="A29" s="293">
        <v>2</v>
      </c>
      <c r="B29" s="206" t="s">
        <v>582</v>
      </c>
      <c r="C29" s="155">
        <v>0</v>
      </c>
      <c r="D29" s="155">
        <v>0</v>
      </c>
      <c r="E29" s="155">
        <v>7500</v>
      </c>
      <c r="F29" s="283">
        <v>2279</v>
      </c>
      <c r="G29" s="159">
        <v>7500</v>
      </c>
      <c r="H29" s="294"/>
      <c r="I29" s="294"/>
      <c r="J29" s="294"/>
    </row>
    <row r="30" spans="1:10" x14ac:dyDescent="0.25">
      <c r="A30" s="971">
        <v>3</v>
      </c>
      <c r="B30" s="726" t="s">
        <v>1117</v>
      </c>
      <c r="C30" s="155"/>
      <c r="D30" s="155"/>
      <c r="E30" s="155">
        <v>10000</v>
      </c>
      <c r="F30" s="283">
        <v>5110</v>
      </c>
      <c r="G30" s="159">
        <v>10000</v>
      </c>
    </row>
    <row r="31" spans="1:10" x14ac:dyDescent="0.25">
      <c r="A31" s="1190">
        <v>4</v>
      </c>
      <c r="B31" s="1140" t="s">
        <v>607</v>
      </c>
      <c r="C31" s="155">
        <v>0</v>
      </c>
      <c r="D31" s="155">
        <v>0</v>
      </c>
      <c r="E31" s="155">
        <v>48500</v>
      </c>
      <c r="F31" s="283">
        <v>2390</v>
      </c>
      <c r="G31" s="159">
        <v>48500</v>
      </c>
      <c r="H31" s="295"/>
      <c r="I31" s="295"/>
    </row>
    <row r="32" spans="1:10" x14ac:dyDescent="0.25">
      <c r="A32" s="1192"/>
      <c r="B32" s="1142"/>
      <c r="C32" s="155">
        <v>0</v>
      </c>
      <c r="D32" s="155">
        <v>0</v>
      </c>
      <c r="E32" s="155">
        <v>2500</v>
      </c>
      <c r="F32" s="283">
        <v>2279</v>
      </c>
      <c r="G32" s="159">
        <v>2500</v>
      </c>
      <c r="H32" s="295"/>
      <c r="I32" s="295"/>
    </row>
    <row r="33" spans="1:9" x14ac:dyDescent="0.25">
      <c r="A33" s="1190">
        <v>5</v>
      </c>
      <c r="B33" s="1140" t="s">
        <v>608</v>
      </c>
      <c r="C33" s="155">
        <v>0</v>
      </c>
      <c r="D33" s="155">
        <v>0</v>
      </c>
      <c r="E33" s="155">
        <v>500</v>
      </c>
      <c r="F33" s="283">
        <v>2279</v>
      </c>
      <c r="G33" s="159">
        <v>500</v>
      </c>
      <c r="H33" s="295"/>
      <c r="I33" s="295"/>
    </row>
    <row r="34" spans="1:9" x14ac:dyDescent="0.25">
      <c r="A34" s="1191"/>
      <c r="B34" s="1141"/>
      <c r="C34" s="155">
        <v>0</v>
      </c>
      <c r="D34" s="155">
        <v>0</v>
      </c>
      <c r="E34" s="155">
        <v>8000</v>
      </c>
      <c r="F34" s="283">
        <v>2390</v>
      </c>
      <c r="G34" s="159">
        <v>8000</v>
      </c>
      <c r="H34" s="295"/>
      <c r="I34" s="295"/>
    </row>
    <row r="35" spans="1:9" x14ac:dyDescent="0.25">
      <c r="A35" s="1192"/>
      <c r="B35" s="1142"/>
      <c r="C35" s="155">
        <v>0</v>
      </c>
      <c r="D35" s="155">
        <v>0</v>
      </c>
      <c r="E35" s="155">
        <v>1500</v>
      </c>
      <c r="F35" s="283">
        <v>5110</v>
      </c>
      <c r="G35" s="159">
        <v>1500</v>
      </c>
      <c r="H35" s="295"/>
      <c r="I35" s="295"/>
    </row>
    <row r="36" spans="1:9" x14ac:dyDescent="0.25">
      <c r="A36" s="972">
        <v>6</v>
      </c>
      <c r="B36" s="206" t="s">
        <v>609</v>
      </c>
      <c r="C36" s="155">
        <v>0</v>
      </c>
      <c r="D36" s="155">
        <v>0</v>
      </c>
      <c r="E36" s="155">
        <v>5000</v>
      </c>
      <c r="F36" s="283">
        <v>2314</v>
      </c>
      <c r="G36" s="159">
        <v>5000</v>
      </c>
      <c r="H36" s="295"/>
      <c r="I36" s="295"/>
    </row>
    <row r="38" spans="1:9" s="1" customFormat="1" ht="12" x14ac:dyDescent="0.2">
      <c r="A38" s="1" t="s">
        <v>1239</v>
      </c>
      <c r="C38" s="375"/>
      <c r="D38" s="375"/>
      <c r="E38" s="375"/>
      <c r="F38" s="375"/>
      <c r="G38" s="375"/>
    </row>
    <row r="39" spans="1:9" s="1" customFormat="1" ht="12" x14ac:dyDescent="0.2">
      <c r="A39" s="1" t="s">
        <v>1240</v>
      </c>
      <c r="C39" s="1101"/>
      <c r="D39" s="1101"/>
      <c r="E39" s="1101"/>
      <c r="F39" s="1101"/>
      <c r="G39" s="1101"/>
    </row>
    <row r="40" spans="1:9" s="1" customFormat="1" ht="21.75" customHeight="1" x14ac:dyDescent="0.2">
      <c r="A40" s="1102" t="s">
        <v>1</v>
      </c>
      <c r="B40" s="1102" t="s">
        <v>2</v>
      </c>
      <c r="C40" s="1045" t="s">
        <v>60</v>
      </c>
      <c r="D40" s="1045" t="s">
        <v>61</v>
      </c>
      <c r="E40" s="1045" t="s">
        <v>28</v>
      </c>
      <c r="F40" s="1046" t="s">
        <v>6</v>
      </c>
      <c r="G40" s="1046" t="s">
        <v>1190</v>
      </c>
    </row>
    <row r="41" spans="1:9" s="1" customFormat="1" ht="12.75" customHeight="1" x14ac:dyDescent="0.2">
      <c r="A41" s="1102"/>
      <c r="B41" s="1102"/>
      <c r="C41" s="1045"/>
      <c r="D41" s="1045"/>
      <c r="E41" s="1045"/>
      <c r="F41" s="1048"/>
      <c r="G41" s="1048"/>
    </row>
    <row r="42" spans="1:9" s="1" customFormat="1" ht="12" x14ac:dyDescent="0.2">
      <c r="A42" s="1153" t="s">
        <v>300</v>
      </c>
      <c r="B42" s="1153"/>
      <c r="C42" s="151">
        <f>SUM(C43:C46)</f>
        <v>42687</v>
      </c>
      <c r="D42" s="151">
        <f>SUM(D43:D46)</f>
        <v>22915</v>
      </c>
      <c r="E42" s="151">
        <f>SUM(E43:E46)</f>
        <v>78687</v>
      </c>
      <c r="F42" s="151"/>
      <c r="G42" s="151">
        <f>SUM(G43:G46)</f>
        <v>61000</v>
      </c>
    </row>
    <row r="43" spans="1:9" ht="24" x14ac:dyDescent="0.25">
      <c r="A43" s="298">
        <v>1</v>
      </c>
      <c r="B43" s="297" t="s">
        <v>610</v>
      </c>
      <c r="C43" s="290">
        <v>42687</v>
      </c>
      <c r="D43" s="480">
        <v>22915</v>
      </c>
      <c r="E43" s="480">
        <v>42687</v>
      </c>
      <c r="F43" s="296">
        <v>2279</v>
      </c>
      <c r="G43" s="479">
        <v>25000</v>
      </c>
    </row>
    <row r="44" spans="1:9" ht="24.75" x14ac:dyDescent="0.25">
      <c r="A44" s="298">
        <v>2</v>
      </c>
      <c r="B44" s="210" t="s">
        <v>611</v>
      </c>
      <c r="C44" s="162">
        <v>0</v>
      </c>
      <c r="D44" s="162">
        <v>0</v>
      </c>
      <c r="E44" s="162">
        <v>3000</v>
      </c>
      <c r="F44" s="296">
        <v>5250</v>
      </c>
      <c r="G44" s="479">
        <v>3000</v>
      </c>
    </row>
    <row r="45" spans="1:9" ht="24.75" x14ac:dyDescent="0.25">
      <c r="A45" s="973">
        <v>3</v>
      </c>
      <c r="B45" s="210" t="s">
        <v>612</v>
      </c>
      <c r="C45" s="162">
        <v>0</v>
      </c>
      <c r="D45" s="162">
        <v>0</v>
      </c>
      <c r="E45" s="162">
        <v>13000</v>
      </c>
      <c r="F45" s="296">
        <v>2390</v>
      </c>
      <c r="G45" s="479">
        <v>13000</v>
      </c>
    </row>
    <row r="46" spans="1:9" x14ac:dyDescent="0.25">
      <c r="A46" s="973">
        <v>4</v>
      </c>
      <c r="B46" s="201" t="s">
        <v>1180</v>
      </c>
      <c r="C46" s="162"/>
      <c r="D46" s="162"/>
      <c r="E46" s="162">
        <v>20000</v>
      </c>
      <c r="F46" s="296">
        <v>2279</v>
      </c>
      <c r="G46" s="479">
        <v>20000</v>
      </c>
    </row>
    <row r="47" spans="1:9" ht="9.75" customHeight="1" x14ac:dyDescent="0.25"/>
    <row r="48" spans="1:9" s="1" customFormat="1" ht="12" x14ac:dyDescent="0.2">
      <c r="A48" s="1" t="s">
        <v>1295</v>
      </c>
      <c r="C48" s="375"/>
      <c r="D48" s="375"/>
      <c r="E48" s="375"/>
      <c r="F48" s="375"/>
      <c r="G48" s="375"/>
    </row>
    <row r="49" spans="1:7" s="1" customFormat="1" ht="12" x14ac:dyDescent="0.2">
      <c r="A49" s="1" t="s">
        <v>1240</v>
      </c>
      <c r="C49" s="1101"/>
      <c r="D49" s="1101"/>
      <c r="E49" s="1101"/>
      <c r="F49" s="1101"/>
      <c r="G49" s="1101"/>
    </row>
    <row r="50" spans="1:7" s="1" customFormat="1" ht="23.25" customHeight="1" x14ac:dyDescent="0.2">
      <c r="A50" s="1102" t="s">
        <v>1</v>
      </c>
      <c r="B50" s="1102" t="s">
        <v>2</v>
      </c>
      <c r="C50" s="1045" t="s">
        <v>60</v>
      </c>
      <c r="D50" s="1045" t="s">
        <v>61</v>
      </c>
      <c r="E50" s="1045" t="s">
        <v>28</v>
      </c>
      <c r="F50" s="1046" t="s">
        <v>6</v>
      </c>
      <c r="G50" s="1046" t="s">
        <v>1190</v>
      </c>
    </row>
    <row r="51" spans="1:7" s="1" customFormat="1" ht="12.75" customHeight="1" x14ac:dyDescent="0.2">
      <c r="A51" s="1102"/>
      <c r="B51" s="1102"/>
      <c r="C51" s="1045"/>
      <c r="D51" s="1045"/>
      <c r="E51" s="1045"/>
      <c r="F51" s="1048"/>
      <c r="G51" s="1048"/>
    </row>
    <row r="52" spans="1:7" s="1" customFormat="1" ht="12" x14ac:dyDescent="0.2">
      <c r="A52" s="1094" t="s">
        <v>300</v>
      </c>
      <c r="B52" s="1094"/>
      <c r="C52" s="377">
        <f>SUM(C53:C54)</f>
        <v>174</v>
      </c>
      <c r="D52" s="377">
        <f>SUM(D53:D54)</f>
        <v>0</v>
      </c>
      <c r="E52" s="377">
        <f>SUM(E53:E54)</f>
        <v>174</v>
      </c>
      <c r="F52" s="377"/>
      <c r="G52" s="377">
        <f>SUM(G53:G54)</f>
        <v>174</v>
      </c>
    </row>
    <row r="53" spans="1:7" s="299" customFormat="1" x14ac:dyDescent="0.25">
      <c r="A53" s="1186">
        <v>1</v>
      </c>
      <c r="B53" s="1187" t="s">
        <v>613</v>
      </c>
      <c r="C53" s="481">
        <v>161</v>
      </c>
      <c r="D53" s="481">
        <v>0</v>
      </c>
      <c r="E53" s="481">
        <v>161</v>
      </c>
      <c r="F53" s="482">
        <v>2279</v>
      </c>
      <c r="G53" s="483">
        <v>161</v>
      </c>
    </row>
    <row r="54" spans="1:7" s="299" customFormat="1" x14ac:dyDescent="0.25">
      <c r="A54" s="1186"/>
      <c r="B54" s="1187"/>
      <c r="C54" s="481">
        <v>13</v>
      </c>
      <c r="D54" s="481">
        <v>0</v>
      </c>
      <c r="E54" s="481">
        <v>13</v>
      </c>
      <c r="F54" s="482">
        <v>5250</v>
      </c>
      <c r="G54" s="483">
        <v>13</v>
      </c>
    </row>
    <row r="55" spans="1:7" ht="8.25" customHeight="1" x14ac:dyDescent="0.25"/>
  </sheetData>
  <sortState ref="C33:H35">
    <sortCondition ref="F33:F35"/>
  </sortState>
  <mergeCells count="46">
    <mergeCell ref="F14:F15"/>
    <mergeCell ref="G14:G15"/>
    <mergeCell ref="A16:B16"/>
    <mergeCell ref="A14:A15"/>
    <mergeCell ref="B14:B15"/>
    <mergeCell ref="C14:C15"/>
    <mergeCell ref="D14:D15"/>
    <mergeCell ref="E14:E15"/>
    <mergeCell ref="A33:A35"/>
    <mergeCell ref="B33:B35"/>
    <mergeCell ref="A25:A26"/>
    <mergeCell ref="B25:B26"/>
    <mergeCell ref="C40:C41"/>
    <mergeCell ref="A40:A41"/>
    <mergeCell ref="C25:C26"/>
    <mergeCell ref="A27:B27"/>
    <mergeCell ref="A31:A32"/>
    <mergeCell ref="B31:B32"/>
    <mergeCell ref="D40:D41"/>
    <mergeCell ref="E40:E41"/>
    <mergeCell ref="F40:F41"/>
    <mergeCell ref="G40:G41"/>
    <mergeCell ref="B1:G1"/>
    <mergeCell ref="C39:G39"/>
    <mergeCell ref="B40:B41"/>
    <mergeCell ref="G25:G26"/>
    <mergeCell ref="D25:D26"/>
    <mergeCell ref="E25:E26"/>
    <mergeCell ref="F25:F26"/>
    <mergeCell ref="C24:G24"/>
    <mergeCell ref="A8:G8"/>
    <mergeCell ref="C10:G10"/>
    <mergeCell ref="C12:G12"/>
    <mergeCell ref="C13:G13"/>
    <mergeCell ref="A52:B52"/>
    <mergeCell ref="A53:A54"/>
    <mergeCell ref="B53:B54"/>
    <mergeCell ref="A42:B42"/>
    <mergeCell ref="C49:G49"/>
    <mergeCell ref="A50:A51"/>
    <mergeCell ref="B50:B51"/>
    <mergeCell ref="C50:C51"/>
    <mergeCell ref="D50:D51"/>
    <mergeCell ref="E50:E51"/>
    <mergeCell ref="F50:F51"/>
    <mergeCell ref="G50:G51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99"/>
  </sheetPr>
  <dimension ref="A1:G66"/>
  <sheetViews>
    <sheetView zoomScaleNormal="100" workbookViewId="0">
      <selection activeCell="B2" sqref="B2"/>
    </sheetView>
  </sheetViews>
  <sheetFormatPr defaultRowHeight="12.75" x14ac:dyDescent="0.2"/>
  <cols>
    <col min="1" max="1" width="4" style="37" customWidth="1"/>
    <col min="2" max="2" width="63.42578125" style="37" customWidth="1"/>
    <col min="3" max="3" width="9" style="37" hidden="1" customWidth="1"/>
    <col min="4" max="4" width="10.28515625" style="37" hidden="1" customWidth="1"/>
    <col min="5" max="5" width="11.7109375" style="37" hidden="1" customWidth="1"/>
    <col min="6" max="6" width="10.7109375" style="46" customWidth="1"/>
    <col min="7" max="7" width="9.28515625" style="46" customWidth="1"/>
    <col min="8" max="233" width="9.140625" style="37"/>
    <col min="234" max="234" width="4.85546875" style="37" customWidth="1"/>
    <col min="235" max="235" width="48.28515625" style="37" customWidth="1"/>
    <col min="236" max="236" width="12.85546875" style="37" customWidth="1"/>
    <col min="237" max="237" width="11.7109375" style="37" customWidth="1"/>
    <col min="238" max="238" width="11.140625" style="37" customWidth="1"/>
    <col min="239" max="239" width="11.42578125" style="37" customWidth="1"/>
    <col min="240" max="240" width="11.7109375" style="37" customWidth="1"/>
    <col min="241" max="241" width="45.42578125" style="37" customWidth="1"/>
    <col min="242" max="489" width="9.140625" style="37"/>
    <col min="490" max="490" width="4.85546875" style="37" customWidth="1"/>
    <col min="491" max="491" width="48.28515625" style="37" customWidth="1"/>
    <col min="492" max="492" width="12.85546875" style="37" customWidth="1"/>
    <col min="493" max="493" width="11.7109375" style="37" customWidth="1"/>
    <col min="494" max="494" width="11.140625" style="37" customWidth="1"/>
    <col min="495" max="495" width="11.42578125" style="37" customWidth="1"/>
    <col min="496" max="496" width="11.7109375" style="37" customWidth="1"/>
    <col min="497" max="497" width="45.42578125" style="37" customWidth="1"/>
    <col min="498" max="745" width="9.140625" style="37"/>
    <col min="746" max="746" width="4.85546875" style="37" customWidth="1"/>
    <col min="747" max="747" width="48.28515625" style="37" customWidth="1"/>
    <col min="748" max="748" width="12.85546875" style="37" customWidth="1"/>
    <col min="749" max="749" width="11.7109375" style="37" customWidth="1"/>
    <col min="750" max="750" width="11.140625" style="37" customWidth="1"/>
    <col min="751" max="751" width="11.42578125" style="37" customWidth="1"/>
    <col min="752" max="752" width="11.7109375" style="37" customWidth="1"/>
    <col min="753" max="753" width="45.42578125" style="37" customWidth="1"/>
    <col min="754" max="1001" width="9.140625" style="37"/>
    <col min="1002" max="1002" width="4.85546875" style="37" customWidth="1"/>
    <col min="1003" max="1003" width="48.28515625" style="37" customWidth="1"/>
    <col min="1004" max="1004" width="12.85546875" style="37" customWidth="1"/>
    <col min="1005" max="1005" width="11.7109375" style="37" customWidth="1"/>
    <col min="1006" max="1006" width="11.140625" style="37" customWidth="1"/>
    <col min="1007" max="1007" width="11.42578125" style="37" customWidth="1"/>
    <col min="1008" max="1008" width="11.7109375" style="37" customWidth="1"/>
    <col min="1009" max="1009" width="45.42578125" style="37" customWidth="1"/>
    <col min="1010" max="1257" width="9.140625" style="37"/>
    <col min="1258" max="1258" width="4.85546875" style="37" customWidth="1"/>
    <col min="1259" max="1259" width="48.28515625" style="37" customWidth="1"/>
    <col min="1260" max="1260" width="12.85546875" style="37" customWidth="1"/>
    <col min="1261" max="1261" width="11.7109375" style="37" customWidth="1"/>
    <col min="1262" max="1262" width="11.140625" style="37" customWidth="1"/>
    <col min="1263" max="1263" width="11.42578125" style="37" customWidth="1"/>
    <col min="1264" max="1264" width="11.7109375" style="37" customWidth="1"/>
    <col min="1265" max="1265" width="45.42578125" style="37" customWidth="1"/>
    <col min="1266" max="1513" width="9.140625" style="37"/>
    <col min="1514" max="1514" width="4.85546875" style="37" customWidth="1"/>
    <col min="1515" max="1515" width="48.28515625" style="37" customWidth="1"/>
    <col min="1516" max="1516" width="12.85546875" style="37" customWidth="1"/>
    <col min="1517" max="1517" width="11.7109375" style="37" customWidth="1"/>
    <col min="1518" max="1518" width="11.140625" style="37" customWidth="1"/>
    <col min="1519" max="1519" width="11.42578125" style="37" customWidth="1"/>
    <col min="1520" max="1520" width="11.7109375" style="37" customWidth="1"/>
    <col min="1521" max="1521" width="45.42578125" style="37" customWidth="1"/>
    <col min="1522" max="1769" width="9.140625" style="37"/>
    <col min="1770" max="1770" width="4.85546875" style="37" customWidth="1"/>
    <col min="1771" max="1771" width="48.28515625" style="37" customWidth="1"/>
    <col min="1772" max="1772" width="12.85546875" style="37" customWidth="1"/>
    <col min="1773" max="1773" width="11.7109375" style="37" customWidth="1"/>
    <col min="1774" max="1774" width="11.140625" style="37" customWidth="1"/>
    <col min="1775" max="1775" width="11.42578125" style="37" customWidth="1"/>
    <col min="1776" max="1776" width="11.7109375" style="37" customWidth="1"/>
    <col min="1777" max="1777" width="45.42578125" style="37" customWidth="1"/>
    <col min="1778" max="2025" width="9.140625" style="37"/>
    <col min="2026" max="2026" width="4.85546875" style="37" customWidth="1"/>
    <col min="2027" max="2027" width="48.28515625" style="37" customWidth="1"/>
    <col min="2028" max="2028" width="12.85546875" style="37" customWidth="1"/>
    <col min="2029" max="2029" width="11.7109375" style="37" customWidth="1"/>
    <col min="2030" max="2030" width="11.140625" style="37" customWidth="1"/>
    <col min="2031" max="2031" width="11.42578125" style="37" customWidth="1"/>
    <col min="2032" max="2032" width="11.7109375" style="37" customWidth="1"/>
    <col min="2033" max="2033" width="45.42578125" style="37" customWidth="1"/>
    <col min="2034" max="2281" width="9.140625" style="37"/>
    <col min="2282" max="2282" width="4.85546875" style="37" customWidth="1"/>
    <col min="2283" max="2283" width="48.28515625" style="37" customWidth="1"/>
    <col min="2284" max="2284" width="12.85546875" style="37" customWidth="1"/>
    <col min="2285" max="2285" width="11.7109375" style="37" customWidth="1"/>
    <col min="2286" max="2286" width="11.140625" style="37" customWidth="1"/>
    <col min="2287" max="2287" width="11.42578125" style="37" customWidth="1"/>
    <col min="2288" max="2288" width="11.7109375" style="37" customWidth="1"/>
    <col min="2289" max="2289" width="45.42578125" style="37" customWidth="1"/>
    <col min="2290" max="2537" width="9.140625" style="37"/>
    <col min="2538" max="2538" width="4.85546875" style="37" customWidth="1"/>
    <col min="2539" max="2539" width="48.28515625" style="37" customWidth="1"/>
    <col min="2540" max="2540" width="12.85546875" style="37" customWidth="1"/>
    <col min="2541" max="2541" width="11.7109375" style="37" customWidth="1"/>
    <col min="2542" max="2542" width="11.140625" style="37" customWidth="1"/>
    <col min="2543" max="2543" width="11.42578125" style="37" customWidth="1"/>
    <col min="2544" max="2544" width="11.7109375" style="37" customWidth="1"/>
    <col min="2545" max="2545" width="45.42578125" style="37" customWidth="1"/>
    <col min="2546" max="2793" width="9.140625" style="37"/>
    <col min="2794" max="2794" width="4.85546875" style="37" customWidth="1"/>
    <col min="2795" max="2795" width="48.28515625" style="37" customWidth="1"/>
    <col min="2796" max="2796" width="12.85546875" style="37" customWidth="1"/>
    <col min="2797" max="2797" width="11.7109375" style="37" customWidth="1"/>
    <col min="2798" max="2798" width="11.140625" style="37" customWidth="1"/>
    <col min="2799" max="2799" width="11.42578125" style="37" customWidth="1"/>
    <col min="2800" max="2800" width="11.7109375" style="37" customWidth="1"/>
    <col min="2801" max="2801" width="45.42578125" style="37" customWidth="1"/>
    <col min="2802" max="3049" width="9.140625" style="37"/>
    <col min="3050" max="3050" width="4.85546875" style="37" customWidth="1"/>
    <col min="3051" max="3051" width="48.28515625" style="37" customWidth="1"/>
    <col min="3052" max="3052" width="12.85546875" style="37" customWidth="1"/>
    <col min="3053" max="3053" width="11.7109375" style="37" customWidth="1"/>
    <col min="3054" max="3054" width="11.140625" style="37" customWidth="1"/>
    <col min="3055" max="3055" width="11.42578125" style="37" customWidth="1"/>
    <col min="3056" max="3056" width="11.7109375" style="37" customWidth="1"/>
    <col min="3057" max="3057" width="45.42578125" style="37" customWidth="1"/>
    <col min="3058" max="3305" width="9.140625" style="37"/>
    <col min="3306" max="3306" width="4.85546875" style="37" customWidth="1"/>
    <col min="3307" max="3307" width="48.28515625" style="37" customWidth="1"/>
    <col min="3308" max="3308" width="12.85546875" style="37" customWidth="1"/>
    <col min="3309" max="3309" width="11.7109375" style="37" customWidth="1"/>
    <col min="3310" max="3310" width="11.140625" style="37" customWidth="1"/>
    <col min="3311" max="3311" width="11.42578125" style="37" customWidth="1"/>
    <col min="3312" max="3312" width="11.7109375" style="37" customWidth="1"/>
    <col min="3313" max="3313" width="45.42578125" style="37" customWidth="1"/>
    <col min="3314" max="3561" width="9.140625" style="37"/>
    <col min="3562" max="3562" width="4.85546875" style="37" customWidth="1"/>
    <col min="3563" max="3563" width="48.28515625" style="37" customWidth="1"/>
    <col min="3564" max="3564" width="12.85546875" style="37" customWidth="1"/>
    <col min="3565" max="3565" width="11.7109375" style="37" customWidth="1"/>
    <col min="3566" max="3566" width="11.140625" style="37" customWidth="1"/>
    <col min="3567" max="3567" width="11.42578125" style="37" customWidth="1"/>
    <col min="3568" max="3568" width="11.7109375" style="37" customWidth="1"/>
    <col min="3569" max="3569" width="45.42578125" style="37" customWidth="1"/>
    <col min="3570" max="3817" width="9.140625" style="37"/>
    <col min="3818" max="3818" width="4.85546875" style="37" customWidth="1"/>
    <col min="3819" max="3819" width="48.28515625" style="37" customWidth="1"/>
    <col min="3820" max="3820" width="12.85546875" style="37" customWidth="1"/>
    <col min="3821" max="3821" width="11.7109375" style="37" customWidth="1"/>
    <col min="3822" max="3822" width="11.140625" style="37" customWidth="1"/>
    <col min="3823" max="3823" width="11.42578125" style="37" customWidth="1"/>
    <col min="3824" max="3824" width="11.7109375" style="37" customWidth="1"/>
    <col min="3825" max="3825" width="45.42578125" style="37" customWidth="1"/>
    <col min="3826" max="4073" width="9.140625" style="37"/>
    <col min="4074" max="4074" width="4.85546875" style="37" customWidth="1"/>
    <col min="4075" max="4075" width="48.28515625" style="37" customWidth="1"/>
    <col min="4076" max="4076" width="12.85546875" style="37" customWidth="1"/>
    <col min="4077" max="4077" width="11.7109375" style="37" customWidth="1"/>
    <col min="4078" max="4078" width="11.140625" style="37" customWidth="1"/>
    <col min="4079" max="4079" width="11.42578125" style="37" customWidth="1"/>
    <col min="4080" max="4080" width="11.7109375" style="37" customWidth="1"/>
    <col min="4081" max="4081" width="45.42578125" style="37" customWidth="1"/>
    <col min="4082" max="4329" width="9.140625" style="37"/>
    <col min="4330" max="4330" width="4.85546875" style="37" customWidth="1"/>
    <col min="4331" max="4331" width="48.28515625" style="37" customWidth="1"/>
    <col min="4332" max="4332" width="12.85546875" style="37" customWidth="1"/>
    <col min="4333" max="4333" width="11.7109375" style="37" customWidth="1"/>
    <col min="4334" max="4334" width="11.140625" style="37" customWidth="1"/>
    <col min="4335" max="4335" width="11.42578125" style="37" customWidth="1"/>
    <col min="4336" max="4336" width="11.7109375" style="37" customWidth="1"/>
    <col min="4337" max="4337" width="45.42578125" style="37" customWidth="1"/>
    <col min="4338" max="4585" width="9.140625" style="37"/>
    <col min="4586" max="4586" width="4.85546875" style="37" customWidth="1"/>
    <col min="4587" max="4587" width="48.28515625" style="37" customWidth="1"/>
    <col min="4588" max="4588" width="12.85546875" style="37" customWidth="1"/>
    <col min="4589" max="4589" width="11.7109375" style="37" customWidth="1"/>
    <col min="4590" max="4590" width="11.140625" style="37" customWidth="1"/>
    <col min="4591" max="4591" width="11.42578125" style="37" customWidth="1"/>
    <col min="4592" max="4592" width="11.7109375" style="37" customWidth="1"/>
    <col min="4593" max="4593" width="45.42578125" style="37" customWidth="1"/>
    <col min="4594" max="4841" width="9.140625" style="37"/>
    <col min="4842" max="4842" width="4.85546875" style="37" customWidth="1"/>
    <col min="4843" max="4843" width="48.28515625" style="37" customWidth="1"/>
    <col min="4844" max="4844" width="12.85546875" style="37" customWidth="1"/>
    <col min="4845" max="4845" width="11.7109375" style="37" customWidth="1"/>
    <col min="4846" max="4846" width="11.140625" style="37" customWidth="1"/>
    <col min="4847" max="4847" width="11.42578125" style="37" customWidth="1"/>
    <col min="4848" max="4848" width="11.7109375" style="37" customWidth="1"/>
    <col min="4849" max="4849" width="45.42578125" style="37" customWidth="1"/>
    <col min="4850" max="5097" width="9.140625" style="37"/>
    <col min="5098" max="5098" width="4.85546875" style="37" customWidth="1"/>
    <col min="5099" max="5099" width="48.28515625" style="37" customWidth="1"/>
    <col min="5100" max="5100" width="12.85546875" style="37" customWidth="1"/>
    <col min="5101" max="5101" width="11.7109375" style="37" customWidth="1"/>
    <col min="5102" max="5102" width="11.140625" style="37" customWidth="1"/>
    <col min="5103" max="5103" width="11.42578125" style="37" customWidth="1"/>
    <col min="5104" max="5104" width="11.7109375" style="37" customWidth="1"/>
    <col min="5105" max="5105" width="45.42578125" style="37" customWidth="1"/>
    <col min="5106" max="5353" width="9.140625" style="37"/>
    <col min="5354" max="5354" width="4.85546875" style="37" customWidth="1"/>
    <col min="5355" max="5355" width="48.28515625" style="37" customWidth="1"/>
    <col min="5356" max="5356" width="12.85546875" style="37" customWidth="1"/>
    <col min="5357" max="5357" width="11.7109375" style="37" customWidth="1"/>
    <col min="5358" max="5358" width="11.140625" style="37" customWidth="1"/>
    <col min="5359" max="5359" width="11.42578125" style="37" customWidth="1"/>
    <col min="5360" max="5360" width="11.7109375" style="37" customWidth="1"/>
    <col min="5361" max="5361" width="45.42578125" style="37" customWidth="1"/>
    <col min="5362" max="5609" width="9.140625" style="37"/>
    <col min="5610" max="5610" width="4.85546875" style="37" customWidth="1"/>
    <col min="5611" max="5611" width="48.28515625" style="37" customWidth="1"/>
    <col min="5612" max="5612" width="12.85546875" style="37" customWidth="1"/>
    <col min="5613" max="5613" width="11.7109375" style="37" customWidth="1"/>
    <col min="5614" max="5614" width="11.140625" style="37" customWidth="1"/>
    <col min="5615" max="5615" width="11.42578125" style="37" customWidth="1"/>
    <col min="5616" max="5616" width="11.7109375" style="37" customWidth="1"/>
    <col min="5617" max="5617" width="45.42578125" style="37" customWidth="1"/>
    <col min="5618" max="5865" width="9.140625" style="37"/>
    <col min="5866" max="5866" width="4.85546875" style="37" customWidth="1"/>
    <col min="5867" max="5867" width="48.28515625" style="37" customWidth="1"/>
    <col min="5868" max="5868" width="12.85546875" style="37" customWidth="1"/>
    <col min="5869" max="5869" width="11.7109375" style="37" customWidth="1"/>
    <col min="5870" max="5870" width="11.140625" style="37" customWidth="1"/>
    <col min="5871" max="5871" width="11.42578125" style="37" customWidth="1"/>
    <col min="5872" max="5872" width="11.7109375" style="37" customWidth="1"/>
    <col min="5873" max="5873" width="45.42578125" style="37" customWidth="1"/>
    <col min="5874" max="6121" width="9.140625" style="37"/>
    <col min="6122" max="6122" width="4.85546875" style="37" customWidth="1"/>
    <col min="6123" max="6123" width="48.28515625" style="37" customWidth="1"/>
    <col min="6124" max="6124" width="12.85546875" style="37" customWidth="1"/>
    <col min="6125" max="6125" width="11.7109375" style="37" customWidth="1"/>
    <col min="6126" max="6126" width="11.140625" style="37" customWidth="1"/>
    <col min="6127" max="6127" width="11.42578125" style="37" customWidth="1"/>
    <col min="6128" max="6128" width="11.7109375" style="37" customWidth="1"/>
    <col min="6129" max="6129" width="45.42578125" style="37" customWidth="1"/>
    <col min="6130" max="6377" width="9.140625" style="37"/>
    <col min="6378" max="6378" width="4.85546875" style="37" customWidth="1"/>
    <col min="6379" max="6379" width="48.28515625" style="37" customWidth="1"/>
    <col min="6380" max="6380" width="12.85546875" style="37" customWidth="1"/>
    <col min="6381" max="6381" width="11.7109375" style="37" customWidth="1"/>
    <col min="6382" max="6382" width="11.140625" style="37" customWidth="1"/>
    <col min="6383" max="6383" width="11.42578125" style="37" customWidth="1"/>
    <col min="6384" max="6384" width="11.7109375" style="37" customWidth="1"/>
    <col min="6385" max="6385" width="45.42578125" style="37" customWidth="1"/>
    <col min="6386" max="6633" width="9.140625" style="37"/>
    <col min="6634" max="6634" width="4.85546875" style="37" customWidth="1"/>
    <col min="6635" max="6635" width="48.28515625" style="37" customWidth="1"/>
    <col min="6636" max="6636" width="12.85546875" style="37" customWidth="1"/>
    <col min="6637" max="6637" width="11.7109375" style="37" customWidth="1"/>
    <col min="6638" max="6638" width="11.140625" style="37" customWidth="1"/>
    <col min="6639" max="6639" width="11.42578125" style="37" customWidth="1"/>
    <col min="6640" max="6640" width="11.7109375" style="37" customWidth="1"/>
    <col min="6641" max="6641" width="45.42578125" style="37" customWidth="1"/>
    <col min="6642" max="6889" width="9.140625" style="37"/>
    <col min="6890" max="6890" width="4.85546875" style="37" customWidth="1"/>
    <col min="6891" max="6891" width="48.28515625" style="37" customWidth="1"/>
    <col min="6892" max="6892" width="12.85546875" style="37" customWidth="1"/>
    <col min="6893" max="6893" width="11.7109375" style="37" customWidth="1"/>
    <col min="6894" max="6894" width="11.140625" style="37" customWidth="1"/>
    <col min="6895" max="6895" width="11.42578125" style="37" customWidth="1"/>
    <col min="6896" max="6896" width="11.7109375" style="37" customWidth="1"/>
    <col min="6897" max="6897" width="45.42578125" style="37" customWidth="1"/>
    <col min="6898" max="7145" width="9.140625" style="37"/>
    <col min="7146" max="7146" width="4.85546875" style="37" customWidth="1"/>
    <col min="7147" max="7147" width="48.28515625" style="37" customWidth="1"/>
    <col min="7148" max="7148" width="12.85546875" style="37" customWidth="1"/>
    <col min="7149" max="7149" width="11.7109375" style="37" customWidth="1"/>
    <col min="7150" max="7150" width="11.140625" style="37" customWidth="1"/>
    <col min="7151" max="7151" width="11.42578125" style="37" customWidth="1"/>
    <col min="7152" max="7152" width="11.7109375" style="37" customWidth="1"/>
    <col min="7153" max="7153" width="45.42578125" style="37" customWidth="1"/>
    <col min="7154" max="7401" width="9.140625" style="37"/>
    <col min="7402" max="7402" width="4.85546875" style="37" customWidth="1"/>
    <col min="7403" max="7403" width="48.28515625" style="37" customWidth="1"/>
    <col min="7404" max="7404" width="12.85546875" style="37" customWidth="1"/>
    <col min="7405" max="7405" width="11.7109375" style="37" customWidth="1"/>
    <col min="7406" max="7406" width="11.140625" style="37" customWidth="1"/>
    <col min="7407" max="7407" width="11.42578125" style="37" customWidth="1"/>
    <col min="7408" max="7408" width="11.7109375" style="37" customWidth="1"/>
    <col min="7409" max="7409" width="45.42578125" style="37" customWidth="1"/>
    <col min="7410" max="7657" width="9.140625" style="37"/>
    <col min="7658" max="7658" width="4.85546875" style="37" customWidth="1"/>
    <col min="7659" max="7659" width="48.28515625" style="37" customWidth="1"/>
    <col min="7660" max="7660" width="12.85546875" style="37" customWidth="1"/>
    <col min="7661" max="7661" width="11.7109375" style="37" customWidth="1"/>
    <col min="7662" max="7662" width="11.140625" style="37" customWidth="1"/>
    <col min="7663" max="7663" width="11.42578125" style="37" customWidth="1"/>
    <col min="7664" max="7664" width="11.7109375" style="37" customWidth="1"/>
    <col min="7665" max="7665" width="45.42578125" style="37" customWidth="1"/>
    <col min="7666" max="7913" width="9.140625" style="37"/>
    <col min="7914" max="7914" width="4.85546875" style="37" customWidth="1"/>
    <col min="7915" max="7915" width="48.28515625" style="37" customWidth="1"/>
    <col min="7916" max="7916" width="12.85546875" style="37" customWidth="1"/>
    <col min="7917" max="7917" width="11.7109375" style="37" customWidth="1"/>
    <col min="7918" max="7918" width="11.140625" style="37" customWidth="1"/>
    <col min="7919" max="7919" width="11.42578125" style="37" customWidth="1"/>
    <col min="7920" max="7920" width="11.7109375" style="37" customWidth="1"/>
    <col min="7921" max="7921" width="45.42578125" style="37" customWidth="1"/>
    <col min="7922" max="8169" width="9.140625" style="37"/>
    <col min="8170" max="8170" width="4.85546875" style="37" customWidth="1"/>
    <col min="8171" max="8171" width="48.28515625" style="37" customWidth="1"/>
    <col min="8172" max="8172" width="12.85546875" style="37" customWidth="1"/>
    <col min="8173" max="8173" width="11.7109375" style="37" customWidth="1"/>
    <col min="8174" max="8174" width="11.140625" style="37" customWidth="1"/>
    <col min="8175" max="8175" width="11.42578125" style="37" customWidth="1"/>
    <col min="8176" max="8176" width="11.7109375" style="37" customWidth="1"/>
    <col min="8177" max="8177" width="45.42578125" style="37" customWidth="1"/>
    <col min="8178" max="8425" width="9.140625" style="37"/>
    <col min="8426" max="8426" width="4.85546875" style="37" customWidth="1"/>
    <col min="8427" max="8427" width="48.28515625" style="37" customWidth="1"/>
    <col min="8428" max="8428" width="12.85546875" style="37" customWidth="1"/>
    <col min="8429" max="8429" width="11.7109375" style="37" customWidth="1"/>
    <col min="8430" max="8430" width="11.140625" style="37" customWidth="1"/>
    <col min="8431" max="8431" width="11.42578125" style="37" customWidth="1"/>
    <col min="8432" max="8432" width="11.7109375" style="37" customWidth="1"/>
    <col min="8433" max="8433" width="45.42578125" style="37" customWidth="1"/>
    <col min="8434" max="8681" width="9.140625" style="37"/>
    <col min="8682" max="8682" width="4.85546875" style="37" customWidth="1"/>
    <col min="8683" max="8683" width="48.28515625" style="37" customWidth="1"/>
    <col min="8684" max="8684" width="12.85546875" style="37" customWidth="1"/>
    <col min="8685" max="8685" width="11.7109375" style="37" customWidth="1"/>
    <col min="8686" max="8686" width="11.140625" style="37" customWidth="1"/>
    <col min="8687" max="8687" width="11.42578125" style="37" customWidth="1"/>
    <col min="8688" max="8688" width="11.7109375" style="37" customWidth="1"/>
    <col min="8689" max="8689" width="45.42578125" style="37" customWidth="1"/>
    <col min="8690" max="8937" width="9.140625" style="37"/>
    <col min="8938" max="8938" width="4.85546875" style="37" customWidth="1"/>
    <col min="8939" max="8939" width="48.28515625" style="37" customWidth="1"/>
    <col min="8940" max="8940" width="12.85546875" style="37" customWidth="1"/>
    <col min="8941" max="8941" width="11.7109375" style="37" customWidth="1"/>
    <col min="8942" max="8942" width="11.140625" style="37" customWidth="1"/>
    <col min="8943" max="8943" width="11.42578125" style="37" customWidth="1"/>
    <col min="8944" max="8944" width="11.7109375" style="37" customWidth="1"/>
    <col min="8945" max="8945" width="45.42578125" style="37" customWidth="1"/>
    <col min="8946" max="9193" width="9.140625" style="37"/>
    <col min="9194" max="9194" width="4.85546875" style="37" customWidth="1"/>
    <col min="9195" max="9195" width="48.28515625" style="37" customWidth="1"/>
    <col min="9196" max="9196" width="12.85546875" style="37" customWidth="1"/>
    <col min="9197" max="9197" width="11.7109375" style="37" customWidth="1"/>
    <col min="9198" max="9198" width="11.140625" style="37" customWidth="1"/>
    <col min="9199" max="9199" width="11.42578125" style="37" customWidth="1"/>
    <col min="9200" max="9200" width="11.7109375" style="37" customWidth="1"/>
    <col min="9201" max="9201" width="45.42578125" style="37" customWidth="1"/>
    <col min="9202" max="9449" width="9.140625" style="37"/>
    <col min="9450" max="9450" width="4.85546875" style="37" customWidth="1"/>
    <col min="9451" max="9451" width="48.28515625" style="37" customWidth="1"/>
    <col min="9452" max="9452" width="12.85546875" style="37" customWidth="1"/>
    <col min="9453" max="9453" width="11.7109375" style="37" customWidth="1"/>
    <col min="9454" max="9454" width="11.140625" style="37" customWidth="1"/>
    <col min="9455" max="9455" width="11.42578125" style="37" customWidth="1"/>
    <col min="9456" max="9456" width="11.7109375" style="37" customWidth="1"/>
    <col min="9457" max="9457" width="45.42578125" style="37" customWidth="1"/>
    <col min="9458" max="9705" width="9.140625" style="37"/>
    <col min="9706" max="9706" width="4.85546875" style="37" customWidth="1"/>
    <col min="9707" max="9707" width="48.28515625" style="37" customWidth="1"/>
    <col min="9708" max="9708" width="12.85546875" style="37" customWidth="1"/>
    <col min="9709" max="9709" width="11.7109375" style="37" customWidth="1"/>
    <col min="9710" max="9710" width="11.140625" style="37" customWidth="1"/>
    <col min="9711" max="9711" width="11.42578125" style="37" customWidth="1"/>
    <col min="9712" max="9712" width="11.7109375" style="37" customWidth="1"/>
    <col min="9713" max="9713" width="45.42578125" style="37" customWidth="1"/>
    <col min="9714" max="9961" width="9.140625" style="37"/>
    <col min="9962" max="9962" width="4.85546875" style="37" customWidth="1"/>
    <col min="9963" max="9963" width="48.28515625" style="37" customWidth="1"/>
    <col min="9964" max="9964" width="12.85546875" style="37" customWidth="1"/>
    <col min="9965" max="9965" width="11.7109375" style="37" customWidth="1"/>
    <col min="9966" max="9966" width="11.140625" style="37" customWidth="1"/>
    <col min="9967" max="9967" width="11.42578125" style="37" customWidth="1"/>
    <col min="9968" max="9968" width="11.7109375" style="37" customWidth="1"/>
    <col min="9969" max="9969" width="45.42578125" style="37" customWidth="1"/>
    <col min="9970" max="10217" width="9.140625" style="37"/>
    <col min="10218" max="10218" width="4.85546875" style="37" customWidth="1"/>
    <col min="10219" max="10219" width="48.28515625" style="37" customWidth="1"/>
    <col min="10220" max="10220" width="12.85546875" style="37" customWidth="1"/>
    <col min="10221" max="10221" width="11.7109375" style="37" customWidth="1"/>
    <col min="10222" max="10222" width="11.140625" style="37" customWidth="1"/>
    <col min="10223" max="10223" width="11.42578125" style="37" customWidth="1"/>
    <col min="10224" max="10224" width="11.7109375" style="37" customWidth="1"/>
    <col min="10225" max="10225" width="45.42578125" style="37" customWidth="1"/>
    <col min="10226" max="10473" width="9.140625" style="37"/>
    <col min="10474" max="10474" width="4.85546875" style="37" customWidth="1"/>
    <col min="10475" max="10475" width="48.28515625" style="37" customWidth="1"/>
    <col min="10476" max="10476" width="12.85546875" style="37" customWidth="1"/>
    <col min="10477" max="10477" width="11.7109375" style="37" customWidth="1"/>
    <col min="10478" max="10478" width="11.140625" style="37" customWidth="1"/>
    <col min="10479" max="10479" width="11.42578125" style="37" customWidth="1"/>
    <col min="10480" max="10480" width="11.7109375" style="37" customWidth="1"/>
    <col min="10481" max="10481" width="45.42578125" style="37" customWidth="1"/>
    <col min="10482" max="10729" width="9.140625" style="37"/>
    <col min="10730" max="10730" width="4.85546875" style="37" customWidth="1"/>
    <col min="10731" max="10731" width="48.28515625" style="37" customWidth="1"/>
    <col min="10732" max="10732" width="12.85546875" style="37" customWidth="1"/>
    <col min="10733" max="10733" width="11.7109375" style="37" customWidth="1"/>
    <col min="10734" max="10734" width="11.140625" style="37" customWidth="1"/>
    <col min="10735" max="10735" width="11.42578125" style="37" customWidth="1"/>
    <col min="10736" max="10736" width="11.7109375" style="37" customWidth="1"/>
    <col min="10737" max="10737" width="45.42578125" style="37" customWidth="1"/>
    <col min="10738" max="10985" width="9.140625" style="37"/>
    <col min="10986" max="10986" width="4.85546875" style="37" customWidth="1"/>
    <col min="10987" max="10987" width="48.28515625" style="37" customWidth="1"/>
    <col min="10988" max="10988" width="12.85546875" style="37" customWidth="1"/>
    <col min="10989" max="10989" width="11.7109375" style="37" customWidth="1"/>
    <col min="10990" max="10990" width="11.140625" style="37" customWidth="1"/>
    <col min="10991" max="10991" width="11.42578125" style="37" customWidth="1"/>
    <col min="10992" max="10992" width="11.7109375" style="37" customWidth="1"/>
    <col min="10993" max="10993" width="45.42578125" style="37" customWidth="1"/>
    <col min="10994" max="11241" width="9.140625" style="37"/>
    <col min="11242" max="11242" width="4.85546875" style="37" customWidth="1"/>
    <col min="11243" max="11243" width="48.28515625" style="37" customWidth="1"/>
    <col min="11244" max="11244" width="12.85546875" style="37" customWidth="1"/>
    <col min="11245" max="11245" width="11.7109375" style="37" customWidth="1"/>
    <col min="11246" max="11246" width="11.140625" style="37" customWidth="1"/>
    <col min="11247" max="11247" width="11.42578125" style="37" customWidth="1"/>
    <col min="11248" max="11248" width="11.7109375" style="37" customWidth="1"/>
    <col min="11249" max="11249" width="45.42578125" style="37" customWidth="1"/>
    <col min="11250" max="11497" width="9.140625" style="37"/>
    <col min="11498" max="11498" width="4.85546875" style="37" customWidth="1"/>
    <col min="11499" max="11499" width="48.28515625" style="37" customWidth="1"/>
    <col min="11500" max="11500" width="12.85546875" style="37" customWidth="1"/>
    <col min="11501" max="11501" width="11.7109375" style="37" customWidth="1"/>
    <col min="11502" max="11502" width="11.140625" style="37" customWidth="1"/>
    <col min="11503" max="11503" width="11.42578125" style="37" customWidth="1"/>
    <col min="11504" max="11504" width="11.7109375" style="37" customWidth="1"/>
    <col min="11505" max="11505" width="45.42578125" style="37" customWidth="1"/>
    <col min="11506" max="11753" width="9.140625" style="37"/>
    <col min="11754" max="11754" width="4.85546875" style="37" customWidth="1"/>
    <col min="11755" max="11755" width="48.28515625" style="37" customWidth="1"/>
    <col min="11756" max="11756" width="12.85546875" style="37" customWidth="1"/>
    <col min="11757" max="11757" width="11.7109375" style="37" customWidth="1"/>
    <col min="11758" max="11758" width="11.140625" style="37" customWidth="1"/>
    <col min="11759" max="11759" width="11.42578125" style="37" customWidth="1"/>
    <col min="11760" max="11760" width="11.7109375" style="37" customWidth="1"/>
    <col min="11761" max="11761" width="45.42578125" style="37" customWidth="1"/>
    <col min="11762" max="12009" width="9.140625" style="37"/>
    <col min="12010" max="12010" width="4.85546875" style="37" customWidth="1"/>
    <col min="12011" max="12011" width="48.28515625" style="37" customWidth="1"/>
    <col min="12012" max="12012" width="12.85546875" style="37" customWidth="1"/>
    <col min="12013" max="12013" width="11.7109375" style="37" customWidth="1"/>
    <col min="12014" max="12014" width="11.140625" style="37" customWidth="1"/>
    <col min="12015" max="12015" width="11.42578125" style="37" customWidth="1"/>
    <col min="12016" max="12016" width="11.7109375" style="37" customWidth="1"/>
    <col min="12017" max="12017" width="45.42578125" style="37" customWidth="1"/>
    <col min="12018" max="12265" width="9.140625" style="37"/>
    <col min="12266" max="12266" width="4.85546875" style="37" customWidth="1"/>
    <col min="12267" max="12267" width="48.28515625" style="37" customWidth="1"/>
    <col min="12268" max="12268" width="12.85546875" style="37" customWidth="1"/>
    <col min="12269" max="12269" width="11.7109375" style="37" customWidth="1"/>
    <col min="12270" max="12270" width="11.140625" style="37" customWidth="1"/>
    <col min="12271" max="12271" width="11.42578125" style="37" customWidth="1"/>
    <col min="12272" max="12272" width="11.7109375" style="37" customWidth="1"/>
    <col min="12273" max="12273" width="45.42578125" style="37" customWidth="1"/>
    <col min="12274" max="12521" width="9.140625" style="37"/>
    <col min="12522" max="12522" width="4.85546875" style="37" customWidth="1"/>
    <col min="12523" max="12523" width="48.28515625" style="37" customWidth="1"/>
    <col min="12524" max="12524" width="12.85546875" style="37" customWidth="1"/>
    <col min="12525" max="12525" width="11.7109375" style="37" customWidth="1"/>
    <col min="12526" max="12526" width="11.140625" style="37" customWidth="1"/>
    <col min="12527" max="12527" width="11.42578125" style="37" customWidth="1"/>
    <col min="12528" max="12528" width="11.7109375" style="37" customWidth="1"/>
    <col min="12529" max="12529" width="45.42578125" style="37" customWidth="1"/>
    <col min="12530" max="12777" width="9.140625" style="37"/>
    <col min="12778" max="12778" width="4.85546875" style="37" customWidth="1"/>
    <col min="12779" max="12779" width="48.28515625" style="37" customWidth="1"/>
    <col min="12780" max="12780" width="12.85546875" style="37" customWidth="1"/>
    <col min="12781" max="12781" width="11.7109375" style="37" customWidth="1"/>
    <col min="12782" max="12782" width="11.140625" style="37" customWidth="1"/>
    <col min="12783" max="12783" width="11.42578125" style="37" customWidth="1"/>
    <col min="12784" max="12784" width="11.7109375" style="37" customWidth="1"/>
    <col min="12785" max="12785" width="45.42578125" style="37" customWidth="1"/>
    <col min="12786" max="13033" width="9.140625" style="37"/>
    <col min="13034" max="13034" width="4.85546875" style="37" customWidth="1"/>
    <col min="13035" max="13035" width="48.28515625" style="37" customWidth="1"/>
    <col min="13036" max="13036" width="12.85546875" style="37" customWidth="1"/>
    <col min="13037" max="13037" width="11.7109375" style="37" customWidth="1"/>
    <col min="13038" max="13038" width="11.140625" style="37" customWidth="1"/>
    <col min="13039" max="13039" width="11.42578125" style="37" customWidth="1"/>
    <col min="13040" max="13040" width="11.7109375" style="37" customWidth="1"/>
    <col min="13041" max="13041" width="45.42578125" style="37" customWidth="1"/>
    <col min="13042" max="13289" width="9.140625" style="37"/>
    <col min="13290" max="13290" width="4.85546875" style="37" customWidth="1"/>
    <col min="13291" max="13291" width="48.28515625" style="37" customWidth="1"/>
    <col min="13292" max="13292" width="12.85546875" style="37" customWidth="1"/>
    <col min="13293" max="13293" width="11.7109375" style="37" customWidth="1"/>
    <col min="13294" max="13294" width="11.140625" style="37" customWidth="1"/>
    <col min="13295" max="13295" width="11.42578125" style="37" customWidth="1"/>
    <col min="13296" max="13296" width="11.7109375" style="37" customWidth="1"/>
    <col min="13297" max="13297" width="45.42578125" style="37" customWidth="1"/>
    <col min="13298" max="13545" width="9.140625" style="37"/>
    <col min="13546" max="13546" width="4.85546875" style="37" customWidth="1"/>
    <col min="13547" max="13547" width="48.28515625" style="37" customWidth="1"/>
    <col min="13548" max="13548" width="12.85546875" style="37" customWidth="1"/>
    <col min="13549" max="13549" width="11.7109375" style="37" customWidth="1"/>
    <col min="13550" max="13550" width="11.140625" style="37" customWidth="1"/>
    <col min="13551" max="13551" width="11.42578125" style="37" customWidth="1"/>
    <col min="13552" max="13552" width="11.7109375" style="37" customWidth="1"/>
    <col min="13553" max="13553" width="45.42578125" style="37" customWidth="1"/>
    <col min="13554" max="13801" width="9.140625" style="37"/>
    <col min="13802" max="13802" width="4.85546875" style="37" customWidth="1"/>
    <col min="13803" max="13803" width="48.28515625" style="37" customWidth="1"/>
    <col min="13804" max="13804" width="12.85546875" style="37" customWidth="1"/>
    <col min="13805" max="13805" width="11.7109375" style="37" customWidth="1"/>
    <col min="13806" max="13806" width="11.140625" style="37" customWidth="1"/>
    <col min="13807" max="13807" width="11.42578125" style="37" customWidth="1"/>
    <col min="13808" max="13808" width="11.7109375" style="37" customWidth="1"/>
    <col min="13809" max="13809" width="45.42578125" style="37" customWidth="1"/>
    <col min="13810" max="14057" width="9.140625" style="37"/>
    <col min="14058" max="14058" width="4.85546875" style="37" customWidth="1"/>
    <col min="14059" max="14059" width="48.28515625" style="37" customWidth="1"/>
    <col min="14060" max="14060" width="12.85546875" style="37" customWidth="1"/>
    <col min="14061" max="14061" width="11.7109375" style="37" customWidth="1"/>
    <col min="14062" max="14062" width="11.140625" style="37" customWidth="1"/>
    <col min="14063" max="14063" width="11.42578125" style="37" customWidth="1"/>
    <col min="14064" max="14064" width="11.7109375" style="37" customWidth="1"/>
    <col min="14065" max="14065" width="45.42578125" style="37" customWidth="1"/>
    <col min="14066" max="14313" width="9.140625" style="37"/>
    <col min="14314" max="14314" width="4.85546875" style="37" customWidth="1"/>
    <col min="14315" max="14315" width="48.28515625" style="37" customWidth="1"/>
    <col min="14316" max="14316" width="12.85546875" style="37" customWidth="1"/>
    <col min="14317" max="14317" width="11.7109375" style="37" customWidth="1"/>
    <col min="14318" max="14318" width="11.140625" style="37" customWidth="1"/>
    <col min="14319" max="14319" width="11.42578125" style="37" customWidth="1"/>
    <col min="14320" max="14320" width="11.7109375" style="37" customWidth="1"/>
    <col min="14321" max="14321" width="45.42578125" style="37" customWidth="1"/>
    <col min="14322" max="14569" width="9.140625" style="37"/>
    <col min="14570" max="14570" width="4.85546875" style="37" customWidth="1"/>
    <col min="14571" max="14571" width="48.28515625" style="37" customWidth="1"/>
    <col min="14572" max="14572" width="12.85546875" style="37" customWidth="1"/>
    <col min="14573" max="14573" width="11.7109375" style="37" customWidth="1"/>
    <col min="14574" max="14574" width="11.140625" style="37" customWidth="1"/>
    <col min="14575" max="14575" width="11.42578125" style="37" customWidth="1"/>
    <col min="14576" max="14576" width="11.7109375" style="37" customWidth="1"/>
    <col min="14577" max="14577" width="45.42578125" style="37" customWidth="1"/>
    <col min="14578" max="14825" width="9.140625" style="37"/>
    <col min="14826" max="14826" width="4.85546875" style="37" customWidth="1"/>
    <col min="14827" max="14827" width="48.28515625" style="37" customWidth="1"/>
    <col min="14828" max="14828" width="12.85546875" style="37" customWidth="1"/>
    <col min="14829" max="14829" width="11.7109375" style="37" customWidth="1"/>
    <col min="14830" max="14830" width="11.140625" style="37" customWidth="1"/>
    <col min="14831" max="14831" width="11.42578125" style="37" customWidth="1"/>
    <col min="14832" max="14832" width="11.7109375" style="37" customWidth="1"/>
    <col min="14833" max="14833" width="45.42578125" style="37" customWidth="1"/>
    <col min="14834" max="15081" width="9.140625" style="37"/>
    <col min="15082" max="15082" width="4.85546875" style="37" customWidth="1"/>
    <col min="15083" max="15083" width="48.28515625" style="37" customWidth="1"/>
    <col min="15084" max="15084" width="12.85546875" style="37" customWidth="1"/>
    <col min="15085" max="15085" width="11.7109375" style="37" customWidth="1"/>
    <col min="15086" max="15086" width="11.140625" style="37" customWidth="1"/>
    <col min="15087" max="15087" width="11.42578125" style="37" customWidth="1"/>
    <col min="15088" max="15088" width="11.7109375" style="37" customWidth="1"/>
    <col min="15089" max="15089" width="45.42578125" style="37" customWidth="1"/>
    <col min="15090" max="15337" width="9.140625" style="37"/>
    <col min="15338" max="15338" width="4.85546875" style="37" customWidth="1"/>
    <col min="15339" max="15339" width="48.28515625" style="37" customWidth="1"/>
    <col min="15340" max="15340" width="12.85546875" style="37" customWidth="1"/>
    <col min="15341" max="15341" width="11.7109375" style="37" customWidth="1"/>
    <col min="15342" max="15342" width="11.140625" style="37" customWidth="1"/>
    <col min="15343" max="15343" width="11.42578125" style="37" customWidth="1"/>
    <col min="15344" max="15344" width="11.7109375" style="37" customWidth="1"/>
    <col min="15345" max="15345" width="45.42578125" style="37" customWidth="1"/>
    <col min="15346" max="15593" width="9.140625" style="37"/>
    <col min="15594" max="15594" width="4.85546875" style="37" customWidth="1"/>
    <col min="15595" max="15595" width="48.28515625" style="37" customWidth="1"/>
    <col min="15596" max="15596" width="12.85546875" style="37" customWidth="1"/>
    <col min="15597" max="15597" width="11.7109375" style="37" customWidth="1"/>
    <col min="15598" max="15598" width="11.140625" style="37" customWidth="1"/>
    <col min="15599" max="15599" width="11.42578125" style="37" customWidth="1"/>
    <col min="15600" max="15600" width="11.7109375" style="37" customWidth="1"/>
    <col min="15601" max="15601" width="45.42578125" style="37" customWidth="1"/>
    <col min="15602" max="15849" width="9.140625" style="37"/>
    <col min="15850" max="15850" width="4.85546875" style="37" customWidth="1"/>
    <col min="15851" max="15851" width="48.28515625" style="37" customWidth="1"/>
    <col min="15852" max="15852" width="12.85546875" style="37" customWidth="1"/>
    <col min="15853" max="15853" width="11.7109375" style="37" customWidth="1"/>
    <col min="15854" max="15854" width="11.140625" style="37" customWidth="1"/>
    <col min="15855" max="15855" width="11.42578125" style="37" customWidth="1"/>
    <col min="15856" max="15856" width="11.7109375" style="37" customWidth="1"/>
    <col min="15857" max="15857" width="45.42578125" style="37" customWidth="1"/>
    <col min="15858" max="16105" width="9.140625" style="37"/>
    <col min="16106" max="16106" width="4.85546875" style="37" customWidth="1"/>
    <col min="16107" max="16107" width="48.28515625" style="37" customWidth="1"/>
    <col min="16108" max="16108" width="12.85546875" style="37" customWidth="1"/>
    <col min="16109" max="16109" width="11.7109375" style="37" customWidth="1"/>
    <col min="16110" max="16110" width="11.140625" style="37" customWidth="1"/>
    <col min="16111" max="16111" width="11.42578125" style="37" customWidth="1"/>
    <col min="16112" max="16112" width="11.7109375" style="37" customWidth="1"/>
    <col min="16113" max="16113" width="45.42578125" style="37" customWidth="1"/>
    <col min="16114" max="16384" width="9.140625" style="37"/>
  </cols>
  <sheetData>
    <row r="1" spans="1:7" ht="16.5" x14ac:dyDescent="0.25">
      <c r="B1" s="1034" t="s">
        <v>1309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">
      <c r="A6" s="35" t="s">
        <v>1297</v>
      </c>
      <c r="B6" s="36"/>
      <c r="C6" s="974"/>
      <c r="D6" s="974"/>
      <c r="E6" s="974"/>
      <c r="F6" s="974"/>
      <c r="G6" s="974"/>
    </row>
    <row r="7" spans="1:7" x14ac:dyDescent="0.2">
      <c r="A7" s="1" t="s">
        <v>280</v>
      </c>
      <c r="B7" s="36"/>
      <c r="C7" s="918"/>
      <c r="D7" s="918"/>
      <c r="E7" s="918"/>
      <c r="F7" s="38"/>
      <c r="G7" s="38"/>
    </row>
    <row r="8" spans="1:7" ht="15.75" x14ac:dyDescent="0.25">
      <c r="A8" s="1198" t="s">
        <v>291</v>
      </c>
      <c r="B8" s="1198"/>
      <c r="C8" s="1198"/>
      <c r="D8" s="1198"/>
      <c r="E8" s="1198"/>
      <c r="F8" s="1198"/>
      <c r="G8" s="1198"/>
    </row>
    <row r="9" spans="1:7" x14ac:dyDescent="0.2">
      <c r="A9" s="35"/>
      <c r="B9" s="35"/>
      <c r="C9" s="35"/>
      <c r="D9" s="35"/>
      <c r="E9" s="35"/>
      <c r="F9" s="1199"/>
      <c r="G9" s="1199"/>
    </row>
    <row r="10" spans="1:7" ht="15.75" x14ac:dyDescent="0.25">
      <c r="A10" s="35" t="s">
        <v>1300</v>
      </c>
      <c r="B10" s="35"/>
      <c r="C10" s="975"/>
      <c r="D10" s="35"/>
      <c r="E10" s="35"/>
      <c r="F10" s="131"/>
      <c r="G10" s="131"/>
    </row>
    <row r="11" spans="1:7" x14ac:dyDescent="0.2">
      <c r="A11" s="35"/>
      <c r="B11" s="35"/>
      <c r="C11" s="975"/>
      <c r="D11" s="35"/>
      <c r="E11" s="35"/>
      <c r="F11" s="131"/>
      <c r="G11" s="131"/>
    </row>
    <row r="12" spans="1:7" x14ac:dyDescent="0.2">
      <c r="A12" s="47" t="s">
        <v>1298</v>
      </c>
      <c r="B12" s="47"/>
      <c r="C12" s="48"/>
      <c r="D12" s="47"/>
      <c r="E12" s="47"/>
      <c r="F12" s="978"/>
      <c r="G12" s="137"/>
    </row>
    <row r="13" spans="1:7" x14ac:dyDescent="0.2">
      <c r="A13" s="47" t="s">
        <v>1299</v>
      </c>
      <c r="B13" s="47"/>
      <c r="C13" s="976"/>
      <c r="D13" s="47"/>
      <c r="E13" s="47"/>
      <c r="F13" s="978"/>
      <c r="G13" s="137"/>
    </row>
    <row r="14" spans="1:7" ht="25.5" customHeight="1" x14ac:dyDescent="0.2">
      <c r="A14" s="1197" t="s">
        <v>1</v>
      </c>
      <c r="B14" s="1197" t="s">
        <v>2</v>
      </c>
      <c r="C14" s="1195" t="s">
        <v>26</v>
      </c>
      <c r="D14" s="1195" t="s">
        <v>61</v>
      </c>
      <c r="E14" s="1195" t="s">
        <v>28</v>
      </c>
      <c r="F14" s="1193" t="s">
        <v>6</v>
      </c>
      <c r="G14" s="1195" t="s">
        <v>1190</v>
      </c>
    </row>
    <row r="15" spans="1:7" x14ac:dyDescent="0.2">
      <c r="A15" s="1197"/>
      <c r="B15" s="1197"/>
      <c r="C15" s="1195"/>
      <c r="D15" s="1195"/>
      <c r="E15" s="1195"/>
      <c r="F15" s="1193"/>
      <c r="G15" s="1195"/>
    </row>
    <row r="16" spans="1:7" x14ac:dyDescent="0.2">
      <c r="A16" s="1196" t="s">
        <v>300</v>
      </c>
      <c r="B16" s="1196"/>
      <c r="C16" s="810">
        <f>SUM(C17:C17)</f>
        <v>143</v>
      </c>
      <c r="D16" s="810">
        <f>SUM(D17:D17)</f>
        <v>0</v>
      </c>
      <c r="E16" s="810">
        <f>SUM(E17:E17)</f>
        <v>143</v>
      </c>
      <c r="F16" s="811"/>
      <c r="G16" s="810">
        <f>SUM(G17:G17)</f>
        <v>143</v>
      </c>
    </row>
    <row r="17" spans="1:7" x14ac:dyDescent="0.2">
      <c r="A17" s="923">
        <v>1</v>
      </c>
      <c r="B17" s="821" t="s">
        <v>166</v>
      </c>
      <c r="C17" s="816">
        <v>143</v>
      </c>
      <c r="D17" s="816"/>
      <c r="E17" s="816">
        <v>143</v>
      </c>
      <c r="F17" s="817">
        <v>2279</v>
      </c>
      <c r="G17" s="977">
        <v>143</v>
      </c>
    </row>
    <row r="18" spans="1:7" x14ac:dyDescent="0.2">
      <c r="A18" s="35"/>
      <c r="B18" s="35"/>
      <c r="C18" s="132"/>
      <c r="D18" s="35"/>
      <c r="E18" s="35"/>
      <c r="F18" s="131"/>
      <c r="G18" s="131"/>
    </row>
    <row r="19" spans="1:7" x14ac:dyDescent="0.2">
      <c r="A19" s="47" t="s">
        <v>1301</v>
      </c>
      <c r="B19" s="47"/>
      <c r="C19" s="48"/>
      <c r="D19" s="47"/>
      <c r="E19" s="47"/>
      <c r="F19" s="978"/>
      <c r="G19" s="137"/>
    </row>
    <row r="20" spans="1:7" x14ac:dyDescent="0.2">
      <c r="A20" s="47" t="s">
        <v>1302</v>
      </c>
      <c r="B20" s="47"/>
      <c r="C20" s="593"/>
      <c r="D20" s="47"/>
      <c r="E20" s="47"/>
      <c r="F20" s="978"/>
      <c r="G20" s="137"/>
    </row>
    <row r="21" spans="1:7" ht="22.5" customHeight="1" x14ac:dyDescent="0.2">
      <c r="A21" s="1197" t="s">
        <v>1</v>
      </c>
      <c r="B21" s="1197" t="s">
        <v>2</v>
      </c>
      <c r="C21" s="1195" t="s">
        <v>26</v>
      </c>
      <c r="D21" s="1195" t="s">
        <v>61</v>
      </c>
      <c r="E21" s="1195" t="s">
        <v>28</v>
      </c>
      <c r="F21" s="1193" t="s">
        <v>6</v>
      </c>
      <c r="G21" s="1195" t="s">
        <v>1190</v>
      </c>
    </row>
    <row r="22" spans="1:7" ht="12.75" customHeight="1" x14ac:dyDescent="0.2">
      <c r="A22" s="1197"/>
      <c r="B22" s="1197"/>
      <c r="C22" s="1195"/>
      <c r="D22" s="1195"/>
      <c r="E22" s="1195"/>
      <c r="F22" s="1193"/>
      <c r="G22" s="1195"/>
    </row>
    <row r="23" spans="1:7" x14ac:dyDescent="0.2">
      <c r="A23" s="921"/>
      <c r="B23" s="921" t="s">
        <v>300</v>
      </c>
      <c r="C23" s="810">
        <f>SUM(C24:C32)</f>
        <v>198911</v>
      </c>
      <c r="D23" s="810">
        <f>SUM(D24:D32)</f>
        <v>114403</v>
      </c>
      <c r="E23" s="810">
        <f>SUM(E24:E32)</f>
        <v>169221</v>
      </c>
      <c r="F23" s="810"/>
      <c r="G23" s="810">
        <f>SUM(G24:G32)</f>
        <v>169221</v>
      </c>
    </row>
    <row r="24" spans="1:7" x14ac:dyDescent="0.2">
      <c r="A24" s="923">
        <v>1</v>
      </c>
      <c r="B24" s="822" t="s">
        <v>168</v>
      </c>
      <c r="C24" s="823">
        <v>4946</v>
      </c>
      <c r="D24" s="823">
        <v>4946</v>
      </c>
      <c r="E24" s="823">
        <v>5000</v>
      </c>
      <c r="F24" s="817">
        <v>6423</v>
      </c>
      <c r="G24" s="979">
        <v>5000</v>
      </c>
    </row>
    <row r="25" spans="1:7" x14ac:dyDescent="0.2">
      <c r="A25" s="923">
        <v>2</v>
      </c>
      <c r="B25" s="822" t="s">
        <v>169</v>
      </c>
      <c r="C25" s="823">
        <v>86</v>
      </c>
      <c r="D25" s="823"/>
      <c r="E25" s="823">
        <v>86</v>
      </c>
      <c r="F25" s="817">
        <v>2232</v>
      </c>
      <c r="G25" s="979">
        <v>86</v>
      </c>
    </row>
    <row r="26" spans="1:7" ht="24" x14ac:dyDescent="0.2">
      <c r="A26" s="923">
        <v>3</v>
      </c>
      <c r="B26" s="980" t="s">
        <v>171</v>
      </c>
      <c r="C26" s="816">
        <v>7115</v>
      </c>
      <c r="D26" s="816">
        <v>6957</v>
      </c>
      <c r="E26" s="816">
        <v>3500</v>
      </c>
      <c r="F26" s="817">
        <v>5239</v>
      </c>
      <c r="G26" s="979">
        <v>3500</v>
      </c>
    </row>
    <row r="27" spans="1:7" x14ac:dyDescent="0.2">
      <c r="A27" s="1197">
        <v>4</v>
      </c>
      <c r="B27" s="1201" t="s">
        <v>295</v>
      </c>
      <c r="C27" s="816">
        <v>3750</v>
      </c>
      <c r="D27" s="816">
        <v>3750</v>
      </c>
      <c r="E27" s="816">
        <v>3750</v>
      </c>
      <c r="F27" s="817">
        <v>1150</v>
      </c>
      <c r="G27" s="979">
        <v>3750</v>
      </c>
    </row>
    <row r="28" spans="1:7" x14ac:dyDescent="0.2">
      <c r="A28" s="1197"/>
      <c r="B28" s="1201"/>
      <c r="C28" s="816">
        <v>885</v>
      </c>
      <c r="D28" s="816">
        <v>885</v>
      </c>
      <c r="E28" s="816">
        <v>885</v>
      </c>
      <c r="F28" s="817">
        <v>1210</v>
      </c>
      <c r="G28" s="979">
        <v>885</v>
      </c>
    </row>
    <row r="29" spans="1:7" x14ac:dyDescent="0.2">
      <c r="A29" s="1193">
        <v>5</v>
      </c>
      <c r="B29" s="1201" t="s">
        <v>172</v>
      </c>
      <c r="C29" s="981">
        <v>101596</v>
      </c>
      <c r="D29" s="981">
        <v>55665</v>
      </c>
      <c r="E29" s="981">
        <v>96000</v>
      </c>
      <c r="F29" s="819">
        <v>1150</v>
      </c>
      <c r="G29" s="979">
        <v>96000</v>
      </c>
    </row>
    <row r="30" spans="1:7" x14ac:dyDescent="0.2">
      <c r="A30" s="1193"/>
      <c r="B30" s="1201"/>
      <c r="C30" s="981">
        <v>38729</v>
      </c>
      <c r="D30" s="981">
        <v>26280</v>
      </c>
      <c r="E30" s="981">
        <v>36000</v>
      </c>
      <c r="F30" s="819">
        <v>2279</v>
      </c>
      <c r="G30" s="979">
        <v>36000</v>
      </c>
    </row>
    <row r="31" spans="1:7" x14ac:dyDescent="0.2">
      <c r="A31" s="1193"/>
      <c r="B31" s="1201"/>
      <c r="C31" s="981">
        <v>10500</v>
      </c>
      <c r="D31" s="981">
        <v>3320</v>
      </c>
      <c r="E31" s="981">
        <v>6000</v>
      </c>
      <c r="F31" s="819">
        <v>2322</v>
      </c>
      <c r="G31" s="979">
        <v>6000</v>
      </c>
    </row>
    <row r="32" spans="1:7" x14ac:dyDescent="0.2">
      <c r="A32" s="1193"/>
      <c r="B32" s="1201"/>
      <c r="C32" s="981">
        <v>31304</v>
      </c>
      <c r="D32" s="981">
        <v>12600</v>
      </c>
      <c r="E32" s="981">
        <v>18000</v>
      </c>
      <c r="F32" s="819">
        <v>1210</v>
      </c>
      <c r="G32" s="979">
        <v>18000</v>
      </c>
    </row>
    <row r="33" spans="1:7" ht="15" hidden="1" customHeight="1" x14ac:dyDescent="0.2">
      <c r="A33" s="982"/>
      <c r="B33" s="891"/>
      <c r="C33" s="983"/>
      <c r="D33" s="983"/>
      <c r="E33" s="984">
        <f>SUM(E29:E32)</f>
        <v>156000</v>
      </c>
      <c r="F33" s="984"/>
      <c r="G33" s="984">
        <f t="shared" ref="G33" si="0">SUM(G29:G32)</f>
        <v>156000</v>
      </c>
    </row>
    <row r="34" spans="1:7" x14ac:dyDescent="0.2">
      <c r="A34" s="610"/>
      <c r="B34" s="610"/>
      <c r="C34" s="610"/>
      <c r="D34" s="610"/>
      <c r="E34" s="610"/>
      <c r="F34" s="610"/>
      <c r="G34" s="610"/>
    </row>
    <row r="35" spans="1:7" x14ac:dyDescent="0.2">
      <c r="A35" s="985" t="s">
        <v>1303</v>
      </c>
      <c r="B35" s="985"/>
      <c r="C35" s="137"/>
      <c r="D35" s="985"/>
      <c r="E35" s="985"/>
      <c r="F35" s="978"/>
      <c r="G35" s="137"/>
    </row>
    <row r="36" spans="1:7" x14ac:dyDescent="0.2">
      <c r="A36" s="985" t="s">
        <v>1304</v>
      </c>
      <c r="B36" s="985"/>
      <c r="C36" s="976"/>
      <c r="D36" s="985"/>
      <c r="E36" s="985"/>
      <c r="F36" s="978"/>
      <c r="G36" s="137"/>
    </row>
    <row r="37" spans="1:7" ht="22.5" customHeight="1" x14ac:dyDescent="0.2">
      <c r="A37" s="1193" t="s">
        <v>1</v>
      </c>
      <c r="B37" s="1193" t="s">
        <v>2</v>
      </c>
      <c r="C37" s="1194" t="s">
        <v>26</v>
      </c>
      <c r="D37" s="1194" t="s">
        <v>61</v>
      </c>
      <c r="E37" s="1194" t="s">
        <v>28</v>
      </c>
      <c r="F37" s="1193" t="s">
        <v>6</v>
      </c>
      <c r="G37" s="1194" t="s">
        <v>1190</v>
      </c>
    </row>
    <row r="38" spans="1:7" x14ac:dyDescent="0.2">
      <c r="A38" s="1193"/>
      <c r="B38" s="1193"/>
      <c r="C38" s="1194"/>
      <c r="D38" s="1194"/>
      <c r="E38" s="1194"/>
      <c r="F38" s="1193"/>
      <c r="G38" s="1194"/>
    </row>
    <row r="39" spans="1:7" x14ac:dyDescent="0.2">
      <c r="A39" s="1200" t="s">
        <v>300</v>
      </c>
      <c r="B39" s="1200"/>
      <c r="C39" s="811">
        <f>SUM(C40:C41)</f>
        <v>133113</v>
      </c>
      <c r="D39" s="811">
        <f>SUM(D40:D41)</f>
        <v>133113</v>
      </c>
      <c r="E39" s="811">
        <f>SUM(E40:E41)</f>
        <v>124575</v>
      </c>
      <c r="F39" s="811"/>
      <c r="G39" s="811">
        <f>SUM(G40:G41)</f>
        <v>147403</v>
      </c>
    </row>
    <row r="40" spans="1:7" x14ac:dyDescent="0.2">
      <c r="A40" s="922">
        <v>1</v>
      </c>
      <c r="B40" s="821" t="s">
        <v>173</v>
      </c>
      <c r="C40" s="816">
        <v>120303</v>
      </c>
      <c r="D40" s="816">
        <v>120303</v>
      </c>
      <c r="E40" s="816">
        <v>120303</v>
      </c>
      <c r="F40" s="817">
        <v>3261</v>
      </c>
      <c r="G40" s="977">
        <v>138863</v>
      </c>
    </row>
    <row r="41" spans="1:7" ht="24" x14ac:dyDescent="0.2">
      <c r="A41" s="922">
        <v>2</v>
      </c>
      <c r="B41" s="821" t="s">
        <v>174</v>
      </c>
      <c r="C41" s="816">
        <v>12810</v>
      </c>
      <c r="D41" s="816">
        <v>12810</v>
      </c>
      <c r="E41" s="816">
        <v>4272</v>
      </c>
      <c r="F41" s="817">
        <v>6412</v>
      </c>
      <c r="G41" s="977">
        <v>8540</v>
      </c>
    </row>
    <row r="42" spans="1:7" x14ac:dyDescent="0.2">
      <c r="A42" s="599"/>
      <c r="B42" s="360"/>
      <c r="C42" s="367"/>
      <c r="D42" s="367"/>
      <c r="E42" s="367"/>
      <c r="F42" s="141"/>
      <c r="G42" s="608"/>
    </row>
    <row r="43" spans="1:7" x14ac:dyDescent="0.2">
      <c r="A43" s="47" t="s">
        <v>1305</v>
      </c>
      <c r="B43" s="47"/>
      <c r="C43" s="48"/>
      <c r="D43" s="47"/>
      <c r="E43" s="47"/>
      <c r="F43" s="978"/>
      <c r="G43" s="137"/>
    </row>
    <row r="44" spans="1:7" x14ac:dyDescent="0.2">
      <c r="A44" s="47" t="s">
        <v>1306</v>
      </c>
      <c r="B44" s="47"/>
      <c r="C44" s="593"/>
      <c r="D44" s="47"/>
      <c r="E44" s="47"/>
      <c r="F44" s="978"/>
      <c r="G44" s="137"/>
    </row>
    <row r="45" spans="1:7" ht="22.5" customHeight="1" x14ac:dyDescent="0.2">
      <c r="A45" s="1197" t="s">
        <v>1</v>
      </c>
      <c r="B45" s="1197" t="s">
        <v>2</v>
      </c>
      <c r="C45" s="1195" t="s">
        <v>26</v>
      </c>
      <c r="D45" s="1195" t="s">
        <v>61</v>
      </c>
      <c r="E45" s="1195" t="s">
        <v>28</v>
      </c>
      <c r="F45" s="1193" t="s">
        <v>6</v>
      </c>
      <c r="G45" s="1195" t="s">
        <v>1190</v>
      </c>
    </row>
    <row r="46" spans="1:7" x14ac:dyDescent="0.2">
      <c r="A46" s="1197"/>
      <c r="B46" s="1197"/>
      <c r="C46" s="1195"/>
      <c r="D46" s="1195"/>
      <c r="E46" s="1195"/>
      <c r="F46" s="1193"/>
      <c r="G46" s="1195"/>
    </row>
    <row r="47" spans="1:7" x14ac:dyDescent="0.2">
      <c r="A47" s="1196" t="s">
        <v>300</v>
      </c>
      <c r="B47" s="1196"/>
      <c r="C47" s="810">
        <f>SUM(C48:C48)</f>
        <v>28458</v>
      </c>
      <c r="D47" s="810">
        <f>SUM(D48:D48)</f>
        <v>28458</v>
      </c>
      <c r="E47" s="810">
        <f>SUM(E48:E48)</f>
        <v>35573</v>
      </c>
      <c r="F47" s="811"/>
      <c r="G47" s="812">
        <f>SUM(G48:G48)</f>
        <v>35573</v>
      </c>
    </row>
    <row r="48" spans="1:7" x14ac:dyDescent="0.2">
      <c r="A48" s="923">
        <v>1</v>
      </c>
      <c r="B48" s="822" t="s">
        <v>290</v>
      </c>
      <c r="C48" s="815">
        <v>28458</v>
      </c>
      <c r="D48" s="815">
        <v>28458</v>
      </c>
      <c r="E48" s="815">
        <v>35573</v>
      </c>
      <c r="F48" s="819">
        <v>6330</v>
      </c>
      <c r="G48" s="818">
        <v>35573</v>
      </c>
    </row>
    <row r="49" spans="1:7" x14ac:dyDescent="0.2">
      <c r="A49" s="599"/>
      <c r="B49" s="339"/>
      <c r="C49" s="339"/>
      <c r="D49" s="339"/>
      <c r="E49" s="339"/>
      <c r="F49" s="339"/>
      <c r="G49" s="339"/>
    </row>
    <row r="50" spans="1:7" x14ac:dyDescent="0.2">
      <c r="A50" s="47" t="s">
        <v>1307</v>
      </c>
      <c r="B50" s="47"/>
      <c r="C50" s="48"/>
      <c r="D50" s="47"/>
      <c r="E50" s="47"/>
      <c r="F50" s="978"/>
      <c r="G50" s="137"/>
    </row>
    <row r="51" spans="1:7" ht="15.75" customHeight="1" x14ac:dyDescent="0.2">
      <c r="A51" s="47" t="s">
        <v>1308</v>
      </c>
      <c r="B51" s="47"/>
      <c r="C51" s="593"/>
      <c r="D51" s="47"/>
      <c r="E51" s="47"/>
      <c r="F51" s="978"/>
      <c r="G51" s="137"/>
    </row>
    <row r="52" spans="1:7" ht="18.75" customHeight="1" x14ac:dyDescent="0.2">
      <c r="A52" s="1197" t="s">
        <v>1</v>
      </c>
      <c r="B52" s="1197" t="s">
        <v>2</v>
      </c>
      <c r="C52" s="1195" t="s">
        <v>26</v>
      </c>
      <c r="D52" s="1195" t="s">
        <v>61</v>
      </c>
      <c r="E52" s="1195" t="s">
        <v>28</v>
      </c>
      <c r="F52" s="1193" t="s">
        <v>6</v>
      </c>
      <c r="G52" s="1195" t="s">
        <v>1190</v>
      </c>
    </row>
    <row r="53" spans="1:7" ht="16.5" customHeight="1" x14ac:dyDescent="0.2">
      <c r="A53" s="1197"/>
      <c r="B53" s="1197"/>
      <c r="C53" s="1195"/>
      <c r="D53" s="1195"/>
      <c r="E53" s="1195"/>
      <c r="F53" s="1193"/>
      <c r="G53" s="1195"/>
    </row>
    <row r="54" spans="1:7" x14ac:dyDescent="0.2">
      <c r="A54" s="1196" t="s">
        <v>300</v>
      </c>
      <c r="B54" s="1196"/>
      <c r="C54" s="810">
        <f>SUM(C55:C59)</f>
        <v>235580</v>
      </c>
      <c r="D54" s="810">
        <f>SUM(D55:D59)</f>
        <v>230517</v>
      </c>
      <c r="E54" s="810">
        <f>SUM(E55:E59)</f>
        <v>295816</v>
      </c>
      <c r="F54" s="810"/>
      <c r="G54" s="810">
        <f>SUM(G55:G59)</f>
        <v>310114</v>
      </c>
    </row>
    <row r="55" spans="1:7" x14ac:dyDescent="0.2">
      <c r="A55" s="923">
        <v>1</v>
      </c>
      <c r="B55" s="814" t="s">
        <v>188</v>
      </c>
      <c r="C55" s="815">
        <v>2846</v>
      </c>
      <c r="D55" s="815">
        <v>2846</v>
      </c>
      <c r="E55" s="815">
        <v>2890</v>
      </c>
      <c r="F55" s="819">
        <v>6423</v>
      </c>
      <c r="G55" s="818">
        <v>2850</v>
      </c>
    </row>
    <row r="56" spans="1:7" x14ac:dyDescent="0.2">
      <c r="A56" s="923">
        <v>2</v>
      </c>
      <c r="B56" s="821" t="s">
        <v>184</v>
      </c>
      <c r="C56" s="816">
        <v>103522</v>
      </c>
      <c r="D56" s="816">
        <v>103522</v>
      </c>
      <c r="E56" s="816">
        <v>103522</v>
      </c>
      <c r="F56" s="817">
        <v>3261</v>
      </c>
      <c r="G56" s="818">
        <v>114828</v>
      </c>
    </row>
    <row r="57" spans="1:7" x14ac:dyDescent="0.2">
      <c r="A57" s="923">
        <v>3</v>
      </c>
      <c r="B57" s="821" t="s">
        <v>185</v>
      </c>
      <c r="C57" s="816">
        <v>119394</v>
      </c>
      <c r="D57" s="816">
        <v>119394</v>
      </c>
      <c r="E57" s="816">
        <v>119394</v>
      </c>
      <c r="F57" s="819">
        <v>3261</v>
      </c>
      <c r="G57" s="818">
        <v>126226</v>
      </c>
    </row>
    <row r="58" spans="1:7" x14ac:dyDescent="0.2">
      <c r="A58" s="923">
        <v>4</v>
      </c>
      <c r="B58" s="814" t="s">
        <v>186</v>
      </c>
      <c r="C58" s="815">
        <v>9818</v>
      </c>
      <c r="D58" s="815">
        <v>4755</v>
      </c>
      <c r="E58" s="823">
        <v>9800</v>
      </c>
      <c r="F58" s="819">
        <v>2279</v>
      </c>
      <c r="G58" s="818">
        <v>6000</v>
      </c>
    </row>
    <row r="59" spans="1:7" ht="24" x14ac:dyDescent="0.2">
      <c r="A59" s="923">
        <v>5</v>
      </c>
      <c r="B59" s="821" t="s">
        <v>1032</v>
      </c>
      <c r="C59" s="816"/>
      <c r="D59" s="816"/>
      <c r="E59" s="824">
        <f>39210+21000</f>
        <v>60210</v>
      </c>
      <c r="F59" s="819">
        <v>2279</v>
      </c>
      <c r="G59" s="977">
        <f>39210+21000</f>
        <v>60210</v>
      </c>
    </row>
    <row r="60" spans="1:7" ht="15" customHeight="1" x14ac:dyDescent="0.2">
      <c r="A60" s="129"/>
      <c r="B60" s="129"/>
      <c r="C60" s="129"/>
      <c r="D60" s="129"/>
      <c r="E60" s="129"/>
      <c r="F60" s="130"/>
      <c r="G60" s="130"/>
    </row>
    <row r="61" spans="1:7" x14ac:dyDescent="0.2">
      <c r="A61" s="129"/>
      <c r="B61" s="129"/>
      <c r="C61" s="129"/>
      <c r="D61" s="129"/>
      <c r="E61" s="129"/>
      <c r="F61" s="130"/>
      <c r="G61" s="130"/>
    </row>
    <row r="62" spans="1:7" x14ac:dyDescent="0.2">
      <c r="A62" s="129"/>
      <c r="B62" s="129"/>
      <c r="C62" s="129"/>
      <c r="D62" s="129"/>
      <c r="E62" s="129"/>
      <c r="F62" s="130"/>
      <c r="G62" s="130"/>
    </row>
    <row r="63" spans="1:7" x14ac:dyDescent="0.2">
      <c r="C63" s="45"/>
      <c r="D63" s="45"/>
      <c r="E63" s="45"/>
    </row>
    <row r="66" spans="5:5" x14ac:dyDescent="0.2">
      <c r="E66" s="45"/>
    </row>
  </sheetData>
  <mergeCells count="46">
    <mergeCell ref="A39:B39"/>
    <mergeCell ref="A37:A38"/>
    <mergeCell ref="B37:B38"/>
    <mergeCell ref="B27:B28"/>
    <mergeCell ref="A27:A28"/>
    <mergeCell ref="A29:A32"/>
    <mergeCell ref="B29:B32"/>
    <mergeCell ref="G37:G38"/>
    <mergeCell ref="E37:E38"/>
    <mergeCell ref="F9:G9"/>
    <mergeCell ref="G21:G22"/>
    <mergeCell ref="F14:F15"/>
    <mergeCell ref="G14:G15"/>
    <mergeCell ref="A16:B16"/>
    <mergeCell ref="F21:F22"/>
    <mergeCell ref="C21:C22"/>
    <mergeCell ref="D21:D22"/>
    <mergeCell ref="E21:E22"/>
    <mergeCell ref="A21:A22"/>
    <mergeCell ref="B21:B22"/>
    <mergeCell ref="A14:A15"/>
    <mergeCell ref="B14:B15"/>
    <mergeCell ref="C14:C15"/>
    <mergeCell ref="D14:D15"/>
    <mergeCell ref="E14:E15"/>
    <mergeCell ref="A54:B54"/>
    <mergeCell ref="A52:A53"/>
    <mergeCell ref="B52:B53"/>
    <mergeCell ref="C52:C53"/>
    <mergeCell ref="D52:D53"/>
    <mergeCell ref="B1:G1"/>
    <mergeCell ref="F37:F38"/>
    <mergeCell ref="C37:C38"/>
    <mergeCell ref="D37:D38"/>
    <mergeCell ref="G52:G53"/>
    <mergeCell ref="E52:E53"/>
    <mergeCell ref="F52:F53"/>
    <mergeCell ref="A47:B47"/>
    <mergeCell ref="F45:F46"/>
    <mergeCell ref="A45:A46"/>
    <mergeCell ref="B45:B46"/>
    <mergeCell ref="C45:C46"/>
    <mergeCell ref="D45:D46"/>
    <mergeCell ref="E45:E46"/>
    <mergeCell ref="G45:G46"/>
    <mergeCell ref="A8:G8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FF99"/>
  </sheetPr>
  <dimension ref="A1:G26"/>
  <sheetViews>
    <sheetView zoomScaleNormal="100" workbookViewId="0">
      <selection activeCell="B2" sqref="B2"/>
    </sheetView>
  </sheetViews>
  <sheetFormatPr defaultRowHeight="12" x14ac:dyDescent="0.2"/>
  <cols>
    <col min="1" max="1" width="6.140625" style="1" customWidth="1"/>
    <col min="2" max="2" width="55.140625" style="1" customWidth="1"/>
    <col min="3" max="3" width="9" style="1" hidden="1" customWidth="1"/>
    <col min="4" max="4" width="9.140625" style="1" hidden="1" customWidth="1"/>
    <col min="5" max="5" width="10.28515625" style="1" hidden="1" customWidth="1"/>
    <col min="6" max="6" width="10.5703125" style="1" customWidth="1"/>
    <col min="7" max="7" width="9.7109375" style="1" customWidth="1"/>
    <col min="8" max="253" width="9.140625" style="1"/>
    <col min="254" max="254" width="6.140625" style="1" customWidth="1"/>
    <col min="255" max="255" width="46.28515625" style="1" customWidth="1"/>
    <col min="256" max="256" width="11.85546875" style="1" customWidth="1"/>
    <col min="257" max="257" width="11.140625" style="1" customWidth="1"/>
    <col min="258" max="258" width="10.28515625" style="1" customWidth="1"/>
    <col min="259" max="259" width="10.5703125" style="1" customWidth="1"/>
    <col min="260" max="260" width="9.7109375" style="1" customWidth="1"/>
    <col min="261" max="261" width="36.7109375" style="1" customWidth="1"/>
    <col min="262" max="509" width="9.140625" style="1"/>
    <col min="510" max="510" width="6.140625" style="1" customWidth="1"/>
    <col min="511" max="511" width="46.28515625" style="1" customWidth="1"/>
    <col min="512" max="512" width="11.85546875" style="1" customWidth="1"/>
    <col min="513" max="513" width="11.140625" style="1" customWidth="1"/>
    <col min="514" max="514" width="10.28515625" style="1" customWidth="1"/>
    <col min="515" max="515" width="10.5703125" style="1" customWidth="1"/>
    <col min="516" max="516" width="9.7109375" style="1" customWidth="1"/>
    <col min="517" max="517" width="36.7109375" style="1" customWidth="1"/>
    <col min="518" max="765" width="9.140625" style="1"/>
    <col min="766" max="766" width="6.140625" style="1" customWidth="1"/>
    <col min="767" max="767" width="46.28515625" style="1" customWidth="1"/>
    <col min="768" max="768" width="11.85546875" style="1" customWidth="1"/>
    <col min="769" max="769" width="11.140625" style="1" customWidth="1"/>
    <col min="770" max="770" width="10.28515625" style="1" customWidth="1"/>
    <col min="771" max="771" width="10.5703125" style="1" customWidth="1"/>
    <col min="772" max="772" width="9.7109375" style="1" customWidth="1"/>
    <col min="773" max="773" width="36.7109375" style="1" customWidth="1"/>
    <col min="774" max="1021" width="9.140625" style="1"/>
    <col min="1022" max="1022" width="6.140625" style="1" customWidth="1"/>
    <col min="1023" max="1023" width="46.28515625" style="1" customWidth="1"/>
    <col min="1024" max="1024" width="11.85546875" style="1" customWidth="1"/>
    <col min="1025" max="1025" width="11.140625" style="1" customWidth="1"/>
    <col min="1026" max="1026" width="10.28515625" style="1" customWidth="1"/>
    <col min="1027" max="1027" width="10.5703125" style="1" customWidth="1"/>
    <col min="1028" max="1028" width="9.7109375" style="1" customWidth="1"/>
    <col min="1029" max="1029" width="36.7109375" style="1" customWidth="1"/>
    <col min="1030" max="1277" width="9.140625" style="1"/>
    <col min="1278" max="1278" width="6.140625" style="1" customWidth="1"/>
    <col min="1279" max="1279" width="46.28515625" style="1" customWidth="1"/>
    <col min="1280" max="1280" width="11.85546875" style="1" customWidth="1"/>
    <col min="1281" max="1281" width="11.140625" style="1" customWidth="1"/>
    <col min="1282" max="1282" width="10.28515625" style="1" customWidth="1"/>
    <col min="1283" max="1283" width="10.5703125" style="1" customWidth="1"/>
    <col min="1284" max="1284" width="9.7109375" style="1" customWidth="1"/>
    <col min="1285" max="1285" width="36.7109375" style="1" customWidth="1"/>
    <col min="1286" max="1533" width="9.140625" style="1"/>
    <col min="1534" max="1534" width="6.140625" style="1" customWidth="1"/>
    <col min="1535" max="1535" width="46.28515625" style="1" customWidth="1"/>
    <col min="1536" max="1536" width="11.85546875" style="1" customWidth="1"/>
    <col min="1537" max="1537" width="11.140625" style="1" customWidth="1"/>
    <col min="1538" max="1538" width="10.28515625" style="1" customWidth="1"/>
    <col min="1539" max="1539" width="10.5703125" style="1" customWidth="1"/>
    <col min="1540" max="1540" width="9.7109375" style="1" customWidth="1"/>
    <col min="1541" max="1541" width="36.7109375" style="1" customWidth="1"/>
    <col min="1542" max="1789" width="9.140625" style="1"/>
    <col min="1790" max="1790" width="6.140625" style="1" customWidth="1"/>
    <col min="1791" max="1791" width="46.28515625" style="1" customWidth="1"/>
    <col min="1792" max="1792" width="11.85546875" style="1" customWidth="1"/>
    <col min="1793" max="1793" width="11.140625" style="1" customWidth="1"/>
    <col min="1794" max="1794" width="10.28515625" style="1" customWidth="1"/>
    <col min="1795" max="1795" width="10.5703125" style="1" customWidth="1"/>
    <col min="1796" max="1796" width="9.7109375" style="1" customWidth="1"/>
    <col min="1797" max="1797" width="36.7109375" style="1" customWidth="1"/>
    <col min="1798" max="2045" width="9.140625" style="1"/>
    <col min="2046" max="2046" width="6.140625" style="1" customWidth="1"/>
    <col min="2047" max="2047" width="46.28515625" style="1" customWidth="1"/>
    <col min="2048" max="2048" width="11.85546875" style="1" customWidth="1"/>
    <col min="2049" max="2049" width="11.140625" style="1" customWidth="1"/>
    <col min="2050" max="2050" width="10.28515625" style="1" customWidth="1"/>
    <col min="2051" max="2051" width="10.5703125" style="1" customWidth="1"/>
    <col min="2052" max="2052" width="9.7109375" style="1" customWidth="1"/>
    <col min="2053" max="2053" width="36.7109375" style="1" customWidth="1"/>
    <col min="2054" max="2301" width="9.140625" style="1"/>
    <col min="2302" max="2302" width="6.140625" style="1" customWidth="1"/>
    <col min="2303" max="2303" width="46.28515625" style="1" customWidth="1"/>
    <col min="2304" max="2304" width="11.85546875" style="1" customWidth="1"/>
    <col min="2305" max="2305" width="11.140625" style="1" customWidth="1"/>
    <col min="2306" max="2306" width="10.28515625" style="1" customWidth="1"/>
    <col min="2307" max="2307" width="10.5703125" style="1" customWidth="1"/>
    <col min="2308" max="2308" width="9.7109375" style="1" customWidth="1"/>
    <col min="2309" max="2309" width="36.7109375" style="1" customWidth="1"/>
    <col min="2310" max="2557" width="9.140625" style="1"/>
    <col min="2558" max="2558" width="6.140625" style="1" customWidth="1"/>
    <col min="2559" max="2559" width="46.28515625" style="1" customWidth="1"/>
    <col min="2560" max="2560" width="11.85546875" style="1" customWidth="1"/>
    <col min="2561" max="2561" width="11.140625" style="1" customWidth="1"/>
    <col min="2562" max="2562" width="10.28515625" style="1" customWidth="1"/>
    <col min="2563" max="2563" width="10.5703125" style="1" customWidth="1"/>
    <col min="2564" max="2564" width="9.7109375" style="1" customWidth="1"/>
    <col min="2565" max="2565" width="36.7109375" style="1" customWidth="1"/>
    <col min="2566" max="2813" width="9.140625" style="1"/>
    <col min="2814" max="2814" width="6.140625" style="1" customWidth="1"/>
    <col min="2815" max="2815" width="46.28515625" style="1" customWidth="1"/>
    <col min="2816" max="2816" width="11.85546875" style="1" customWidth="1"/>
    <col min="2817" max="2817" width="11.140625" style="1" customWidth="1"/>
    <col min="2818" max="2818" width="10.28515625" style="1" customWidth="1"/>
    <col min="2819" max="2819" width="10.5703125" style="1" customWidth="1"/>
    <col min="2820" max="2820" width="9.7109375" style="1" customWidth="1"/>
    <col min="2821" max="2821" width="36.7109375" style="1" customWidth="1"/>
    <col min="2822" max="3069" width="9.140625" style="1"/>
    <col min="3070" max="3070" width="6.140625" style="1" customWidth="1"/>
    <col min="3071" max="3071" width="46.28515625" style="1" customWidth="1"/>
    <col min="3072" max="3072" width="11.85546875" style="1" customWidth="1"/>
    <col min="3073" max="3073" width="11.140625" style="1" customWidth="1"/>
    <col min="3074" max="3074" width="10.28515625" style="1" customWidth="1"/>
    <col min="3075" max="3075" width="10.5703125" style="1" customWidth="1"/>
    <col min="3076" max="3076" width="9.7109375" style="1" customWidth="1"/>
    <col min="3077" max="3077" width="36.7109375" style="1" customWidth="1"/>
    <col min="3078" max="3325" width="9.140625" style="1"/>
    <col min="3326" max="3326" width="6.140625" style="1" customWidth="1"/>
    <col min="3327" max="3327" width="46.28515625" style="1" customWidth="1"/>
    <col min="3328" max="3328" width="11.85546875" style="1" customWidth="1"/>
    <col min="3329" max="3329" width="11.140625" style="1" customWidth="1"/>
    <col min="3330" max="3330" width="10.28515625" style="1" customWidth="1"/>
    <col min="3331" max="3331" width="10.5703125" style="1" customWidth="1"/>
    <col min="3332" max="3332" width="9.7109375" style="1" customWidth="1"/>
    <col min="3333" max="3333" width="36.7109375" style="1" customWidth="1"/>
    <col min="3334" max="3581" width="9.140625" style="1"/>
    <col min="3582" max="3582" width="6.140625" style="1" customWidth="1"/>
    <col min="3583" max="3583" width="46.28515625" style="1" customWidth="1"/>
    <col min="3584" max="3584" width="11.85546875" style="1" customWidth="1"/>
    <col min="3585" max="3585" width="11.140625" style="1" customWidth="1"/>
    <col min="3586" max="3586" width="10.28515625" style="1" customWidth="1"/>
    <col min="3587" max="3587" width="10.5703125" style="1" customWidth="1"/>
    <col min="3588" max="3588" width="9.7109375" style="1" customWidth="1"/>
    <col min="3589" max="3589" width="36.7109375" style="1" customWidth="1"/>
    <col min="3590" max="3837" width="9.140625" style="1"/>
    <col min="3838" max="3838" width="6.140625" style="1" customWidth="1"/>
    <col min="3839" max="3839" width="46.28515625" style="1" customWidth="1"/>
    <col min="3840" max="3840" width="11.85546875" style="1" customWidth="1"/>
    <col min="3841" max="3841" width="11.140625" style="1" customWidth="1"/>
    <col min="3842" max="3842" width="10.28515625" style="1" customWidth="1"/>
    <col min="3843" max="3843" width="10.5703125" style="1" customWidth="1"/>
    <col min="3844" max="3844" width="9.7109375" style="1" customWidth="1"/>
    <col min="3845" max="3845" width="36.7109375" style="1" customWidth="1"/>
    <col min="3846" max="4093" width="9.140625" style="1"/>
    <col min="4094" max="4094" width="6.140625" style="1" customWidth="1"/>
    <col min="4095" max="4095" width="46.28515625" style="1" customWidth="1"/>
    <col min="4096" max="4096" width="11.85546875" style="1" customWidth="1"/>
    <col min="4097" max="4097" width="11.140625" style="1" customWidth="1"/>
    <col min="4098" max="4098" width="10.28515625" style="1" customWidth="1"/>
    <col min="4099" max="4099" width="10.5703125" style="1" customWidth="1"/>
    <col min="4100" max="4100" width="9.7109375" style="1" customWidth="1"/>
    <col min="4101" max="4101" width="36.7109375" style="1" customWidth="1"/>
    <col min="4102" max="4349" width="9.140625" style="1"/>
    <col min="4350" max="4350" width="6.140625" style="1" customWidth="1"/>
    <col min="4351" max="4351" width="46.28515625" style="1" customWidth="1"/>
    <col min="4352" max="4352" width="11.85546875" style="1" customWidth="1"/>
    <col min="4353" max="4353" width="11.140625" style="1" customWidth="1"/>
    <col min="4354" max="4354" width="10.28515625" style="1" customWidth="1"/>
    <col min="4355" max="4355" width="10.5703125" style="1" customWidth="1"/>
    <col min="4356" max="4356" width="9.7109375" style="1" customWidth="1"/>
    <col min="4357" max="4357" width="36.7109375" style="1" customWidth="1"/>
    <col min="4358" max="4605" width="9.140625" style="1"/>
    <col min="4606" max="4606" width="6.140625" style="1" customWidth="1"/>
    <col min="4607" max="4607" width="46.28515625" style="1" customWidth="1"/>
    <col min="4608" max="4608" width="11.85546875" style="1" customWidth="1"/>
    <col min="4609" max="4609" width="11.140625" style="1" customWidth="1"/>
    <col min="4610" max="4610" width="10.28515625" style="1" customWidth="1"/>
    <col min="4611" max="4611" width="10.5703125" style="1" customWidth="1"/>
    <col min="4612" max="4612" width="9.7109375" style="1" customWidth="1"/>
    <col min="4613" max="4613" width="36.7109375" style="1" customWidth="1"/>
    <col min="4614" max="4861" width="9.140625" style="1"/>
    <col min="4862" max="4862" width="6.140625" style="1" customWidth="1"/>
    <col min="4863" max="4863" width="46.28515625" style="1" customWidth="1"/>
    <col min="4864" max="4864" width="11.85546875" style="1" customWidth="1"/>
    <col min="4865" max="4865" width="11.140625" style="1" customWidth="1"/>
    <col min="4866" max="4866" width="10.28515625" style="1" customWidth="1"/>
    <col min="4867" max="4867" width="10.5703125" style="1" customWidth="1"/>
    <col min="4868" max="4868" width="9.7109375" style="1" customWidth="1"/>
    <col min="4869" max="4869" width="36.7109375" style="1" customWidth="1"/>
    <col min="4870" max="5117" width="9.140625" style="1"/>
    <col min="5118" max="5118" width="6.140625" style="1" customWidth="1"/>
    <col min="5119" max="5119" width="46.28515625" style="1" customWidth="1"/>
    <col min="5120" max="5120" width="11.85546875" style="1" customWidth="1"/>
    <col min="5121" max="5121" width="11.140625" style="1" customWidth="1"/>
    <col min="5122" max="5122" width="10.28515625" style="1" customWidth="1"/>
    <col min="5123" max="5123" width="10.5703125" style="1" customWidth="1"/>
    <col min="5124" max="5124" width="9.7109375" style="1" customWidth="1"/>
    <col min="5125" max="5125" width="36.7109375" style="1" customWidth="1"/>
    <col min="5126" max="5373" width="9.140625" style="1"/>
    <col min="5374" max="5374" width="6.140625" style="1" customWidth="1"/>
    <col min="5375" max="5375" width="46.28515625" style="1" customWidth="1"/>
    <col min="5376" max="5376" width="11.85546875" style="1" customWidth="1"/>
    <col min="5377" max="5377" width="11.140625" style="1" customWidth="1"/>
    <col min="5378" max="5378" width="10.28515625" style="1" customWidth="1"/>
    <col min="5379" max="5379" width="10.5703125" style="1" customWidth="1"/>
    <col min="5380" max="5380" width="9.7109375" style="1" customWidth="1"/>
    <col min="5381" max="5381" width="36.7109375" style="1" customWidth="1"/>
    <col min="5382" max="5629" width="9.140625" style="1"/>
    <col min="5630" max="5630" width="6.140625" style="1" customWidth="1"/>
    <col min="5631" max="5631" width="46.28515625" style="1" customWidth="1"/>
    <col min="5632" max="5632" width="11.85546875" style="1" customWidth="1"/>
    <col min="5633" max="5633" width="11.140625" style="1" customWidth="1"/>
    <col min="5634" max="5634" width="10.28515625" style="1" customWidth="1"/>
    <col min="5635" max="5635" width="10.5703125" style="1" customWidth="1"/>
    <col min="5636" max="5636" width="9.7109375" style="1" customWidth="1"/>
    <col min="5637" max="5637" width="36.7109375" style="1" customWidth="1"/>
    <col min="5638" max="5885" width="9.140625" style="1"/>
    <col min="5886" max="5886" width="6.140625" style="1" customWidth="1"/>
    <col min="5887" max="5887" width="46.28515625" style="1" customWidth="1"/>
    <col min="5888" max="5888" width="11.85546875" style="1" customWidth="1"/>
    <col min="5889" max="5889" width="11.140625" style="1" customWidth="1"/>
    <col min="5890" max="5890" width="10.28515625" style="1" customWidth="1"/>
    <col min="5891" max="5891" width="10.5703125" style="1" customWidth="1"/>
    <col min="5892" max="5892" width="9.7109375" style="1" customWidth="1"/>
    <col min="5893" max="5893" width="36.7109375" style="1" customWidth="1"/>
    <col min="5894" max="6141" width="9.140625" style="1"/>
    <col min="6142" max="6142" width="6.140625" style="1" customWidth="1"/>
    <col min="6143" max="6143" width="46.28515625" style="1" customWidth="1"/>
    <col min="6144" max="6144" width="11.85546875" style="1" customWidth="1"/>
    <col min="6145" max="6145" width="11.140625" style="1" customWidth="1"/>
    <col min="6146" max="6146" width="10.28515625" style="1" customWidth="1"/>
    <col min="6147" max="6147" width="10.5703125" style="1" customWidth="1"/>
    <col min="6148" max="6148" width="9.7109375" style="1" customWidth="1"/>
    <col min="6149" max="6149" width="36.7109375" style="1" customWidth="1"/>
    <col min="6150" max="6397" width="9.140625" style="1"/>
    <col min="6398" max="6398" width="6.140625" style="1" customWidth="1"/>
    <col min="6399" max="6399" width="46.28515625" style="1" customWidth="1"/>
    <col min="6400" max="6400" width="11.85546875" style="1" customWidth="1"/>
    <col min="6401" max="6401" width="11.140625" style="1" customWidth="1"/>
    <col min="6402" max="6402" width="10.28515625" style="1" customWidth="1"/>
    <col min="6403" max="6403" width="10.5703125" style="1" customWidth="1"/>
    <col min="6404" max="6404" width="9.7109375" style="1" customWidth="1"/>
    <col min="6405" max="6405" width="36.7109375" style="1" customWidth="1"/>
    <col min="6406" max="6653" width="9.140625" style="1"/>
    <col min="6654" max="6654" width="6.140625" style="1" customWidth="1"/>
    <col min="6655" max="6655" width="46.28515625" style="1" customWidth="1"/>
    <col min="6656" max="6656" width="11.85546875" style="1" customWidth="1"/>
    <col min="6657" max="6657" width="11.140625" style="1" customWidth="1"/>
    <col min="6658" max="6658" width="10.28515625" style="1" customWidth="1"/>
    <col min="6659" max="6659" width="10.5703125" style="1" customWidth="1"/>
    <col min="6660" max="6660" width="9.7109375" style="1" customWidth="1"/>
    <col min="6661" max="6661" width="36.7109375" style="1" customWidth="1"/>
    <col min="6662" max="6909" width="9.140625" style="1"/>
    <col min="6910" max="6910" width="6.140625" style="1" customWidth="1"/>
    <col min="6911" max="6911" width="46.28515625" style="1" customWidth="1"/>
    <col min="6912" max="6912" width="11.85546875" style="1" customWidth="1"/>
    <col min="6913" max="6913" width="11.140625" style="1" customWidth="1"/>
    <col min="6914" max="6914" width="10.28515625" style="1" customWidth="1"/>
    <col min="6915" max="6915" width="10.5703125" style="1" customWidth="1"/>
    <col min="6916" max="6916" width="9.7109375" style="1" customWidth="1"/>
    <col min="6917" max="6917" width="36.7109375" style="1" customWidth="1"/>
    <col min="6918" max="7165" width="9.140625" style="1"/>
    <col min="7166" max="7166" width="6.140625" style="1" customWidth="1"/>
    <col min="7167" max="7167" width="46.28515625" style="1" customWidth="1"/>
    <col min="7168" max="7168" width="11.85546875" style="1" customWidth="1"/>
    <col min="7169" max="7169" width="11.140625" style="1" customWidth="1"/>
    <col min="7170" max="7170" width="10.28515625" style="1" customWidth="1"/>
    <col min="7171" max="7171" width="10.5703125" style="1" customWidth="1"/>
    <col min="7172" max="7172" width="9.7109375" style="1" customWidth="1"/>
    <col min="7173" max="7173" width="36.7109375" style="1" customWidth="1"/>
    <col min="7174" max="7421" width="9.140625" style="1"/>
    <col min="7422" max="7422" width="6.140625" style="1" customWidth="1"/>
    <col min="7423" max="7423" width="46.28515625" style="1" customWidth="1"/>
    <col min="7424" max="7424" width="11.85546875" style="1" customWidth="1"/>
    <col min="7425" max="7425" width="11.140625" style="1" customWidth="1"/>
    <col min="7426" max="7426" width="10.28515625" style="1" customWidth="1"/>
    <col min="7427" max="7427" width="10.5703125" style="1" customWidth="1"/>
    <col min="7428" max="7428" width="9.7109375" style="1" customWidth="1"/>
    <col min="7429" max="7429" width="36.7109375" style="1" customWidth="1"/>
    <col min="7430" max="7677" width="9.140625" style="1"/>
    <col min="7678" max="7678" width="6.140625" style="1" customWidth="1"/>
    <col min="7679" max="7679" width="46.28515625" style="1" customWidth="1"/>
    <col min="7680" max="7680" width="11.85546875" style="1" customWidth="1"/>
    <col min="7681" max="7681" width="11.140625" style="1" customWidth="1"/>
    <col min="7682" max="7682" width="10.28515625" style="1" customWidth="1"/>
    <col min="7683" max="7683" width="10.5703125" style="1" customWidth="1"/>
    <col min="7684" max="7684" width="9.7109375" style="1" customWidth="1"/>
    <col min="7685" max="7685" width="36.7109375" style="1" customWidth="1"/>
    <col min="7686" max="7933" width="9.140625" style="1"/>
    <col min="7934" max="7934" width="6.140625" style="1" customWidth="1"/>
    <col min="7935" max="7935" width="46.28515625" style="1" customWidth="1"/>
    <col min="7936" max="7936" width="11.85546875" style="1" customWidth="1"/>
    <col min="7937" max="7937" width="11.140625" style="1" customWidth="1"/>
    <col min="7938" max="7938" width="10.28515625" style="1" customWidth="1"/>
    <col min="7939" max="7939" width="10.5703125" style="1" customWidth="1"/>
    <col min="7940" max="7940" width="9.7109375" style="1" customWidth="1"/>
    <col min="7941" max="7941" width="36.7109375" style="1" customWidth="1"/>
    <col min="7942" max="8189" width="9.140625" style="1"/>
    <col min="8190" max="8190" width="6.140625" style="1" customWidth="1"/>
    <col min="8191" max="8191" width="46.28515625" style="1" customWidth="1"/>
    <col min="8192" max="8192" width="11.85546875" style="1" customWidth="1"/>
    <col min="8193" max="8193" width="11.140625" style="1" customWidth="1"/>
    <col min="8194" max="8194" width="10.28515625" style="1" customWidth="1"/>
    <col min="8195" max="8195" width="10.5703125" style="1" customWidth="1"/>
    <col min="8196" max="8196" width="9.7109375" style="1" customWidth="1"/>
    <col min="8197" max="8197" width="36.7109375" style="1" customWidth="1"/>
    <col min="8198" max="8445" width="9.140625" style="1"/>
    <col min="8446" max="8446" width="6.140625" style="1" customWidth="1"/>
    <col min="8447" max="8447" width="46.28515625" style="1" customWidth="1"/>
    <col min="8448" max="8448" width="11.85546875" style="1" customWidth="1"/>
    <col min="8449" max="8449" width="11.140625" style="1" customWidth="1"/>
    <col min="8450" max="8450" width="10.28515625" style="1" customWidth="1"/>
    <col min="8451" max="8451" width="10.5703125" style="1" customWidth="1"/>
    <col min="8452" max="8452" width="9.7109375" style="1" customWidth="1"/>
    <col min="8453" max="8453" width="36.7109375" style="1" customWidth="1"/>
    <col min="8454" max="8701" width="9.140625" style="1"/>
    <col min="8702" max="8702" width="6.140625" style="1" customWidth="1"/>
    <col min="8703" max="8703" width="46.28515625" style="1" customWidth="1"/>
    <col min="8704" max="8704" width="11.85546875" style="1" customWidth="1"/>
    <col min="8705" max="8705" width="11.140625" style="1" customWidth="1"/>
    <col min="8706" max="8706" width="10.28515625" style="1" customWidth="1"/>
    <col min="8707" max="8707" width="10.5703125" style="1" customWidth="1"/>
    <col min="8708" max="8708" width="9.7109375" style="1" customWidth="1"/>
    <col min="8709" max="8709" width="36.7109375" style="1" customWidth="1"/>
    <col min="8710" max="8957" width="9.140625" style="1"/>
    <col min="8958" max="8958" width="6.140625" style="1" customWidth="1"/>
    <col min="8959" max="8959" width="46.28515625" style="1" customWidth="1"/>
    <col min="8960" max="8960" width="11.85546875" style="1" customWidth="1"/>
    <col min="8961" max="8961" width="11.140625" style="1" customWidth="1"/>
    <col min="8962" max="8962" width="10.28515625" style="1" customWidth="1"/>
    <col min="8963" max="8963" width="10.5703125" style="1" customWidth="1"/>
    <col min="8964" max="8964" width="9.7109375" style="1" customWidth="1"/>
    <col min="8965" max="8965" width="36.7109375" style="1" customWidth="1"/>
    <col min="8966" max="9213" width="9.140625" style="1"/>
    <col min="9214" max="9214" width="6.140625" style="1" customWidth="1"/>
    <col min="9215" max="9215" width="46.28515625" style="1" customWidth="1"/>
    <col min="9216" max="9216" width="11.85546875" style="1" customWidth="1"/>
    <col min="9217" max="9217" width="11.140625" style="1" customWidth="1"/>
    <col min="9218" max="9218" width="10.28515625" style="1" customWidth="1"/>
    <col min="9219" max="9219" width="10.5703125" style="1" customWidth="1"/>
    <col min="9220" max="9220" width="9.7109375" style="1" customWidth="1"/>
    <col min="9221" max="9221" width="36.7109375" style="1" customWidth="1"/>
    <col min="9222" max="9469" width="9.140625" style="1"/>
    <col min="9470" max="9470" width="6.140625" style="1" customWidth="1"/>
    <col min="9471" max="9471" width="46.28515625" style="1" customWidth="1"/>
    <col min="9472" max="9472" width="11.85546875" style="1" customWidth="1"/>
    <col min="9473" max="9473" width="11.140625" style="1" customWidth="1"/>
    <col min="9474" max="9474" width="10.28515625" style="1" customWidth="1"/>
    <col min="9475" max="9475" width="10.5703125" style="1" customWidth="1"/>
    <col min="9476" max="9476" width="9.7109375" style="1" customWidth="1"/>
    <col min="9477" max="9477" width="36.7109375" style="1" customWidth="1"/>
    <col min="9478" max="9725" width="9.140625" style="1"/>
    <col min="9726" max="9726" width="6.140625" style="1" customWidth="1"/>
    <col min="9727" max="9727" width="46.28515625" style="1" customWidth="1"/>
    <col min="9728" max="9728" width="11.85546875" style="1" customWidth="1"/>
    <col min="9729" max="9729" width="11.140625" style="1" customWidth="1"/>
    <col min="9730" max="9730" width="10.28515625" style="1" customWidth="1"/>
    <col min="9731" max="9731" width="10.5703125" style="1" customWidth="1"/>
    <col min="9732" max="9732" width="9.7109375" style="1" customWidth="1"/>
    <col min="9733" max="9733" width="36.7109375" style="1" customWidth="1"/>
    <col min="9734" max="9981" width="9.140625" style="1"/>
    <col min="9982" max="9982" width="6.140625" style="1" customWidth="1"/>
    <col min="9983" max="9983" width="46.28515625" style="1" customWidth="1"/>
    <col min="9984" max="9984" width="11.85546875" style="1" customWidth="1"/>
    <col min="9985" max="9985" width="11.140625" style="1" customWidth="1"/>
    <col min="9986" max="9986" width="10.28515625" style="1" customWidth="1"/>
    <col min="9987" max="9987" width="10.5703125" style="1" customWidth="1"/>
    <col min="9988" max="9988" width="9.7109375" style="1" customWidth="1"/>
    <col min="9989" max="9989" width="36.7109375" style="1" customWidth="1"/>
    <col min="9990" max="10237" width="9.140625" style="1"/>
    <col min="10238" max="10238" width="6.140625" style="1" customWidth="1"/>
    <col min="10239" max="10239" width="46.28515625" style="1" customWidth="1"/>
    <col min="10240" max="10240" width="11.85546875" style="1" customWidth="1"/>
    <col min="10241" max="10241" width="11.140625" style="1" customWidth="1"/>
    <col min="10242" max="10242" width="10.28515625" style="1" customWidth="1"/>
    <col min="10243" max="10243" width="10.5703125" style="1" customWidth="1"/>
    <col min="10244" max="10244" width="9.7109375" style="1" customWidth="1"/>
    <col min="10245" max="10245" width="36.7109375" style="1" customWidth="1"/>
    <col min="10246" max="10493" width="9.140625" style="1"/>
    <col min="10494" max="10494" width="6.140625" style="1" customWidth="1"/>
    <col min="10495" max="10495" width="46.28515625" style="1" customWidth="1"/>
    <col min="10496" max="10496" width="11.85546875" style="1" customWidth="1"/>
    <col min="10497" max="10497" width="11.140625" style="1" customWidth="1"/>
    <col min="10498" max="10498" width="10.28515625" style="1" customWidth="1"/>
    <col min="10499" max="10499" width="10.5703125" style="1" customWidth="1"/>
    <col min="10500" max="10500" width="9.7109375" style="1" customWidth="1"/>
    <col min="10501" max="10501" width="36.7109375" style="1" customWidth="1"/>
    <col min="10502" max="10749" width="9.140625" style="1"/>
    <col min="10750" max="10750" width="6.140625" style="1" customWidth="1"/>
    <col min="10751" max="10751" width="46.28515625" style="1" customWidth="1"/>
    <col min="10752" max="10752" width="11.85546875" style="1" customWidth="1"/>
    <col min="10753" max="10753" width="11.140625" style="1" customWidth="1"/>
    <col min="10754" max="10754" width="10.28515625" style="1" customWidth="1"/>
    <col min="10755" max="10755" width="10.5703125" style="1" customWidth="1"/>
    <col min="10756" max="10756" width="9.7109375" style="1" customWidth="1"/>
    <col min="10757" max="10757" width="36.7109375" style="1" customWidth="1"/>
    <col min="10758" max="11005" width="9.140625" style="1"/>
    <col min="11006" max="11006" width="6.140625" style="1" customWidth="1"/>
    <col min="11007" max="11007" width="46.28515625" style="1" customWidth="1"/>
    <col min="11008" max="11008" width="11.85546875" style="1" customWidth="1"/>
    <col min="11009" max="11009" width="11.140625" style="1" customWidth="1"/>
    <col min="11010" max="11010" width="10.28515625" style="1" customWidth="1"/>
    <col min="11011" max="11011" width="10.5703125" style="1" customWidth="1"/>
    <col min="11012" max="11012" width="9.7109375" style="1" customWidth="1"/>
    <col min="11013" max="11013" width="36.7109375" style="1" customWidth="1"/>
    <col min="11014" max="11261" width="9.140625" style="1"/>
    <col min="11262" max="11262" width="6.140625" style="1" customWidth="1"/>
    <col min="11263" max="11263" width="46.28515625" style="1" customWidth="1"/>
    <col min="11264" max="11264" width="11.85546875" style="1" customWidth="1"/>
    <col min="11265" max="11265" width="11.140625" style="1" customWidth="1"/>
    <col min="11266" max="11266" width="10.28515625" style="1" customWidth="1"/>
    <col min="11267" max="11267" width="10.5703125" style="1" customWidth="1"/>
    <col min="11268" max="11268" width="9.7109375" style="1" customWidth="1"/>
    <col min="11269" max="11269" width="36.7109375" style="1" customWidth="1"/>
    <col min="11270" max="11517" width="9.140625" style="1"/>
    <col min="11518" max="11518" width="6.140625" style="1" customWidth="1"/>
    <col min="11519" max="11519" width="46.28515625" style="1" customWidth="1"/>
    <col min="11520" max="11520" width="11.85546875" style="1" customWidth="1"/>
    <col min="11521" max="11521" width="11.140625" style="1" customWidth="1"/>
    <col min="11522" max="11522" width="10.28515625" style="1" customWidth="1"/>
    <col min="11523" max="11523" width="10.5703125" style="1" customWidth="1"/>
    <col min="11524" max="11524" width="9.7109375" style="1" customWidth="1"/>
    <col min="11525" max="11525" width="36.7109375" style="1" customWidth="1"/>
    <col min="11526" max="11773" width="9.140625" style="1"/>
    <col min="11774" max="11774" width="6.140625" style="1" customWidth="1"/>
    <col min="11775" max="11775" width="46.28515625" style="1" customWidth="1"/>
    <col min="11776" max="11776" width="11.85546875" style="1" customWidth="1"/>
    <col min="11777" max="11777" width="11.140625" style="1" customWidth="1"/>
    <col min="11778" max="11778" width="10.28515625" style="1" customWidth="1"/>
    <col min="11779" max="11779" width="10.5703125" style="1" customWidth="1"/>
    <col min="11780" max="11780" width="9.7109375" style="1" customWidth="1"/>
    <col min="11781" max="11781" width="36.7109375" style="1" customWidth="1"/>
    <col min="11782" max="12029" width="9.140625" style="1"/>
    <col min="12030" max="12030" width="6.140625" style="1" customWidth="1"/>
    <col min="12031" max="12031" width="46.28515625" style="1" customWidth="1"/>
    <col min="12032" max="12032" width="11.85546875" style="1" customWidth="1"/>
    <col min="12033" max="12033" width="11.140625" style="1" customWidth="1"/>
    <col min="12034" max="12034" width="10.28515625" style="1" customWidth="1"/>
    <col min="12035" max="12035" width="10.5703125" style="1" customWidth="1"/>
    <col min="12036" max="12036" width="9.7109375" style="1" customWidth="1"/>
    <col min="12037" max="12037" width="36.7109375" style="1" customWidth="1"/>
    <col min="12038" max="12285" width="9.140625" style="1"/>
    <col min="12286" max="12286" width="6.140625" style="1" customWidth="1"/>
    <col min="12287" max="12287" width="46.28515625" style="1" customWidth="1"/>
    <col min="12288" max="12288" width="11.85546875" style="1" customWidth="1"/>
    <col min="12289" max="12289" width="11.140625" style="1" customWidth="1"/>
    <col min="12290" max="12290" width="10.28515625" style="1" customWidth="1"/>
    <col min="12291" max="12291" width="10.5703125" style="1" customWidth="1"/>
    <col min="12292" max="12292" width="9.7109375" style="1" customWidth="1"/>
    <col min="12293" max="12293" width="36.7109375" style="1" customWidth="1"/>
    <col min="12294" max="12541" width="9.140625" style="1"/>
    <col min="12542" max="12542" width="6.140625" style="1" customWidth="1"/>
    <col min="12543" max="12543" width="46.28515625" style="1" customWidth="1"/>
    <col min="12544" max="12544" width="11.85546875" style="1" customWidth="1"/>
    <col min="12545" max="12545" width="11.140625" style="1" customWidth="1"/>
    <col min="12546" max="12546" width="10.28515625" style="1" customWidth="1"/>
    <col min="12547" max="12547" width="10.5703125" style="1" customWidth="1"/>
    <col min="12548" max="12548" width="9.7109375" style="1" customWidth="1"/>
    <col min="12549" max="12549" width="36.7109375" style="1" customWidth="1"/>
    <col min="12550" max="12797" width="9.140625" style="1"/>
    <col min="12798" max="12798" width="6.140625" style="1" customWidth="1"/>
    <col min="12799" max="12799" width="46.28515625" style="1" customWidth="1"/>
    <col min="12800" max="12800" width="11.85546875" style="1" customWidth="1"/>
    <col min="12801" max="12801" width="11.140625" style="1" customWidth="1"/>
    <col min="12802" max="12802" width="10.28515625" style="1" customWidth="1"/>
    <col min="12803" max="12803" width="10.5703125" style="1" customWidth="1"/>
    <col min="12804" max="12804" width="9.7109375" style="1" customWidth="1"/>
    <col min="12805" max="12805" width="36.7109375" style="1" customWidth="1"/>
    <col min="12806" max="13053" width="9.140625" style="1"/>
    <col min="13054" max="13054" width="6.140625" style="1" customWidth="1"/>
    <col min="13055" max="13055" width="46.28515625" style="1" customWidth="1"/>
    <col min="13056" max="13056" width="11.85546875" style="1" customWidth="1"/>
    <col min="13057" max="13057" width="11.140625" style="1" customWidth="1"/>
    <col min="13058" max="13058" width="10.28515625" style="1" customWidth="1"/>
    <col min="13059" max="13059" width="10.5703125" style="1" customWidth="1"/>
    <col min="13060" max="13060" width="9.7109375" style="1" customWidth="1"/>
    <col min="13061" max="13061" width="36.7109375" style="1" customWidth="1"/>
    <col min="13062" max="13309" width="9.140625" style="1"/>
    <col min="13310" max="13310" width="6.140625" style="1" customWidth="1"/>
    <col min="13311" max="13311" width="46.28515625" style="1" customWidth="1"/>
    <col min="13312" max="13312" width="11.85546875" style="1" customWidth="1"/>
    <col min="13313" max="13313" width="11.140625" style="1" customWidth="1"/>
    <col min="13314" max="13314" width="10.28515625" style="1" customWidth="1"/>
    <col min="13315" max="13315" width="10.5703125" style="1" customWidth="1"/>
    <col min="13316" max="13316" width="9.7109375" style="1" customWidth="1"/>
    <col min="13317" max="13317" width="36.7109375" style="1" customWidth="1"/>
    <col min="13318" max="13565" width="9.140625" style="1"/>
    <col min="13566" max="13566" width="6.140625" style="1" customWidth="1"/>
    <col min="13567" max="13567" width="46.28515625" style="1" customWidth="1"/>
    <col min="13568" max="13568" width="11.85546875" style="1" customWidth="1"/>
    <col min="13569" max="13569" width="11.140625" style="1" customWidth="1"/>
    <col min="13570" max="13570" width="10.28515625" style="1" customWidth="1"/>
    <col min="13571" max="13571" width="10.5703125" style="1" customWidth="1"/>
    <col min="13572" max="13572" width="9.7109375" style="1" customWidth="1"/>
    <col min="13573" max="13573" width="36.7109375" style="1" customWidth="1"/>
    <col min="13574" max="13821" width="9.140625" style="1"/>
    <col min="13822" max="13822" width="6.140625" style="1" customWidth="1"/>
    <col min="13823" max="13823" width="46.28515625" style="1" customWidth="1"/>
    <col min="13824" max="13824" width="11.85546875" style="1" customWidth="1"/>
    <col min="13825" max="13825" width="11.140625" style="1" customWidth="1"/>
    <col min="13826" max="13826" width="10.28515625" style="1" customWidth="1"/>
    <col min="13827" max="13827" width="10.5703125" style="1" customWidth="1"/>
    <col min="13828" max="13828" width="9.7109375" style="1" customWidth="1"/>
    <col min="13829" max="13829" width="36.7109375" style="1" customWidth="1"/>
    <col min="13830" max="14077" width="9.140625" style="1"/>
    <col min="14078" max="14078" width="6.140625" style="1" customWidth="1"/>
    <col min="14079" max="14079" width="46.28515625" style="1" customWidth="1"/>
    <col min="14080" max="14080" width="11.85546875" style="1" customWidth="1"/>
    <col min="14081" max="14081" width="11.140625" style="1" customWidth="1"/>
    <col min="14082" max="14082" width="10.28515625" style="1" customWidth="1"/>
    <col min="14083" max="14083" width="10.5703125" style="1" customWidth="1"/>
    <col min="14084" max="14084" width="9.7109375" style="1" customWidth="1"/>
    <col min="14085" max="14085" width="36.7109375" style="1" customWidth="1"/>
    <col min="14086" max="14333" width="9.140625" style="1"/>
    <col min="14334" max="14334" width="6.140625" style="1" customWidth="1"/>
    <col min="14335" max="14335" width="46.28515625" style="1" customWidth="1"/>
    <col min="14336" max="14336" width="11.85546875" style="1" customWidth="1"/>
    <col min="14337" max="14337" width="11.140625" style="1" customWidth="1"/>
    <col min="14338" max="14338" width="10.28515625" style="1" customWidth="1"/>
    <col min="14339" max="14339" width="10.5703125" style="1" customWidth="1"/>
    <col min="14340" max="14340" width="9.7109375" style="1" customWidth="1"/>
    <col min="14341" max="14341" width="36.7109375" style="1" customWidth="1"/>
    <col min="14342" max="14589" width="9.140625" style="1"/>
    <col min="14590" max="14590" width="6.140625" style="1" customWidth="1"/>
    <col min="14591" max="14591" width="46.28515625" style="1" customWidth="1"/>
    <col min="14592" max="14592" width="11.85546875" style="1" customWidth="1"/>
    <col min="14593" max="14593" width="11.140625" style="1" customWidth="1"/>
    <col min="14594" max="14594" width="10.28515625" style="1" customWidth="1"/>
    <col min="14595" max="14595" width="10.5703125" style="1" customWidth="1"/>
    <col min="14596" max="14596" width="9.7109375" style="1" customWidth="1"/>
    <col min="14597" max="14597" width="36.7109375" style="1" customWidth="1"/>
    <col min="14598" max="14845" width="9.140625" style="1"/>
    <col min="14846" max="14846" width="6.140625" style="1" customWidth="1"/>
    <col min="14847" max="14847" width="46.28515625" style="1" customWidth="1"/>
    <col min="14848" max="14848" width="11.85546875" style="1" customWidth="1"/>
    <col min="14849" max="14849" width="11.140625" style="1" customWidth="1"/>
    <col min="14850" max="14850" width="10.28515625" style="1" customWidth="1"/>
    <col min="14851" max="14851" width="10.5703125" style="1" customWidth="1"/>
    <col min="14852" max="14852" width="9.7109375" style="1" customWidth="1"/>
    <col min="14853" max="14853" width="36.7109375" style="1" customWidth="1"/>
    <col min="14854" max="15101" width="9.140625" style="1"/>
    <col min="15102" max="15102" width="6.140625" style="1" customWidth="1"/>
    <col min="15103" max="15103" width="46.28515625" style="1" customWidth="1"/>
    <col min="15104" max="15104" width="11.85546875" style="1" customWidth="1"/>
    <col min="15105" max="15105" width="11.140625" style="1" customWidth="1"/>
    <col min="15106" max="15106" width="10.28515625" style="1" customWidth="1"/>
    <col min="15107" max="15107" width="10.5703125" style="1" customWidth="1"/>
    <col min="15108" max="15108" width="9.7109375" style="1" customWidth="1"/>
    <col min="15109" max="15109" width="36.7109375" style="1" customWidth="1"/>
    <col min="15110" max="15357" width="9.140625" style="1"/>
    <col min="15358" max="15358" width="6.140625" style="1" customWidth="1"/>
    <col min="15359" max="15359" width="46.28515625" style="1" customWidth="1"/>
    <col min="15360" max="15360" width="11.85546875" style="1" customWidth="1"/>
    <col min="15361" max="15361" width="11.140625" style="1" customWidth="1"/>
    <col min="15362" max="15362" width="10.28515625" style="1" customWidth="1"/>
    <col min="15363" max="15363" width="10.5703125" style="1" customWidth="1"/>
    <col min="15364" max="15364" width="9.7109375" style="1" customWidth="1"/>
    <col min="15365" max="15365" width="36.7109375" style="1" customWidth="1"/>
    <col min="15366" max="15613" width="9.140625" style="1"/>
    <col min="15614" max="15614" width="6.140625" style="1" customWidth="1"/>
    <col min="15615" max="15615" width="46.28515625" style="1" customWidth="1"/>
    <col min="15616" max="15616" width="11.85546875" style="1" customWidth="1"/>
    <col min="15617" max="15617" width="11.140625" style="1" customWidth="1"/>
    <col min="15618" max="15618" width="10.28515625" style="1" customWidth="1"/>
    <col min="15619" max="15619" width="10.5703125" style="1" customWidth="1"/>
    <col min="15620" max="15620" width="9.7109375" style="1" customWidth="1"/>
    <col min="15621" max="15621" width="36.7109375" style="1" customWidth="1"/>
    <col min="15622" max="15869" width="9.140625" style="1"/>
    <col min="15870" max="15870" width="6.140625" style="1" customWidth="1"/>
    <col min="15871" max="15871" width="46.28515625" style="1" customWidth="1"/>
    <col min="15872" max="15872" width="11.85546875" style="1" customWidth="1"/>
    <col min="15873" max="15873" width="11.140625" style="1" customWidth="1"/>
    <col min="15874" max="15874" width="10.28515625" style="1" customWidth="1"/>
    <col min="15875" max="15875" width="10.5703125" style="1" customWidth="1"/>
    <col min="15876" max="15876" width="9.7109375" style="1" customWidth="1"/>
    <col min="15877" max="15877" width="36.7109375" style="1" customWidth="1"/>
    <col min="15878" max="16125" width="9.140625" style="1"/>
    <col min="16126" max="16126" width="6.140625" style="1" customWidth="1"/>
    <col min="16127" max="16127" width="46.28515625" style="1" customWidth="1"/>
    <col min="16128" max="16128" width="11.85546875" style="1" customWidth="1"/>
    <col min="16129" max="16129" width="11.140625" style="1" customWidth="1"/>
    <col min="16130" max="16130" width="10.28515625" style="1" customWidth="1"/>
    <col min="16131" max="16131" width="10.5703125" style="1" customWidth="1"/>
    <col min="16132" max="16132" width="9.7109375" style="1" customWidth="1"/>
    <col min="16133" max="16133" width="36.7109375" style="1" customWidth="1"/>
    <col min="16134" max="16384" width="9.140625" style="1"/>
  </cols>
  <sheetData>
    <row r="1" spans="1:7" ht="16.5" customHeight="1" x14ac:dyDescent="0.25">
      <c r="B1" s="1034" t="s">
        <v>1186</v>
      </c>
      <c r="C1" s="1034"/>
      <c r="D1" s="1034"/>
      <c r="E1" s="1034"/>
      <c r="F1" s="1034"/>
      <c r="G1" s="1034"/>
    </row>
    <row r="2" spans="1:7" ht="16.5" x14ac:dyDescent="0.25">
      <c r="C2" s="950"/>
      <c r="D2" s="950"/>
      <c r="E2" s="950"/>
      <c r="F2" s="950"/>
      <c r="G2" s="951" t="s">
        <v>1184</v>
      </c>
    </row>
    <row r="3" spans="1:7" ht="16.5" x14ac:dyDescent="0.25">
      <c r="C3" s="950"/>
      <c r="D3" s="950"/>
      <c r="E3" s="950"/>
      <c r="F3" s="950"/>
      <c r="G3" s="951" t="s">
        <v>1185</v>
      </c>
    </row>
    <row r="4" spans="1:7" ht="16.5" x14ac:dyDescent="0.25">
      <c r="C4" s="950"/>
      <c r="D4" s="950"/>
      <c r="E4" s="950"/>
      <c r="F4" s="950"/>
      <c r="G4" s="951"/>
    </row>
    <row r="5" spans="1:7" ht="16.5" x14ac:dyDescent="0.25">
      <c r="C5" s="950"/>
      <c r="D5" s="950"/>
      <c r="E5" s="950"/>
      <c r="F5" s="950"/>
      <c r="G5" s="951"/>
    </row>
    <row r="6" spans="1:7" x14ac:dyDescent="0.2">
      <c r="A6" s="1" t="s">
        <v>298</v>
      </c>
      <c r="B6" s="144"/>
      <c r="C6" s="1043"/>
      <c r="D6" s="1043"/>
      <c r="E6" s="1043"/>
      <c r="F6" s="1043"/>
      <c r="G6" s="1043"/>
    </row>
    <row r="7" spans="1:7" x14ac:dyDescent="0.2">
      <c r="B7" s="144"/>
      <c r="C7" s="145"/>
      <c r="D7" s="145"/>
      <c r="E7" s="145"/>
      <c r="F7" s="145"/>
      <c r="G7" s="145"/>
    </row>
    <row r="8" spans="1:7" ht="15.75" x14ac:dyDescent="0.25">
      <c r="A8" s="1044" t="s">
        <v>291</v>
      </c>
      <c r="B8" s="1044"/>
      <c r="C8" s="1044"/>
      <c r="D8" s="1044"/>
      <c r="E8" s="1044"/>
      <c r="F8" s="1044"/>
      <c r="G8" s="1044"/>
    </row>
    <row r="9" spans="1:7" ht="13.5" customHeight="1" x14ac:dyDescent="0.25">
      <c r="A9" s="146"/>
      <c r="B9" s="146"/>
      <c r="C9" s="146"/>
      <c r="D9" s="146"/>
      <c r="E9" s="146"/>
      <c r="F9" s="146"/>
      <c r="G9" s="146"/>
    </row>
    <row r="10" spans="1:7" ht="15.75" x14ac:dyDescent="0.25">
      <c r="A10" s="1" t="s">
        <v>1187</v>
      </c>
      <c r="D10" s="144"/>
      <c r="E10" s="144"/>
      <c r="F10" s="147"/>
      <c r="G10" s="144"/>
    </row>
    <row r="11" spans="1:7" ht="11.25" customHeight="1" x14ac:dyDescent="0.25">
      <c r="D11" s="144"/>
      <c r="E11" s="144"/>
      <c r="F11" s="147"/>
      <c r="G11" s="144"/>
    </row>
    <row r="12" spans="1:7" x14ac:dyDescent="0.2">
      <c r="A12" s="1" t="s">
        <v>1188</v>
      </c>
      <c r="B12" s="148"/>
      <c r="D12" s="149"/>
      <c r="E12" s="149"/>
      <c r="F12" s="149"/>
      <c r="G12" s="149"/>
    </row>
    <row r="13" spans="1:7" x14ac:dyDescent="0.2">
      <c r="A13" s="1" t="s">
        <v>1189</v>
      </c>
      <c r="D13" s="149"/>
      <c r="E13" s="149"/>
      <c r="F13" s="150"/>
      <c r="G13" s="820" t="s">
        <v>998</v>
      </c>
    </row>
    <row r="14" spans="1:7" x14ac:dyDescent="0.2">
      <c r="A14" s="1045" t="s">
        <v>1</v>
      </c>
      <c r="B14" s="1045" t="s">
        <v>2</v>
      </c>
      <c r="C14" s="1045" t="s">
        <v>26</v>
      </c>
      <c r="D14" s="1045" t="s">
        <v>27</v>
      </c>
      <c r="E14" s="1045" t="s">
        <v>299</v>
      </c>
      <c r="F14" s="1046" t="s">
        <v>6</v>
      </c>
      <c r="G14" s="1046" t="s">
        <v>1190</v>
      </c>
    </row>
    <row r="15" spans="1:7" x14ac:dyDescent="0.2">
      <c r="A15" s="1045"/>
      <c r="B15" s="1045"/>
      <c r="C15" s="1045"/>
      <c r="D15" s="1045"/>
      <c r="E15" s="1045"/>
      <c r="F15" s="1047"/>
      <c r="G15" s="1047"/>
    </row>
    <row r="16" spans="1:7" x14ac:dyDescent="0.2">
      <c r="A16" s="1045"/>
      <c r="B16" s="1045"/>
      <c r="C16" s="1045"/>
      <c r="D16" s="1045"/>
      <c r="E16" s="1045"/>
      <c r="F16" s="1048"/>
      <c r="G16" s="1048"/>
    </row>
    <row r="17" spans="1:7" x14ac:dyDescent="0.2">
      <c r="A17" s="1042" t="s">
        <v>300</v>
      </c>
      <c r="B17" s="1042"/>
      <c r="C17" s="151">
        <f>SUM(C18:C25)</f>
        <v>72105</v>
      </c>
      <c r="D17" s="151">
        <f>SUM(D18:D25)</f>
        <v>33200</v>
      </c>
      <c r="E17" s="151">
        <f>SUM(E18:E25)</f>
        <v>98250</v>
      </c>
      <c r="F17" s="151"/>
      <c r="G17" s="151">
        <f>SUM(G18:G25)</f>
        <v>89600</v>
      </c>
    </row>
    <row r="18" spans="1:7" ht="24" x14ac:dyDescent="0.2">
      <c r="A18" s="153">
        <v>1</v>
      </c>
      <c r="B18" s="154" t="s">
        <v>301</v>
      </c>
      <c r="C18" s="155">
        <v>28458</v>
      </c>
      <c r="D18" s="155">
        <v>15000</v>
      </c>
      <c r="E18" s="155">
        <v>27000</v>
      </c>
      <c r="F18" s="156">
        <v>2231</v>
      </c>
      <c r="G18" s="157">
        <v>22000</v>
      </c>
    </row>
    <row r="19" spans="1:7" ht="24" x14ac:dyDescent="0.2">
      <c r="A19" s="153">
        <v>2</v>
      </c>
      <c r="B19" s="154" t="s">
        <v>302</v>
      </c>
      <c r="C19" s="159">
        <v>30418</v>
      </c>
      <c r="D19" s="155">
        <v>14000</v>
      </c>
      <c r="E19" s="155">
        <v>30000</v>
      </c>
      <c r="F19" s="156">
        <v>2122</v>
      </c>
      <c r="G19" s="157">
        <v>30000</v>
      </c>
    </row>
    <row r="20" spans="1:7" x14ac:dyDescent="0.2">
      <c r="A20" s="153">
        <v>3</v>
      </c>
      <c r="B20" s="154" t="s">
        <v>303</v>
      </c>
      <c r="C20" s="159">
        <v>10383</v>
      </c>
      <c r="D20" s="155">
        <v>2000</v>
      </c>
      <c r="E20" s="155">
        <v>4000</v>
      </c>
      <c r="F20" s="156">
        <v>2121</v>
      </c>
      <c r="G20" s="157">
        <v>2500</v>
      </c>
    </row>
    <row r="21" spans="1:7" ht="36" x14ac:dyDescent="0.2">
      <c r="A21" s="390">
        <v>4</v>
      </c>
      <c r="B21" s="154" t="s">
        <v>304</v>
      </c>
      <c r="C21" s="160">
        <v>0</v>
      </c>
      <c r="D21" s="155">
        <v>0</v>
      </c>
      <c r="E21" s="155">
        <v>25000</v>
      </c>
      <c r="F21" s="156">
        <v>2231</v>
      </c>
      <c r="G21" s="157">
        <v>25000</v>
      </c>
    </row>
    <row r="22" spans="1:7" ht="24" x14ac:dyDescent="0.2">
      <c r="A22" s="390">
        <v>5</v>
      </c>
      <c r="B22" s="152" t="s">
        <v>305</v>
      </c>
      <c r="C22" s="155">
        <v>0</v>
      </c>
      <c r="D22" s="155">
        <v>0</v>
      </c>
      <c r="E22" s="155">
        <v>6250</v>
      </c>
      <c r="F22" s="156">
        <v>2314</v>
      </c>
      <c r="G22" s="157">
        <v>5000</v>
      </c>
    </row>
    <row r="23" spans="1:7" x14ac:dyDescent="0.2">
      <c r="A23" s="390">
        <v>6</v>
      </c>
      <c r="B23" s="154" t="s">
        <v>306</v>
      </c>
      <c r="C23" s="161">
        <v>2846</v>
      </c>
      <c r="D23" s="162">
        <v>2200</v>
      </c>
      <c r="E23" s="162">
        <v>1500</v>
      </c>
      <c r="F23" s="163">
        <v>2232</v>
      </c>
      <c r="G23" s="162">
        <v>1100</v>
      </c>
    </row>
    <row r="24" spans="1:7" x14ac:dyDescent="0.2">
      <c r="A24" s="390">
        <v>7</v>
      </c>
      <c r="B24" s="152" t="s">
        <v>307</v>
      </c>
      <c r="C24" s="162">
        <v>0</v>
      </c>
      <c r="D24" s="162">
        <v>0</v>
      </c>
      <c r="E24" s="162">
        <v>3000</v>
      </c>
      <c r="F24" s="163">
        <v>7712</v>
      </c>
      <c r="G24" s="162">
        <v>3000</v>
      </c>
    </row>
    <row r="25" spans="1:7" x14ac:dyDescent="0.2">
      <c r="A25" s="390">
        <v>8</v>
      </c>
      <c r="B25" s="152" t="s">
        <v>309</v>
      </c>
      <c r="C25" s="155">
        <v>0</v>
      </c>
      <c r="D25" s="155">
        <v>0</v>
      </c>
      <c r="E25" s="155">
        <v>1500</v>
      </c>
      <c r="F25" s="156">
        <v>2262</v>
      </c>
      <c r="G25" s="157">
        <v>1000</v>
      </c>
    </row>
    <row r="26" spans="1:7" x14ac:dyDescent="0.2">
      <c r="A26" s="397"/>
      <c r="B26" s="398"/>
      <c r="C26" s="401"/>
      <c r="D26" s="173"/>
      <c r="E26" s="173"/>
      <c r="F26" s="399"/>
      <c r="G26" s="400"/>
    </row>
  </sheetData>
  <mergeCells count="11">
    <mergeCell ref="B1:G1"/>
    <mergeCell ref="A17:B17"/>
    <mergeCell ref="C6:G6"/>
    <mergeCell ref="A8:G8"/>
    <mergeCell ref="A14:A16"/>
    <mergeCell ref="B14:B16"/>
    <mergeCell ref="C14:C16"/>
    <mergeCell ref="D14:D16"/>
    <mergeCell ref="E14:E16"/>
    <mergeCell ref="F14:F16"/>
    <mergeCell ref="G14:G16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99"/>
  </sheetPr>
  <dimension ref="A1:G65"/>
  <sheetViews>
    <sheetView topLeftCell="A25" zoomScaleNormal="100" workbookViewId="0">
      <selection activeCell="B2" sqref="B2"/>
    </sheetView>
  </sheetViews>
  <sheetFormatPr defaultRowHeight="12.75" x14ac:dyDescent="0.2"/>
  <cols>
    <col min="1" max="1" width="4.42578125" style="37" customWidth="1"/>
    <col min="2" max="2" width="62.42578125" style="37" customWidth="1"/>
    <col min="3" max="3" width="10.42578125" style="37" hidden="1" customWidth="1"/>
    <col min="4" max="4" width="11.85546875" style="37" hidden="1" customWidth="1"/>
    <col min="5" max="5" width="10.28515625" style="37" hidden="1" customWidth="1"/>
    <col min="6" max="6" width="11.42578125" style="46" customWidth="1"/>
    <col min="7" max="7" width="10.28515625" style="37" customWidth="1"/>
    <col min="8" max="239" width="9.140625" style="37"/>
    <col min="240" max="240" width="35.85546875" style="37" customWidth="1"/>
    <col min="241" max="241" width="13.85546875" style="37" customWidth="1"/>
    <col min="242" max="242" width="9.140625" style="37"/>
    <col min="243" max="243" width="13.7109375" style="37" customWidth="1"/>
    <col min="244" max="244" width="14.28515625" style="37" customWidth="1"/>
    <col min="245" max="245" width="17" style="37" customWidth="1"/>
    <col min="246" max="246" width="46.85546875" style="37" customWidth="1"/>
    <col min="247" max="495" width="9.140625" style="37"/>
    <col min="496" max="496" width="35.85546875" style="37" customWidth="1"/>
    <col min="497" max="497" width="13.85546875" style="37" customWidth="1"/>
    <col min="498" max="498" width="9.140625" style="37"/>
    <col min="499" max="499" width="13.7109375" style="37" customWidth="1"/>
    <col min="500" max="500" width="14.28515625" style="37" customWidth="1"/>
    <col min="501" max="501" width="17" style="37" customWidth="1"/>
    <col min="502" max="502" width="46.85546875" style="37" customWidth="1"/>
    <col min="503" max="751" width="9.140625" style="37"/>
    <col min="752" max="752" width="35.85546875" style="37" customWidth="1"/>
    <col min="753" max="753" width="13.85546875" style="37" customWidth="1"/>
    <col min="754" max="754" width="9.140625" style="37"/>
    <col min="755" max="755" width="13.7109375" style="37" customWidth="1"/>
    <col min="756" max="756" width="14.28515625" style="37" customWidth="1"/>
    <col min="757" max="757" width="17" style="37" customWidth="1"/>
    <col min="758" max="758" width="46.85546875" style="37" customWidth="1"/>
    <col min="759" max="1007" width="9.140625" style="37"/>
    <col min="1008" max="1008" width="35.85546875" style="37" customWidth="1"/>
    <col min="1009" max="1009" width="13.85546875" style="37" customWidth="1"/>
    <col min="1010" max="1010" width="9.140625" style="37"/>
    <col min="1011" max="1011" width="13.7109375" style="37" customWidth="1"/>
    <col min="1012" max="1012" width="14.28515625" style="37" customWidth="1"/>
    <col min="1013" max="1013" width="17" style="37" customWidth="1"/>
    <col min="1014" max="1014" width="46.85546875" style="37" customWidth="1"/>
    <col min="1015" max="1263" width="9.140625" style="37"/>
    <col min="1264" max="1264" width="35.85546875" style="37" customWidth="1"/>
    <col min="1265" max="1265" width="13.85546875" style="37" customWidth="1"/>
    <col min="1266" max="1266" width="9.140625" style="37"/>
    <col min="1267" max="1267" width="13.7109375" style="37" customWidth="1"/>
    <col min="1268" max="1268" width="14.28515625" style="37" customWidth="1"/>
    <col min="1269" max="1269" width="17" style="37" customWidth="1"/>
    <col min="1270" max="1270" width="46.85546875" style="37" customWidth="1"/>
    <col min="1271" max="1519" width="9.140625" style="37"/>
    <col min="1520" max="1520" width="35.85546875" style="37" customWidth="1"/>
    <col min="1521" max="1521" width="13.85546875" style="37" customWidth="1"/>
    <col min="1522" max="1522" width="9.140625" style="37"/>
    <col min="1523" max="1523" width="13.7109375" style="37" customWidth="1"/>
    <col min="1524" max="1524" width="14.28515625" style="37" customWidth="1"/>
    <col min="1525" max="1525" width="17" style="37" customWidth="1"/>
    <col min="1526" max="1526" width="46.85546875" style="37" customWidth="1"/>
    <col min="1527" max="1775" width="9.140625" style="37"/>
    <col min="1776" max="1776" width="35.85546875" style="37" customWidth="1"/>
    <col min="1777" max="1777" width="13.85546875" style="37" customWidth="1"/>
    <col min="1778" max="1778" width="9.140625" style="37"/>
    <col min="1779" max="1779" width="13.7109375" style="37" customWidth="1"/>
    <col min="1780" max="1780" width="14.28515625" style="37" customWidth="1"/>
    <col min="1781" max="1781" width="17" style="37" customWidth="1"/>
    <col min="1782" max="1782" width="46.85546875" style="37" customWidth="1"/>
    <col min="1783" max="2031" width="9.140625" style="37"/>
    <col min="2032" max="2032" width="35.85546875" style="37" customWidth="1"/>
    <col min="2033" max="2033" width="13.85546875" style="37" customWidth="1"/>
    <col min="2034" max="2034" width="9.140625" style="37"/>
    <col min="2035" max="2035" width="13.7109375" style="37" customWidth="1"/>
    <col min="2036" max="2036" width="14.28515625" style="37" customWidth="1"/>
    <col min="2037" max="2037" width="17" style="37" customWidth="1"/>
    <col min="2038" max="2038" width="46.85546875" style="37" customWidth="1"/>
    <col min="2039" max="2287" width="9.140625" style="37"/>
    <col min="2288" max="2288" width="35.85546875" style="37" customWidth="1"/>
    <col min="2289" max="2289" width="13.85546875" style="37" customWidth="1"/>
    <col min="2290" max="2290" width="9.140625" style="37"/>
    <col min="2291" max="2291" width="13.7109375" style="37" customWidth="1"/>
    <col min="2292" max="2292" width="14.28515625" style="37" customWidth="1"/>
    <col min="2293" max="2293" width="17" style="37" customWidth="1"/>
    <col min="2294" max="2294" width="46.85546875" style="37" customWidth="1"/>
    <col min="2295" max="2543" width="9.140625" style="37"/>
    <col min="2544" max="2544" width="35.85546875" style="37" customWidth="1"/>
    <col min="2545" max="2545" width="13.85546875" style="37" customWidth="1"/>
    <col min="2546" max="2546" width="9.140625" style="37"/>
    <col min="2547" max="2547" width="13.7109375" style="37" customWidth="1"/>
    <col min="2548" max="2548" width="14.28515625" style="37" customWidth="1"/>
    <col min="2549" max="2549" width="17" style="37" customWidth="1"/>
    <col min="2550" max="2550" width="46.85546875" style="37" customWidth="1"/>
    <col min="2551" max="2799" width="9.140625" style="37"/>
    <col min="2800" max="2800" width="35.85546875" style="37" customWidth="1"/>
    <col min="2801" max="2801" width="13.85546875" style="37" customWidth="1"/>
    <col min="2802" max="2802" width="9.140625" style="37"/>
    <col min="2803" max="2803" width="13.7109375" style="37" customWidth="1"/>
    <col min="2804" max="2804" width="14.28515625" style="37" customWidth="1"/>
    <col min="2805" max="2805" width="17" style="37" customWidth="1"/>
    <col min="2806" max="2806" width="46.85546875" style="37" customWidth="1"/>
    <col min="2807" max="3055" width="9.140625" style="37"/>
    <col min="3056" max="3056" width="35.85546875" style="37" customWidth="1"/>
    <col min="3057" max="3057" width="13.85546875" style="37" customWidth="1"/>
    <col min="3058" max="3058" width="9.140625" style="37"/>
    <col min="3059" max="3059" width="13.7109375" style="37" customWidth="1"/>
    <col min="3060" max="3060" width="14.28515625" style="37" customWidth="1"/>
    <col min="3061" max="3061" width="17" style="37" customWidth="1"/>
    <col min="3062" max="3062" width="46.85546875" style="37" customWidth="1"/>
    <col min="3063" max="3311" width="9.140625" style="37"/>
    <col min="3312" max="3312" width="35.85546875" style="37" customWidth="1"/>
    <col min="3313" max="3313" width="13.85546875" style="37" customWidth="1"/>
    <col min="3314" max="3314" width="9.140625" style="37"/>
    <col min="3315" max="3315" width="13.7109375" style="37" customWidth="1"/>
    <col min="3316" max="3316" width="14.28515625" style="37" customWidth="1"/>
    <col min="3317" max="3317" width="17" style="37" customWidth="1"/>
    <col min="3318" max="3318" width="46.85546875" style="37" customWidth="1"/>
    <col min="3319" max="3567" width="9.140625" style="37"/>
    <col min="3568" max="3568" width="35.85546875" style="37" customWidth="1"/>
    <col min="3569" max="3569" width="13.85546875" style="37" customWidth="1"/>
    <col min="3570" max="3570" width="9.140625" style="37"/>
    <col min="3571" max="3571" width="13.7109375" style="37" customWidth="1"/>
    <col min="3572" max="3572" width="14.28515625" style="37" customWidth="1"/>
    <col min="3573" max="3573" width="17" style="37" customWidth="1"/>
    <col min="3574" max="3574" width="46.85546875" style="37" customWidth="1"/>
    <col min="3575" max="3823" width="9.140625" style="37"/>
    <col min="3824" max="3824" width="35.85546875" style="37" customWidth="1"/>
    <col min="3825" max="3825" width="13.85546875" style="37" customWidth="1"/>
    <col min="3826" max="3826" width="9.140625" style="37"/>
    <col min="3827" max="3827" width="13.7109375" style="37" customWidth="1"/>
    <col min="3828" max="3828" width="14.28515625" style="37" customWidth="1"/>
    <col min="3829" max="3829" width="17" style="37" customWidth="1"/>
    <col min="3830" max="3830" width="46.85546875" style="37" customWidth="1"/>
    <col min="3831" max="4079" width="9.140625" style="37"/>
    <col min="4080" max="4080" width="35.85546875" style="37" customWidth="1"/>
    <col min="4081" max="4081" width="13.85546875" style="37" customWidth="1"/>
    <col min="4082" max="4082" width="9.140625" style="37"/>
    <col min="4083" max="4083" width="13.7109375" style="37" customWidth="1"/>
    <col min="4084" max="4084" width="14.28515625" style="37" customWidth="1"/>
    <col min="4085" max="4085" width="17" style="37" customWidth="1"/>
    <col min="4086" max="4086" width="46.85546875" style="37" customWidth="1"/>
    <col min="4087" max="4335" width="9.140625" style="37"/>
    <col min="4336" max="4336" width="35.85546875" style="37" customWidth="1"/>
    <col min="4337" max="4337" width="13.85546875" style="37" customWidth="1"/>
    <col min="4338" max="4338" width="9.140625" style="37"/>
    <col min="4339" max="4339" width="13.7109375" style="37" customWidth="1"/>
    <col min="4340" max="4340" width="14.28515625" style="37" customWidth="1"/>
    <col min="4341" max="4341" width="17" style="37" customWidth="1"/>
    <col min="4342" max="4342" width="46.85546875" style="37" customWidth="1"/>
    <col min="4343" max="4591" width="9.140625" style="37"/>
    <col min="4592" max="4592" width="35.85546875" style="37" customWidth="1"/>
    <col min="4593" max="4593" width="13.85546875" style="37" customWidth="1"/>
    <col min="4594" max="4594" width="9.140625" style="37"/>
    <col min="4595" max="4595" width="13.7109375" style="37" customWidth="1"/>
    <col min="4596" max="4596" width="14.28515625" style="37" customWidth="1"/>
    <col min="4597" max="4597" width="17" style="37" customWidth="1"/>
    <col min="4598" max="4598" width="46.85546875" style="37" customWidth="1"/>
    <col min="4599" max="4847" width="9.140625" style="37"/>
    <col min="4848" max="4848" width="35.85546875" style="37" customWidth="1"/>
    <col min="4849" max="4849" width="13.85546875" style="37" customWidth="1"/>
    <col min="4850" max="4850" width="9.140625" style="37"/>
    <col min="4851" max="4851" width="13.7109375" style="37" customWidth="1"/>
    <col min="4852" max="4852" width="14.28515625" style="37" customWidth="1"/>
    <col min="4853" max="4853" width="17" style="37" customWidth="1"/>
    <col min="4854" max="4854" width="46.85546875" style="37" customWidth="1"/>
    <col min="4855" max="5103" width="9.140625" style="37"/>
    <col min="5104" max="5104" width="35.85546875" style="37" customWidth="1"/>
    <col min="5105" max="5105" width="13.85546875" style="37" customWidth="1"/>
    <col min="5106" max="5106" width="9.140625" style="37"/>
    <col min="5107" max="5107" width="13.7109375" style="37" customWidth="1"/>
    <col min="5108" max="5108" width="14.28515625" style="37" customWidth="1"/>
    <col min="5109" max="5109" width="17" style="37" customWidth="1"/>
    <col min="5110" max="5110" width="46.85546875" style="37" customWidth="1"/>
    <col min="5111" max="5359" width="9.140625" style="37"/>
    <col min="5360" max="5360" width="35.85546875" style="37" customWidth="1"/>
    <col min="5361" max="5361" width="13.85546875" style="37" customWidth="1"/>
    <col min="5362" max="5362" width="9.140625" style="37"/>
    <col min="5363" max="5363" width="13.7109375" style="37" customWidth="1"/>
    <col min="5364" max="5364" width="14.28515625" style="37" customWidth="1"/>
    <col min="5365" max="5365" width="17" style="37" customWidth="1"/>
    <col min="5366" max="5366" width="46.85546875" style="37" customWidth="1"/>
    <col min="5367" max="5615" width="9.140625" style="37"/>
    <col min="5616" max="5616" width="35.85546875" style="37" customWidth="1"/>
    <col min="5617" max="5617" width="13.85546875" style="37" customWidth="1"/>
    <col min="5618" max="5618" width="9.140625" style="37"/>
    <col min="5619" max="5619" width="13.7109375" style="37" customWidth="1"/>
    <col min="5620" max="5620" width="14.28515625" style="37" customWidth="1"/>
    <col min="5621" max="5621" width="17" style="37" customWidth="1"/>
    <col min="5622" max="5622" width="46.85546875" style="37" customWidth="1"/>
    <col min="5623" max="5871" width="9.140625" style="37"/>
    <col min="5872" max="5872" width="35.85546875" style="37" customWidth="1"/>
    <col min="5873" max="5873" width="13.85546875" style="37" customWidth="1"/>
    <col min="5874" max="5874" width="9.140625" style="37"/>
    <col min="5875" max="5875" width="13.7109375" style="37" customWidth="1"/>
    <col min="5876" max="5876" width="14.28515625" style="37" customWidth="1"/>
    <col min="5877" max="5877" width="17" style="37" customWidth="1"/>
    <col min="5878" max="5878" width="46.85546875" style="37" customWidth="1"/>
    <col min="5879" max="6127" width="9.140625" style="37"/>
    <col min="6128" max="6128" width="35.85546875" style="37" customWidth="1"/>
    <col min="6129" max="6129" width="13.85546875" style="37" customWidth="1"/>
    <col min="6130" max="6130" width="9.140625" style="37"/>
    <col min="6131" max="6131" width="13.7109375" style="37" customWidth="1"/>
    <col min="6132" max="6132" width="14.28515625" style="37" customWidth="1"/>
    <col min="6133" max="6133" width="17" style="37" customWidth="1"/>
    <col min="6134" max="6134" width="46.85546875" style="37" customWidth="1"/>
    <col min="6135" max="6383" width="9.140625" style="37"/>
    <col min="6384" max="6384" width="35.85546875" style="37" customWidth="1"/>
    <col min="6385" max="6385" width="13.85546875" style="37" customWidth="1"/>
    <col min="6386" max="6386" width="9.140625" style="37"/>
    <col min="6387" max="6387" width="13.7109375" style="37" customWidth="1"/>
    <col min="6388" max="6388" width="14.28515625" style="37" customWidth="1"/>
    <col min="6389" max="6389" width="17" style="37" customWidth="1"/>
    <col min="6390" max="6390" width="46.85546875" style="37" customWidth="1"/>
    <col min="6391" max="6639" width="9.140625" style="37"/>
    <col min="6640" max="6640" width="35.85546875" style="37" customWidth="1"/>
    <col min="6641" max="6641" width="13.85546875" style="37" customWidth="1"/>
    <col min="6642" max="6642" width="9.140625" style="37"/>
    <col min="6643" max="6643" width="13.7109375" style="37" customWidth="1"/>
    <col min="6644" max="6644" width="14.28515625" style="37" customWidth="1"/>
    <col min="6645" max="6645" width="17" style="37" customWidth="1"/>
    <col min="6646" max="6646" width="46.85546875" style="37" customWidth="1"/>
    <col min="6647" max="6895" width="9.140625" style="37"/>
    <col min="6896" max="6896" width="35.85546875" style="37" customWidth="1"/>
    <col min="6897" max="6897" width="13.85546875" style="37" customWidth="1"/>
    <col min="6898" max="6898" width="9.140625" style="37"/>
    <col min="6899" max="6899" width="13.7109375" style="37" customWidth="1"/>
    <col min="6900" max="6900" width="14.28515625" style="37" customWidth="1"/>
    <col min="6901" max="6901" width="17" style="37" customWidth="1"/>
    <col min="6902" max="6902" width="46.85546875" style="37" customWidth="1"/>
    <col min="6903" max="7151" width="9.140625" style="37"/>
    <col min="7152" max="7152" width="35.85546875" style="37" customWidth="1"/>
    <col min="7153" max="7153" width="13.85546875" style="37" customWidth="1"/>
    <col min="7154" max="7154" width="9.140625" style="37"/>
    <col min="7155" max="7155" width="13.7109375" style="37" customWidth="1"/>
    <col min="7156" max="7156" width="14.28515625" style="37" customWidth="1"/>
    <col min="7157" max="7157" width="17" style="37" customWidth="1"/>
    <col min="7158" max="7158" width="46.85546875" style="37" customWidth="1"/>
    <col min="7159" max="7407" width="9.140625" style="37"/>
    <col min="7408" max="7408" width="35.85546875" style="37" customWidth="1"/>
    <col min="7409" max="7409" width="13.85546875" style="37" customWidth="1"/>
    <col min="7410" max="7410" width="9.140625" style="37"/>
    <col min="7411" max="7411" width="13.7109375" style="37" customWidth="1"/>
    <col min="7412" max="7412" width="14.28515625" style="37" customWidth="1"/>
    <col min="7413" max="7413" width="17" style="37" customWidth="1"/>
    <col min="7414" max="7414" width="46.85546875" style="37" customWidth="1"/>
    <col min="7415" max="7663" width="9.140625" style="37"/>
    <col min="7664" max="7664" width="35.85546875" style="37" customWidth="1"/>
    <col min="7665" max="7665" width="13.85546875" style="37" customWidth="1"/>
    <col min="7666" max="7666" width="9.140625" style="37"/>
    <col min="7667" max="7667" width="13.7109375" style="37" customWidth="1"/>
    <col min="7668" max="7668" width="14.28515625" style="37" customWidth="1"/>
    <col min="7669" max="7669" width="17" style="37" customWidth="1"/>
    <col min="7670" max="7670" width="46.85546875" style="37" customWidth="1"/>
    <col min="7671" max="7919" width="9.140625" style="37"/>
    <col min="7920" max="7920" width="35.85546875" style="37" customWidth="1"/>
    <col min="7921" max="7921" width="13.85546875" style="37" customWidth="1"/>
    <col min="7922" max="7922" width="9.140625" style="37"/>
    <col min="7923" max="7923" width="13.7109375" style="37" customWidth="1"/>
    <col min="7924" max="7924" width="14.28515625" style="37" customWidth="1"/>
    <col min="7925" max="7925" width="17" style="37" customWidth="1"/>
    <col min="7926" max="7926" width="46.85546875" style="37" customWidth="1"/>
    <col min="7927" max="8175" width="9.140625" style="37"/>
    <col min="8176" max="8176" width="35.85546875" style="37" customWidth="1"/>
    <col min="8177" max="8177" width="13.85546875" style="37" customWidth="1"/>
    <col min="8178" max="8178" width="9.140625" style="37"/>
    <col min="8179" max="8179" width="13.7109375" style="37" customWidth="1"/>
    <col min="8180" max="8180" width="14.28515625" style="37" customWidth="1"/>
    <col min="8181" max="8181" width="17" style="37" customWidth="1"/>
    <col min="8182" max="8182" width="46.85546875" style="37" customWidth="1"/>
    <col min="8183" max="8431" width="9.140625" style="37"/>
    <col min="8432" max="8432" width="35.85546875" style="37" customWidth="1"/>
    <col min="8433" max="8433" width="13.85546875" style="37" customWidth="1"/>
    <col min="8434" max="8434" width="9.140625" style="37"/>
    <col min="8435" max="8435" width="13.7109375" style="37" customWidth="1"/>
    <col min="8436" max="8436" width="14.28515625" style="37" customWidth="1"/>
    <col min="8437" max="8437" width="17" style="37" customWidth="1"/>
    <col min="8438" max="8438" width="46.85546875" style="37" customWidth="1"/>
    <col min="8439" max="8687" width="9.140625" style="37"/>
    <col min="8688" max="8688" width="35.85546875" style="37" customWidth="1"/>
    <col min="8689" max="8689" width="13.85546875" style="37" customWidth="1"/>
    <col min="8690" max="8690" width="9.140625" style="37"/>
    <col min="8691" max="8691" width="13.7109375" style="37" customWidth="1"/>
    <col min="8692" max="8692" width="14.28515625" style="37" customWidth="1"/>
    <col min="8693" max="8693" width="17" style="37" customWidth="1"/>
    <col min="8694" max="8694" width="46.85546875" style="37" customWidth="1"/>
    <col min="8695" max="8943" width="9.140625" style="37"/>
    <col min="8944" max="8944" width="35.85546875" style="37" customWidth="1"/>
    <col min="8945" max="8945" width="13.85546875" style="37" customWidth="1"/>
    <col min="8946" max="8946" width="9.140625" style="37"/>
    <col min="8947" max="8947" width="13.7109375" style="37" customWidth="1"/>
    <col min="8948" max="8948" width="14.28515625" style="37" customWidth="1"/>
    <col min="8949" max="8949" width="17" style="37" customWidth="1"/>
    <col min="8950" max="8950" width="46.85546875" style="37" customWidth="1"/>
    <col min="8951" max="9199" width="9.140625" style="37"/>
    <col min="9200" max="9200" width="35.85546875" style="37" customWidth="1"/>
    <col min="9201" max="9201" width="13.85546875" style="37" customWidth="1"/>
    <col min="9202" max="9202" width="9.140625" style="37"/>
    <col min="9203" max="9203" width="13.7109375" style="37" customWidth="1"/>
    <col min="9204" max="9204" width="14.28515625" style="37" customWidth="1"/>
    <col min="9205" max="9205" width="17" style="37" customWidth="1"/>
    <col min="9206" max="9206" width="46.85546875" style="37" customWidth="1"/>
    <col min="9207" max="9455" width="9.140625" style="37"/>
    <col min="9456" max="9456" width="35.85546875" style="37" customWidth="1"/>
    <col min="9457" max="9457" width="13.85546875" style="37" customWidth="1"/>
    <col min="9458" max="9458" width="9.140625" style="37"/>
    <col min="9459" max="9459" width="13.7109375" style="37" customWidth="1"/>
    <col min="9460" max="9460" width="14.28515625" style="37" customWidth="1"/>
    <col min="9461" max="9461" width="17" style="37" customWidth="1"/>
    <col min="9462" max="9462" width="46.85546875" style="37" customWidth="1"/>
    <col min="9463" max="9711" width="9.140625" style="37"/>
    <col min="9712" max="9712" width="35.85546875" style="37" customWidth="1"/>
    <col min="9713" max="9713" width="13.85546875" style="37" customWidth="1"/>
    <col min="9714" max="9714" width="9.140625" style="37"/>
    <col min="9715" max="9715" width="13.7109375" style="37" customWidth="1"/>
    <col min="9716" max="9716" width="14.28515625" style="37" customWidth="1"/>
    <col min="9717" max="9717" width="17" style="37" customWidth="1"/>
    <col min="9718" max="9718" width="46.85546875" style="37" customWidth="1"/>
    <col min="9719" max="9967" width="9.140625" style="37"/>
    <col min="9968" max="9968" width="35.85546875" style="37" customWidth="1"/>
    <col min="9969" max="9969" width="13.85546875" style="37" customWidth="1"/>
    <col min="9970" max="9970" width="9.140625" style="37"/>
    <col min="9971" max="9971" width="13.7109375" style="37" customWidth="1"/>
    <col min="9972" max="9972" width="14.28515625" style="37" customWidth="1"/>
    <col min="9973" max="9973" width="17" style="37" customWidth="1"/>
    <col min="9974" max="9974" width="46.85546875" style="37" customWidth="1"/>
    <col min="9975" max="10223" width="9.140625" style="37"/>
    <col min="10224" max="10224" width="35.85546875" style="37" customWidth="1"/>
    <col min="10225" max="10225" width="13.85546875" style="37" customWidth="1"/>
    <col min="10226" max="10226" width="9.140625" style="37"/>
    <col min="10227" max="10227" width="13.7109375" style="37" customWidth="1"/>
    <col min="10228" max="10228" width="14.28515625" style="37" customWidth="1"/>
    <col min="10229" max="10229" width="17" style="37" customWidth="1"/>
    <col min="10230" max="10230" width="46.85546875" style="37" customWidth="1"/>
    <col min="10231" max="10479" width="9.140625" style="37"/>
    <col min="10480" max="10480" width="35.85546875" style="37" customWidth="1"/>
    <col min="10481" max="10481" width="13.85546875" style="37" customWidth="1"/>
    <col min="10482" max="10482" width="9.140625" style="37"/>
    <col min="10483" max="10483" width="13.7109375" style="37" customWidth="1"/>
    <col min="10484" max="10484" width="14.28515625" style="37" customWidth="1"/>
    <col min="10485" max="10485" width="17" style="37" customWidth="1"/>
    <col min="10486" max="10486" width="46.85546875" style="37" customWidth="1"/>
    <col min="10487" max="10735" width="9.140625" style="37"/>
    <col min="10736" max="10736" width="35.85546875" style="37" customWidth="1"/>
    <col min="10737" max="10737" width="13.85546875" style="37" customWidth="1"/>
    <col min="10738" max="10738" width="9.140625" style="37"/>
    <col min="10739" max="10739" width="13.7109375" style="37" customWidth="1"/>
    <col min="10740" max="10740" width="14.28515625" style="37" customWidth="1"/>
    <col min="10741" max="10741" width="17" style="37" customWidth="1"/>
    <col min="10742" max="10742" width="46.85546875" style="37" customWidth="1"/>
    <col min="10743" max="10991" width="9.140625" style="37"/>
    <col min="10992" max="10992" width="35.85546875" style="37" customWidth="1"/>
    <col min="10993" max="10993" width="13.85546875" style="37" customWidth="1"/>
    <col min="10994" max="10994" width="9.140625" style="37"/>
    <col min="10995" max="10995" width="13.7109375" style="37" customWidth="1"/>
    <col min="10996" max="10996" width="14.28515625" style="37" customWidth="1"/>
    <col min="10997" max="10997" width="17" style="37" customWidth="1"/>
    <col min="10998" max="10998" width="46.85546875" style="37" customWidth="1"/>
    <col min="10999" max="11247" width="9.140625" style="37"/>
    <col min="11248" max="11248" width="35.85546875" style="37" customWidth="1"/>
    <col min="11249" max="11249" width="13.85546875" style="37" customWidth="1"/>
    <col min="11250" max="11250" width="9.140625" style="37"/>
    <col min="11251" max="11251" width="13.7109375" style="37" customWidth="1"/>
    <col min="11252" max="11252" width="14.28515625" style="37" customWidth="1"/>
    <col min="11253" max="11253" width="17" style="37" customWidth="1"/>
    <col min="11254" max="11254" width="46.85546875" style="37" customWidth="1"/>
    <col min="11255" max="11503" width="9.140625" style="37"/>
    <col min="11504" max="11504" width="35.85546875" style="37" customWidth="1"/>
    <col min="11505" max="11505" width="13.85546875" style="37" customWidth="1"/>
    <col min="11506" max="11506" width="9.140625" style="37"/>
    <col min="11507" max="11507" width="13.7109375" style="37" customWidth="1"/>
    <col min="11508" max="11508" width="14.28515625" style="37" customWidth="1"/>
    <col min="11509" max="11509" width="17" style="37" customWidth="1"/>
    <col min="11510" max="11510" width="46.85546875" style="37" customWidth="1"/>
    <col min="11511" max="11759" width="9.140625" style="37"/>
    <col min="11760" max="11760" width="35.85546875" style="37" customWidth="1"/>
    <col min="11761" max="11761" width="13.85546875" style="37" customWidth="1"/>
    <col min="11762" max="11762" width="9.140625" style="37"/>
    <col min="11763" max="11763" width="13.7109375" style="37" customWidth="1"/>
    <col min="11764" max="11764" width="14.28515625" style="37" customWidth="1"/>
    <col min="11765" max="11765" width="17" style="37" customWidth="1"/>
    <col min="11766" max="11766" width="46.85546875" style="37" customWidth="1"/>
    <col min="11767" max="12015" width="9.140625" style="37"/>
    <col min="12016" max="12016" width="35.85546875" style="37" customWidth="1"/>
    <col min="12017" max="12017" width="13.85546875" style="37" customWidth="1"/>
    <col min="12018" max="12018" width="9.140625" style="37"/>
    <col min="12019" max="12019" width="13.7109375" style="37" customWidth="1"/>
    <col min="12020" max="12020" width="14.28515625" style="37" customWidth="1"/>
    <col min="12021" max="12021" width="17" style="37" customWidth="1"/>
    <col min="12022" max="12022" width="46.85546875" style="37" customWidth="1"/>
    <col min="12023" max="12271" width="9.140625" style="37"/>
    <col min="12272" max="12272" width="35.85546875" style="37" customWidth="1"/>
    <col min="12273" max="12273" width="13.85546875" style="37" customWidth="1"/>
    <col min="12274" max="12274" width="9.140625" style="37"/>
    <col min="12275" max="12275" width="13.7109375" style="37" customWidth="1"/>
    <col min="12276" max="12276" width="14.28515625" style="37" customWidth="1"/>
    <col min="12277" max="12277" width="17" style="37" customWidth="1"/>
    <col min="12278" max="12278" width="46.85546875" style="37" customWidth="1"/>
    <col min="12279" max="12527" width="9.140625" style="37"/>
    <col min="12528" max="12528" width="35.85546875" style="37" customWidth="1"/>
    <col min="12529" max="12529" width="13.85546875" style="37" customWidth="1"/>
    <col min="12530" max="12530" width="9.140625" style="37"/>
    <col min="12531" max="12531" width="13.7109375" style="37" customWidth="1"/>
    <col min="12532" max="12532" width="14.28515625" style="37" customWidth="1"/>
    <col min="12533" max="12533" width="17" style="37" customWidth="1"/>
    <col min="12534" max="12534" width="46.85546875" style="37" customWidth="1"/>
    <col min="12535" max="12783" width="9.140625" style="37"/>
    <col min="12784" max="12784" width="35.85546875" style="37" customWidth="1"/>
    <col min="12785" max="12785" width="13.85546875" style="37" customWidth="1"/>
    <col min="12786" max="12786" width="9.140625" style="37"/>
    <col min="12787" max="12787" width="13.7109375" style="37" customWidth="1"/>
    <col min="12788" max="12788" width="14.28515625" style="37" customWidth="1"/>
    <col min="12789" max="12789" width="17" style="37" customWidth="1"/>
    <col min="12790" max="12790" width="46.85546875" style="37" customWidth="1"/>
    <col min="12791" max="13039" width="9.140625" style="37"/>
    <col min="13040" max="13040" width="35.85546875" style="37" customWidth="1"/>
    <col min="13041" max="13041" width="13.85546875" style="37" customWidth="1"/>
    <col min="13042" max="13042" width="9.140625" style="37"/>
    <col min="13043" max="13043" width="13.7109375" style="37" customWidth="1"/>
    <col min="13044" max="13044" width="14.28515625" style="37" customWidth="1"/>
    <col min="13045" max="13045" width="17" style="37" customWidth="1"/>
    <col min="13046" max="13046" width="46.85546875" style="37" customWidth="1"/>
    <col min="13047" max="13295" width="9.140625" style="37"/>
    <col min="13296" max="13296" width="35.85546875" style="37" customWidth="1"/>
    <col min="13297" max="13297" width="13.85546875" style="37" customWidth="1"/>
    <col min="13298" max="13298" width="9.140625" style="37"/>
    <col min="13299" max="13299" width="13.7109375" style="37" customWidth="1"/>
    <col min="13300" max="13300" width="14.28515625" style="37" customWidth="1"/>
    <col min="13301" max="13301" width="17" style="37" customWidth="1"/>
    <col min="13302" max="13302" width="46.85546875" style="37" customWidth="1"/>
    <col min="13303" max="13551" width="9.140625" style="37"/>
    <col min="13552" max="13552" width="35.85546875" style="37" customWidth="1"/>
    <col min="13553" max="13553" width="13.85546875" style="37" customWidth="1"/>
    <col min="13554" max="13554" width="9.140625" style="37"/>
    <col min="13555" max="13555" width="13.7109375" style="37" customWidth="1"/>
    <col min="13556" max="13556" width="14.28515625" style="37" customWidth="1"/>
    <col min="13557" max="13557" width="17" style="37" customWidth="1"/>
    <col min="13558" max="13558" width="46.85546875" style="37" customWidth="1"/>
    <col min="13559" max="13807" width="9.140625" style="37"/>
    <col min="13808" max="13808" width="35.85546875" style="37" customWidth="1"/>
    <col min="13809" max="13809" width="13.85546875" style="37" customWidth="1"/>
    <col min="13810" max="13810" width="9.140625" style="37"/>
    <col min="13811" max="13811" width="13.7109375" style="37" customWidth="1"/>
    <col min="13812" max="13812" width="14.28515625" style="37" customWidth="1"/>
    <col min="13813" max="13813" width="17" style="37" customWidth="1"/>
    <col min="13814" max="13814" width="46.85546875" style="37" customWidth="1"/>
    <col min="13815" max="14063" width="9.140625" style="37"/>
    <col min="14064" max="14064" width="35.85546875" style="37" customWidth="1"/>
    <col min="14065" max="14065" width="13.85546875" style="37" customWidth="1"/>
    <col min="14066" max="14066" width="9.140625" style="37"/>
    <col min="14067" max="14067" width="13.7109375" style="37" customWidth="1"/>
    <col min="14068" max="14068" width="14.28515625" style="37" customWidth="1"/>
    <col min="14069" max="14069" width="17" style="37" customWidth="1"/>
    <col min="14070" max="14070" width="46.85546875" style="37" customWidth="1"/>
    <col min="14071" max="14319" width="9.140625" style="37"/>
    <col min="14320" max="14320" width="35.85546875" style="37" customWidth="1"/>
    <col min="14321" max="14321" width="13.85546875" style="37" customWidth="1"/>
    <col min="14322" max="14322" width="9.140625" style="37"/>
    <col min="14323" max="14323" width="13.7109375" style="37" customWidth="1"/>
    <col min="14324" max="14324" width="14.28515625" style="37" customWidth="1"/>
    <col min="14325" max="14325" width="17" style="37" customWidth="1"/>
    <col min="14326" max="14326" width="46.85546875" style="37" customWidth="1"/>
    <col min="14327" max="14575" width="9.140625" style="37"/>
    <col min="14576" max="14576" width="35.85546875" style="37" customWidth="1"/>
    <col min="14577" max="14577" width="13.85546875" style="37" customWidth="1"/>
    <col min="14578" max="14578" width="9.140625" style="37"/>
    <col min="14579" max="14579" width="13.7109375" style="37" customWidth="1"/>
    <col min="14580" max="14580" width="14.28515625" style="37" customWidth="1"/>
    <col min="14581" max="14581" width="17" style="37" customWidth="1"/>
    <col min="14582" max="14582" width="46.85546875" style="37" customWidth="1"/>
    <col min="14583" max="14831" width="9.140625" style="37"/>
    <col min="14832" max="14832" width="35.85546875" style="37" customWidth="1"/>
    <col min="14833" max="14833" width="13.85546875" style="37" customWidth="1"/>
    <col min="14834" max="14834" width="9.140625" style="37"/>
    <col min="14835" max="14835" width="13.7109375" style="37" customWidth="1"/>
    <col min="14836" max="14836" width="14.28515625" style="37" customWidth="1"/>
    <col min="14837" max="14837" width="17" style="37" customWidth="1"/>
    <col min="14838" max="14838" width="46.85546875" style="37" customWidth="1"/>
    <col min="14839" max="15087" width="9.140625" style="37"/>
    <col min="15088" max="15088" width="35.85546875" style="37" customWidth="1"/>
    <col min="15089" max="15089" width="13.85546875" style="37" customWidth="1"/>
    <col min="15090" max="15090" width="9.140625" style="37"/>
    <col min="15091" max="15091" width="13.7109375" style="37" customWidth="1"/>
    <col min="15092" max="15092" width="14.28515625" style="37" customWidth="1"/>
    <col min="15093" max="15093" width="17" style="37" customWidth="1"/>
    <col min="15094" max="15094" width="46.85546875" style="37" customWidth="1"/>
    <col min="15095" max="15343" width="9.140625" style="37"/>
    <col min="15344" max="15344" width="35.85546875" style="37" customWidth="1"/>
    <col min="15345" max="15345" width="13.85546875" style="37" customWidth="1"/>
    <col min="15346" max="15346" width="9.140625" style="37"/>
    <col min="15347" max="15347" width="13.7109375" style="37" customWidth="1"/>
    <col min="15348" max="15348" width="14.28515625" style="37" customWidth="1"/>
    <col min="15349" max="15349" width="17" style="37" customWidth="1"/>
    <col min="15350" max="15350" width="46.85546875" style="37" customWidth="1"/>
    <col min="15351" max="15599" width="9.140625" style="37"/>
    <col min="15600" max="15600" width="35.85546875" style="37" customWidth="1"/>
    <col min="15601" max="15601" width="13.85546875" style="37" customWidth="1"/>
    <col min="15602" max="15602" width="9.140625" style="37"/>
    <col min="15603" max="15603" width="13.7109375" style="37" customWidth="1"/>
    <col min="15604" max="15604" width="14.28515625" style="37" customWidth="1"/>
    <col min="15605" max="15605" width="17" style="37" customWidth="1"/>
    <col min="15606" max="15606" width="46.85546875" style="37" customWidth="1"/>
    <col min="15607" max="15855" width="9.140625" style="37"/>
    <col min="15856" max="15856" width="35.85546875" style="37" customWidth="1"/>
    <col min="15857" max="15857" width="13.85546875" style="37" customWidth="1"/>
    <col min="15858" max="15858" width="9.140625" style="37"/>
    <col min="15859" max="15859" width="13.7109375" style="37" customWidth="1"/>
    <col min="15860" max="15860" width="14.28515625" style="37" customWidth="1"/>
    <col min="15861" max="15861" width="17" style="37" customWidth="1"/>
    <col min="15862" max="15862" width="46.85546875" style="37" customWidth="1"/>
    <col min="15863" max="16111" width="9.140625" style="37"/>
    <col min="16112" max="16112" width="35.85546875" style="37" customWidth="1"/>
    <col min="16113" max="16113" width="13.85546875" style="37" customWidth="1"/>
    <col min="16114" max="16114" width="9.140625" style="37"/>
    <col min="16115" max="16115" width="13.7109375" style="37" customWidth="1"/>
    <col min="16116" max="16116" width="14.28515625" style="37" customWidth="1"/>
    <col min="16117" max="16117" width="17" style="37" customWidth="1"/>
    <col min="16118" max="16118" width="46.85546875" style="37" customWidth="1"/>
    <col min="16119" max="16384" width="9.140625" style="37"/>
  </cols>
  <sheetData>
    <row r="1" spans="1:7" ht="16.5" x14ac:dyDescent="0.25">
      <c r="B1" s="1034" t="s">
        <v>1317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">
      <c r="A6" s="35" t="s">
        <v>1297</v>
      </c>
      <c r="B6" s="36"/>
      <c r="C6" s="974"/>
      <c r="D6" s="974"/>
      <c r="E6" s="974"/>
      <c r="F6" s="974"/>
      <c r="G6" s="974"/>
    </row>
    <row r="7" spans="1:7" x14ac:dyDescent="0.2">
      <c r="A7" s="1" t="s">
        <v>280</v>
      </c>
      <c r="B7" s="36"/>
      <c r="C7" s="918"/>
      <c r="D7" s="918"/>
      <c r="E7" s="918"/>
      <c r="F7" s="38"/>
      <c r="G7" s="38"/>
    </row>
    <row r="8" spans="1:7" ht="15.75" x14ac:dyDescent="0.25">
      <c r="A8" s="1198" t="s">
        <v>291</v>
      </c>
      <c r="B8" s="1198"/>
      <c r="C8" s="1198"/>
      <c r="D8" s="1198"/>
      <c r="E8" s="1198"/>
      <c r="F8" s="1198"/>
      <c r="G8" s="1198"/>
    </row>
    <row r="9" spans="1:7" x14ac:dyDescent="0.2">
      <c r="A9" s="47"/>
      <c r="B9" s="47"/>
      <c r="C9" s="47"/>
      <c r="D9" s="47"/>
      <c r="E9" s="47"/>
      <c r="F9" s="1215"/>
      <c r="G9" s="1215"/>
    </row>
    <row r="10" spans="1:7" ht="15.75" x14ac:dyDescent="0.25">
      <c r="A10" s="47" t="s">
        <v>1310</v>
      </c>
      <c r="B10" s="47"/>
      <c r="C10" s="586"/>
      <c r="E10" s="47"/>
      <c r="F10" s="136"/>
      <c r="G10" s="83"/>
    </row>
    <row r="11" spans="1:7" x14ac:dyDescent="0.2">
      <c r="A11" s="47" t="s">
        <v>1311</v>
      </c>
      <c r="B11" s="47"/>
      <c r="C11" s="48"/>
      <c r="E11" s="47"/>
      <c r="F11" s="137"/>
      <c r="G11" s="48"/>
    </row>
    <row r="12" spans="1:7" x14ac:dyDescent="0.2">
      <c r="A12" s="47" t="s">
        <v>1312</v>
      </c>
      <c r="B12" s="47"/>
      <c r="C12" s="593"/>
      <c r="E12" s="47"/>
      <c r="G12" s="48"/>
    </row>
    <row r="13" spans="1:7" x14ac:dyDescent="0.2">
      <c r="A13" s="47"/>
      <c r="B13" s="47"/>
      <c r="C13" s="1216"/>
      <c r="D13" s="1216"/>
      <c r="E13" s="1216"/>
      <c r="F13" s="137"/>
      <c r="G13" s="48"/>
    </row>
    <row r="14" spans="1:7" ht="24" customHeight="1" x14ac:dyDescent="0.2">
      <c r="A14" s="1206" t="s">
        <v>1</v>
      </c>
      <c r="B14" s="1206" t="s">
        <v>2</v>
      </c>
      <c r="C14" s="1122" t="s">
        <v>26</v>
      </c>
      <c r="D14" s="1122" t="s">
        <v>61</v>
      </c>
      <c r="E14" s="1122" t="s">
        <v>28</v>
      </c>
      <c r="F14" s="1202" t="s">
        <v>6</v>
      </c>
      <c r="G14" s="1217" t="s">
        <v>1190</v>
      </c>
    </row>
    <row r="15" spans="1:7" x14ac:dyDescent="0.2">
      <c r="A15" s="1208"/>
      <c r="B15" s="1208"/>
      <c r="C15" s="1123"/>
      <c r="D15" s="1123"/>
      <c r="E15" s="1123"/>
      <c r="F15" s="1203"/>
      <c r="G15" s="1218"/>
    </row>
    <row r="16" spans="1:7" x14ac:dyDescent="0.2">
      <c r="A16" s="1213" t="s">
        <v>300</v>
      </c>
      <c r="B16" s="1214"/>
      <c r="C16" s="49">
        <f>SUM(C17:C18)</f>
        <v>43399</v>
      </c>
      <c r="D16" s="49">
        <f>SUM(D17:D18)</f>
        <v>43399</v>
      </c>
      <c r="E16" s="49">
        <f>SUM(E17:E18)</f>
        <v>43399</v>
      </c>
      <c r="F16" s="49"/>
      <c r="G16" s="49">
        <f>SUM(G17:G18)</f>
        <v>40712</v>
      </c>
    </row>
    <row r="17" spans="1:7" x14ac:dyDescent="0.2">
      <c r="A17" s="50">
        <v>1</v>
      </c>
      <c r="B17" s="51" t="s">
        <v>195</v>
      </c>
      <c r="C17" s="89">
        <v>42687</v>
      </c>
      <c r="D17" s="89">
        <v>42687</v>
      </c>
      <c r="E17" s="89">
        <v>42687</v>
      </c>
      <c r="F17" s="436">
        <v>2279</v>
      </c>
      <c r="G17" s="85">
        <v>40000</v>
      </c>
    </row>
    <row r="18" spans="1:7" x14ac:dyDescent="0.2">
      <c r="A18" s="54">
        <v>2</v>
      </c>
      <c r="B18" s="55" t="s">
        <v>196</v>
      </c>
      <c r="C18" s="94">
        <v>712</v>
      </c>
      <c r="D18" s="94">
        <v>712</v>
      </c>
      <c r="E18" s="94">
        <v>712</v>
      </c>
      <c r="F18" s="587">
        <v>2239</v>
      </c>
      <c r="G18" s="93">
        <v>712</v>
      </c>
    </row>
    <row r="19" spans="1:7" x14ac:dyDescent="0.2">
      <c r="A19" s="56"/>
      <c r="B19" s="56"/>
      <c r="C19" s="56"/>
      <c r="D19" s="56"/>
      <c r="E19" s="56"/>
      <c r="F19" s="138"/>
      <c r="G19" s="56"/>
    </row>
    <row r="20" spans="1:7" x14ac:dyDescent="0.2">
      <c r="A20" s="47" t="s">
        <v>1313</v>
      </c>
      <c r="B20" s="47"/>
      <c r="C20" s="48"/>
      <c r="E20" s="47"/>
      <c r="G20" s="48"/>
    </row>
    <row r="21" spans="1:7" x14ac:dyDescent="0.2">
      <c r="A21" s="47" t="s">
        <v>1314</v>
      </c>
      <c r="B21" s="47"/>
      <c r="C21" s="593"/>
      <c r="E21" s="47"/>
      <c r="G21" s="48"/>
    </row>
    <row r="22" spans="1:7" ht="15" customHeight="1" x14ac:dyDescent="0.2">
      <c r="A22" s="1206" t="s">
        <v>1</v>
      </c>
      <c r="B22" s="1206" t="s">
        <v>2</v>
      </c>
      <c r="C22" s="1122" t="s">
        <v>26</v>
      </c>
      <c r="D22" s="1122" t="s">
        <v>61</v>
      </c>
      <c r="E22" s="1122" t="s">
        <v>28</v>
      </c>
      <c r="F22" s="1202" t="s">
        <v>6</v>
      </c>
      <c r="G22" s="1122" t="s">
        <v>1190</v>
      </c>
    </row>
    <row r="23" spans="1:7" ht="24.75" customHeight="1" x14ac:dyDescent="0.2">
      <c r="A23" s="1208"/>
      <c r="B23" s="1208"/>
      <c r="C23" s="1123"/>
      <c r="D23" s="1123"/>
      <c r="E23" s="1123"/>
      <c r="F23" s="1203"/>
      <c r="G23" s="1123"/>
    </row>
    <row r="24" spans="1:7" ht="12.75" customHeight="1" x14ac:dyDescent="0.2">
      <c r="A24" s="1204" t="s">
        <v>300</v>
      </c>
      <c r="B24" s="1205"/>
      <c r="C24" s="57">
        <f>SUM(C25:C40)</f>
        <v>27534</v>
      </c>
      <c r="D24" s="57">
        <f>SUM(D25:D40)</f>
        <v>27068</v>
      </c>
      <c r="E24" s="57">
        <f>SUM(E25:E40)</f>
        <v>27470</v>
      </c>
      <c r="F24" s="57"/>
      <c r="G24" s="57">
        <f>SUM(G25:G40)</f>
        <v>28227</v>
      </c>
    </row>
    <row r="25" spans="1:7" ht="24.75" customHeight="1" x14ac:dyDescent="0.2">
      <c r="A25" s="1206">
        <v>1</v>
      </c>
      <c r="B25" s="1080" t="s">
        <v>297</v>
      </c>
      <c r="C25" s="85">
        <v>2732</v>
      </c>
      <c r="D25" s="85">
        <v>2732</v>
      </c>
      <c r="E25" s="85">
        <v>2732</v>
      </c>
      <c r="F25" s="588">
        <v>1150</v>
      </c>
      <c r="G25" s="85">
        <v>2732</v>
      </c>
    </row>
    <row r="26" spans="1:7" ht="15" customHeight="1" x14ac:dyDescent="0.2">
      <c r="A26" s="1207"/>
      <c r="B26" s="1081"/>
      <c r="C26" s="85">
        <v>659</v>
      </c>
      <c r="D26" s="85">
        <v>659</v>
      </c>
      <c r="E26" s="85">
        <v>659</v>
      </c>
      <c r="F26" s="588">
        <v>1210</v>
      </c>
      <c r="G26" s="85">
        <v>645</v>
      </c>
    </row>
    <row r="27" spans="1:7" ht="25.5" customHeight="1" x14ac:dyDescent="0.2">
      <c r="A27" s="1207"/>
      <c r="B27" s="1081"/>
      <c r="C27" s="85">
        <v>942</v>
      </c>
      <c r="D27" s="85">
        <v>942</v>
      </c>
      <c r="E27" s="85">
        <v>942</v>
      </c>
      <c r="F27" s="588">
        <v>2242</v>
      </c>
      <c r="G27" s="85">
        <v>942</v>
      </c>
    </row>
    <row r="28" spans="1:7" ht="15" customHeight="1" x14ac:dyDescent="0.2">
      <c r="A28" s="1207"/>
      <c r="B28" s="1081"/>
      <c r="C28" s="85">
        <v>72</v>
      </c>
      <c r="D28" s="85">
        <v>72</v>
      </c>
      <c r="E28" s="85">
        <v>72</v>
      </c>
      <c r="F28" s="588">
        <v>2247</v>
      </c>
      <c r="G28" s="85">
        <v>72</v>
      </c>
    </row>
    <row r="29" spans="1:7" ht="15" customHeight="1" x14ac:dyDescent="0.2">
      <c r="A29" s="1207"/>
      <c r="B29" s="1081"/>
      <c r="C29" s="85">
        <v>72</v>
      </c>
      <c r="D29" s="85">
        <v>72</v>
      </c>
      <c r="E29" s="85">
        <v>72</v>
      </c>
      <c r="F29" s="588">
        <v>2354</v>
      </c>
      <c r="G29" s="85">
        <v>72</v>
      </c>
    </row>
    <row r="30" spans="1:7" ht="15" customHeight="1" x14ac:dyDescent="0.2">
      <c r="A30" s="1207"/>
      <c r="B30" s="1081"/>
      <c r="C30" s="85">
        <v>683</v>
      </c>
      <c r="D30" s="85">
        <v>683</v>
      </c>
      <c r="E30" s="85">
        <v>683</v>
      </c>
      <c r="F30" s="436">
        <v>2322</v>
      </c>
      <c r="G30" s="85">
        <v>683</v>
      </c>
    </row>
    <row r="31" spans="1:7" x14ac:dyDescent="0.2">
      <c r="A31" s="1207"/>
      <c r="B31" s="1081"/>
      <c r="C31" s="85">
        <v>314</v>
      </c>
      <c r="D31" s="85">
        <v>314</v>
      </c>
      <c r="E31" s="85">
        <v>314</v>
      </c>
      <c r="F31" s="436">
        <v>2244</v>
      </c>
      <c r="G31" s="85">
        <v>314</v>
      </c>
    </row>
    <row r="32" spans="1:7" x14ac:dyDescent="0.2">
      <c r="A32" s="1207"/>
      <c r="B32" s="1081"/>
      <c r="C32" s="85">
        <v>466</v>
      </c>
      <c r="D32" s="85"/>
      <c r="E32" s="85">
        <v>360</v>
      </c>
      <c r="F32" s="436">
        <v>2212</v>
      </c>
      <c r="G32" s="85">
        <v>360</v>
      </c>
    </row>
    <row r="33" spans="1:7" ht="15" customHeight="1" x14ac:dyDescent="0.2">
      <c r="A33" s="1207"/>
      <c r="B33" s="1081"/>
      <c r="C33" s="85">
        <v>171</v>
      </c>
      <c r="D33" s="85">
        <v>171</v>
      </c>
      <c r="E33" s="85">
        <v>171</v>
      </c>
      <c r="F33" s="436">
        <v>2519</v>
      </c>
      <c r="G33" s="85">
        <v>171</v>
      </c>
    </row>
    <row r="34" spans="1:7" ht="15" customHeight="1" x14ac:dyDescent="0.2">
      <c r="A34" s="1207"/>
      <c r="B34" s="1081"/>
      <c r="C34" s="85">
        <v>102</v>
      </c>
      <c r="D34" s="85">
        <v>102</v>
      </c>
      <c r="E34" s="85">
        <v>144</v>
      </c>
      <c r="F34" s="436">
        <v>2264</v>
      </c>
      <c r="G34" s="85">
        <v>138</v>
      </c>
    </row>
    <row r="35" spans="1:7" ht="24.75" customHeight="1" x14ac:dyDescent="0.2">
      <c r="A35" s="1207"/>
      <c r="B35" s="1081"/>
      <c r="C35" s="88">
        <v>207</v>
      </c>
      <c r="D35" s="88">
        <v>207</v>
      </c>
      <c r="E35" s="88">
        <v>207</v>
      </c>
      <c r="F35" s="436">
        <v>2229</v>
      </c>
      <c r="G35" s="85">
        <v>125</v>
      </c>
    </row>
    <row r="36" spans="1:7" ht="15" customHeight="1" x14ac:dyDescent="0.2">
      <c r="A36" s="1207"/>
      <c r="B36" s="1081"/>
      <c r="C36" s="89">
        <v>285</v>
      </c>
      <c r="D36" s="89">
        <v>285</v>
      </c>
      <c r="E36" s="89">
        <v>285</v>
      </c>
      <c r="F36" s="589">
        <v>2311</v>
      </c>
      <c r="G36" s="85">
        <v>240</v>
      </c>
    </row>
    <row r="37" spans="1:7" ht="14.25" customHeight="1" x14ac:dyDescent="0.2">
      <c r="A37" s="1207"/>
      <c r="B37" s="1081"/>
      <c r="C37" s="89">
        <v>314</v>
      </c>
      <c r="D37" s="89">
        <v>314</v>
      </c>
      <c r="E37" s="89">
        <v>314</v>
      </c>
      <c r="F37" s="589">
        <v>2279</v>
      </c>
      <c r="G37" s="85">
        <v>314</v>
      </c>
    </row>
    <row r="38" spans="1:7" x14ac:dyDescent="0.2">
      <c r="A38" s="1208"/>
      <c r="B38" s="1212"/>
      <c r="C38" s="92">
        <v>19376</v>
      </c>
      <c r="D38" s="92">
        <v>19376</v>
      </c>
      <c r="E38" s="92">
        <v>19376</v>
      </c>
      <c r="F38" s="588">
        <v>2279</v>
      </c>
      <c r="G38" s="85">
        <v>18780</v>
      </c>
    </row>
    <row r="39" spans="1:7" x14ac:dyDescent="0.2">
      <c r="A39" s="50">
        <v>2</v>
      </c>
      <c r="B39" s="61" t="s">
        <v>197</v>
      </c>
      <c r="C39" s="89">
        <v>1139</v>
      </c>
      <c r="D39" s="89">
        <v>1139</v>
      </c>
      <c r="E39" s="89">
        <v>1139</v>
      </c>
      <c r="F39" s="436">
        <v>2279</v>
      </c>
      <c r="G39" s="85">
        <v>1139</v>
      </c>
    </row>
    <row r="40" spans="1:7" x14ac:dyDescent="0.2">
      <c r="A40" s="84">
        <v>3</v>
      </c>
      <c r="B40" s="91" t="s">
        <v>278</v>
      </c>
      <c r="C40" s="90"/>
      <c r="D40" s="90"/>
      <c r="E40" s="90"/>
      <c r="F40" s="437">
        <v>2279</v>
      </c>
      <c r="G40" s="87">
        <v>1500</v>
      </c>
    </row>
    <row r="41" spans="1:7" x14ac:dyDescent="0.2">
      <c r="A41" s="62"/>
      <c r="B41" s="63"/>
      <c r="C41" s="63"/>
      <c r="D41" s="63"/>
      <c r="E41" s="63"/>
      <c r="F41" s="139"/>
      <c r="G41" s="64"/>
    </row>
    <row r="42" spans="1:7" x14ac:dyDescent="0.2">
      <c r="A42" s="47" t="s">
        <v>1315</v>
      </c>
      <c r="B42" s="47"/>
      <c r="C42" s="48"/>
      <c r="E42" s="47"/>
      <c r="G42" s="48"/>
    </row>
    <row r="43" spans="1:7" x14ac:dyDescent="0.2">
      <c r="A43" s="47" t="s">
        <v>1316</v>
      </c>
      <c r="B43" s="47"/>
      <c r="C43" s="593"/>
      <c r="E43" s="47"/>
      <c r="G43" s="48"/>
    </row>
    <row r="44" spans="1:7" ht="15" customHeight="1" x14ac:dyDescent="0.2">
      <c r="A44" s="1206" t="s">
        <v>1</v>
      </c>
      <c r="B44" s="1206" t="s">
        <v>2</v>
      </c>
      <c r="C44" s="1122" t="s">
        <v>26</v>
      </c>
      <c r="D44" s="1122" t="s">
        <v>61</v>
      </c>
      <c r="E44" s="1122" t="s">
        <v>28</v>
      </c>
      <c r="F44" s="1202" t="s">
        <v>6</v>
      </c>
      <c r="G44" s="1102" t="s">
        <v>1190</v>
      </c>
    </row>
    <row r="45" spans="1:7" ht="27" customHeight="1" x14ac:dyDescent="0.2">
      <c r="A45" s="1208"/>
      <c r="B45" s="1208"/>
      <c r="C45" s="1123"/>
      <c r="D45" s="1123"/>
      <c r="E45" s="1123"/>
      <c r="F45" s="1203"/>
      <c r="G45" s="1102"/>
    </row>
    <row r="46" spans="1:7" x14ac:dyDescent="0.2">
      <c r="A46" s="1204" t="s">
        <v>300</v>
      </c>
      <c r="B46" s="1205"/>
      <c r="C46" s="49">
        <f t="shared" ref="C46:E46" si="0">SUM(C47:C64)</f>
        <v>48663</v>
      </c>
      <c r="D46" s="49">
        <f t="shared" si="0"/>
        <v>41459</v>
      </c>
      <c r="E46" s="49">
        <f t="shared" si="0"/>
        <v>69828</v>
      </c>
      <c r="F46" s="49"/>
      <c r="G46" s="986">
        <f>SUM(G47:G64)</f>
        <v>99694</v>
      </c>
    </row>
    <row r="47" spans="1:7" x14ac:dyDescent="0.2">
      <c r="A47" s="50">
        <v>1</v>
      </c>
      <c r="B47" s="53" t="s">
        <v>198</v>
      </c>
      <c r="C47" s="85">
        <v>2135</v>
      </c>
      <c r="D47" s="85">
        <v>2135</v>
      </c>
      <c r="E47" s="85">
        <v>3000</v>
      </c>
      <c r="F47" s="436">
        <v>2279</v>
      </c>
      <c r="G47" s="85">
        <v>2135</v>
      </c>
    </row>
    <row r="48" spans="1:7" x14ac:dyDescent="0.2">
      <c r="A48" s="50">
        <v>2</v>
      </c>
      <c r="B48" s="51" t="s">
        <v>199</v>
      </c>
      <c r="C48" s="88">
        <v>2135</v>
      </c>
      <c r="D48" s="88">
        <v>2135</v>
      </c>
      <c r="E48" s="88">
        <v>2135</v>
      </c>
      <c r="F48" s="436">
        <v>2279</v>
      </c>
      <c r="G48" s="85">
        <v>2135</v>
      </c>
    </row>
    <row r="49" spans="1:7" x14ac:dyDescent="0.2">
      <c r="A49" s="50">
        <v>3</v>
      </c>
      <c r="B49" s="58" t="s">
        <v>200</v>
      </c>
      <c r="C49" s="85">
        <v>4635</v>
      </c>
      <c r="D49" s="85">
        <v>4431</v>
      </c>
      <c r="E49" s="85">
        <v>4635</v>
      </c>
      <c r="F49" s="436">
        <v>2279</v>
      </c>
      <c r="G49" s="85">
        <v>4635</v>
      </c>
    </row>
    <row r="50" spans="1:7" x14ac:dyDescent="0.2">
      <c r="A50" s="50">
        <v>4</v>
      </c>
      <c r="B50" s="58" t="s">
        <v>201</v>
      </c>
      <c r="C50" s="85">
        <v>2135</v>
      </c>
      <c r="D50" s="85">
        <v>2135</v>
      </c>
      <c r="E50" s="85">
        <v>2135</v>
      </c>
      <c r="F50" s="436">
        <v>2279</v>
      </c>
      <c r="G50" s="85">
        <v>2135</v>
      </c>
    </row>
    <row r="51" spans="1:7" x14ac:dyDescent="0.2">
      <c r="A51" s="50">
        <v>5</v>
      </c>
      <c r="B51" s="58" t="s">
        <v>202</v>
      </c>
      <c r="C51" s="85">
        <v>4000</v>
      </c>
      <c r="D51" s="85">
        <v>4000</v>
      </c>
      <c r="E51" s="85">
        <v>9000</v>
      </c>
      <c r="F51" s="436">
        <v>2279</v>
      </c>
      <c r="G51" s="85">
        <v>9000</v>
      </c>
    </row>
    <row r="52" spans="1:7" x14ac:dyDescent="0.2">
      <c r="A52" s="50">
        <v>6</v>
      </c>
      <c r="B52" s="58" t="s">
        <v>203</v>
      </c>
      <c r="C52" s="85">
        <v>25000</v>
      </c>
      <c r="D52" s="85">
        <v>18000</v>
      </c>
      <c r="E52" s="85">
        <v>18000</v>
      </c>
      <c r="F52" s="436">
        <v>2279</v>
      </c>
      <c r="G52" s="85">
        <v>15000</v>
      </c>
    </row>
    <row r="53" spans="1:7" x14ac:dyDescent="0.2">
      <c r="A53" s="50">
        <v>7</v>
      </c>
      <c r="B53" s="65" t="s">
        <v>204</v>
      </c>
      <c r="C53" s="85"/>
      <c r="D53" s="85"/>
      <c r="E53" s="85">
        <v>7000</v>
      </c>
      <c r="F53" s="436">
        <v>2279</v>
      </c>
      <c r="G53" s="85">
        <v>7000</v>
      </c>
    </row>
    <row r="54" spans="1:7" x14ac:dyDescent="0.2">
      <c r="A54" s="919">
        <v>8</v>
      </c>
      <c r="B54" s="889" t="s">
        <v>205</v>
      </c>
      <c r="C54" s="86">
        <v>8623</v>
      </c>
      <c r="D54" s="85">
        <v>8623</v>
      </c>
      <c r="E54" s="85">
        <v>8623</v>
      </c>
      <c r="F54" s="437">
        <v>3263</v>
      </c>
      <c r="G54" s="87">
        <f>33731+8623</f>
        <v>42354</v>
      </c>
    </row>
    <row r="55" spans="1:7" x14ac:dyDescent="0.2">
      <c r="A55" s="1206">
        <v>9</v>
      </c>
      <c r="B55" s="1209" t="s">
        <v>206</v>
      </c>
      <c r="C55" s="86"/>
      <c r="D55" s="85"/>
      <c r="E55" s="85">
        <v>1710</v>
      </c>
      <c r="F55" s="436">
        <v>2264</v>
      </c>
      <c r="G55" s="85">
        <v>1710</v>
      </c>
    </row>
    <row r="56" spans="1:7" x14ac:dyDescent="0.2">
      <c r="A56" s="1207"/>
      <c r="B56" s="1210"/>
      <c r="C56" s="86"/>
      <c r="D56" s="85"/>
      <c r="E56" s="85">
        <v>600</v>
      </c>
      <c r="F56" s="436">
        <v>2390</v>
      </c>
      <c r="G56" s="85">
        <v>600</v>
      </c>
    </row>
    <row r="57" spans="1:7" x14ac:dyDescent="0.2">
      <c r="A57" s="1207"/>
      <c r="B57" s="1210"/>
      <c r="C57" s="86"/>
      <c r="D57" s="85"/>
      <c r="E57" s="85">
        <v>200</v>
      </c>
      <c r="F57" s="436">
        <v>2231</v>
      </c>
      <c r="G57" s="85">
        <v>200</v>
      </c>
    </row>
    <row r="58" spans="1:7" x14ac:dyDescent="0.2">
      <c r="A58" s="1207"/>
      <c r="B58" s="1210"/>
      <c r="C58" s="85"/>
      <c r="D58" s="85"/>
      <c r="E58" s="85">
        <v>840</v>
      </c>
      <c r="F58" s="436">
        <v>2269</v>
      </c>
      <c r="G58" s="85">
        <v>840</v>
      </c>
    </row>
    <row r="59" spans="1:7" x14ac:dyDescent="0.2">
      <c r="A59" s="1208"/>
      <c r="B59" s="1211"/>
      <c r="C59" s="85"/>
      <c r="D59" s="85"/>
      <c r="E59" s="85">
        <v>1000</v>
      </c>
      <c r="F59" s="436">
        <v>2390</v>
      </c>
      <c r="G59" s="85">
        <v>1000</v>
      </c>
    </row>
    <row r="60" spans="1:7" x14ac:dyDescent="0.2">
      <c r="A60" s="66">
        <v>10</v>
      </c>
      <c r="B60" s="82" t="s">
        <v>207</v>
      </c>
      <c r="C60" s="85"/>
      <c r="D60" s="85"/>
      <c r="E60" s="85">
        <v>2250</v>
      </c>
      <c r="F60" s="436">
        <v>2231</v>
      </c>
      <c r="G60" s="85">
        <v>2250</v>
      </c>
    </row>
    <row r="61" spans="1:7" ht="38.25" x14ac:dyDescent="0.2">
      <c r="A61" s="66">
        <v>11</v>
      </c>
      <c r="B61" s="82" t="s">
        <v>208</v>
      </c>
      <c r="C61" s="85"/>
      <c r="D61" s="85"/>
      <c r="E61" s="85">
        <v>2000</v>
      </c>
      <c r="F61" s="436">
        <v>2275</v>
      </c>
      <c r="G61" s="85">
        <v>2000</v>
      </c>
    </row>
    <row r="62" spans="1:7" x14ac:dyDescent="0.2">
      <c r="A62" s="66">
        <v>12</v>
      </c>
      <c r="B62" s="82" t="s">
        <v>209</v>
      </c>
      <c r="C62" s="85"/>
      <c r="D62" s="85"/>
      <c r="E62" s="85">
        <v>2700</v>
      </c>
      <c r="F62" s="436">
        <v>2275</v>
      </c>
      <c r="G62" s="85">
        <v>2700</v>
      </c>
    </row>
    <row r="63" spans="1:7" x14ac:dyDescent="0.2">
      <c r="A63" s="66">
        <v>13</v>
      </c>
      <c r="B63" s="82" t="s">
        <v>210</v>
      </c>
      <c r="C63" s="85"/>
      <c r="D63" s="85"/>
      <c r="E63" s="85">
        <v>2000</v>
      </c>
      <c r="F63" s="436">
        <v>2275</v>
      </c>
      <c r="G63" s="85">
        <v>2000</v>
      </c>
    </row>
    <row r="64" spans="1:7" ht="25.5" x14ac:dyDescent="0.2">
      <c r="A64" s="66">
        <v>14</v>
      </c>
      <c r="B64" s="82" t="s">
        <v>211</v>
      </c>
      <c r="C64" s="85"/>
      <c r="D64" s="85"/>
      <c r="E64" s="85">
        <v>2000</v>
      </c>
      <c r="F64" s="436">
        <v>2275</v>
      </c>
      <c r="G64" s="85">
        <v>2000</v>
      </c>
    </row>
    <row r="65" spans="1:7" x14ac:dyDescent="0.2">
      <c r="A65" s="56"/>
      <c r="B65" s="56"/>
      <c r="C65" s="56"/>
      <c r="D65" s="56"/>
      <c r="E65" s="56"/>
      <c r="F65" s="138"/>
      <c r="G65" s="56"/>
    </row>
  </sheetData>
  <mergeCells count="32">
    <mergeCell ref="G22:G23"/>
    <mergeCell ref="A8:G8"/>
    <mergeCell ref="F9:G9"/>
    <mergeCell ref="C13:E13"/>
    <mergeCell ref="A14:A15"/>
    <mergeCell ref="B14:B15"/>
    <mergeCell ref="C14:C15"/>
    <mergeCell ref="D14:D15"/>
    <mergeCell ref="E14:E15"/>
    <mergeCell ref="F14:F15"/>
    <mergeCell ref="G14:G15"/>
    <mergeCell ref="B22:B23"/>
    <mergeCell ref="C22:C23"/>
    <mergeCell ref="D22:D23"/>
    <mergeCell ref="E22:E23"/>
    <mergeCell ref="F22:F23"/>
    <mergeCell ref="B1:G1"/>
    <mergeCell ref="F44:F45"/>
    <mergeCell ref="G44:G45"/>
    <mergeCell ref="A46:B46"/>
    <mergeCell ref="A55:A59"/>
    <mergeCell ref="B55:B59"/>
    <mergeCell ref="A24:B24"/>
    <mergeCell ref="A44:A45"/>
    <mergeCell ref="B44:B45"/>
    <mergeCell ref="C44:C45"/>
    <mergeCell ref="D44:D45"/>
    <mergeCell ref="E44:E45"/>
    <mergeCell ref="A25:A38"/>
    <mergeCell ref="B25:B38"/>
    <mergeCell ref="A16:B16"/>
    <mergeCell ref="A22:A23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</sheetPr>
  <dimension ref="A1:H77"/>
  <sheetViews>
    <sheetView topLeftCell="A25" zoomScaleNormal="100" workbookViewId="0">
      <selection activeCell="B2" sqref="B2"/>
    </sheetView>
  </sheetViews>
  <sheetFormatPr defaultRowHeight="12" x14ac:dyDescent="0.2"/>
  <cols>
    <col min="1" max="1" width="5.28515625" style="95" customWidth="1"/>
    <col min="2" max="2" width="63.140625" style="95" customWidth="1"/>
    <col min="3" max="4" width="9.28515625" style="95" hidden="1" customWidth="1"/>
    <col min="5" max="5" width="10.28515625" style="95" hidden="1" customWidth="1"/>
    <col min="6" max="6" width="10.85546875" style="315" customWidth="1"/>
    <col min="7" max="7" width="8.85546875" style="95" customWidth="1"/>
    <col min="8" max="16384" width="9.140625" style="95"/>
  </cols>
  <sheetData>
    <row r="1" spans="1:7" ht="16.5" x14ac:dyDescent="0.25">
      <c r="B1" s="1034" t="s">
        <v>1328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">
      <c r="A6" s="35" t="s">
        <v>1297</v>
      </c>
      <c r="B6" s="36"/>
      <c r="C6" s="974"/>
      <c r="D6" s="974"/>
      <c r="E6" s="974"/>
      <c r="F6" s="974"/>
      <c r="G6" s="974"/>
    </row>
    <row r="7" spans="1:7" s="37" customFormat="1" ht="12.75" x14ac:dyDescent="0.2">
      <c r="A7" s="1" t="s">
        <v>280</v>
      </c>
      <c r="B7" s="36"/>
      <c r="C7" s="918"/>
      <c r="D7" s="918"/>
      <c r="E7" s="918"/>
      <c r="F7" s="38"/>
      <c r="G7" s="38"/>
    </row>
    <row r="8" spans="1:7" s="37" customFormat="1" ht="15.75" x14ac:dyDescent="0.25">
      <c r="A8" s="1198" t="s">
        <v>291</v>
      </c>
      <c r="B8" s="1198"/>
      <c r="C8" s="1198"/>
      <c r="D8" s="1198"/>
      <c r="E8" s="1198"/>
      <c r="F8" s="1198"/>
      <c r="G8" s="1198"/>
    </row>
    <row r="9" spans="1:7" ht="14.25" x14ac:dyDescent="0.2">
      <c r="A9" s="920"/>
      <c r="B9" s="920"/>
      <c r="C9" s="920"/>
      <c r="D9" s="920"/>
      <c r="E9" s="920"/>
      <c r="F9" s="920"/>
      <c r="G9" s="920"/>
    </row>
    <row r="10" spans="1:7" ht="15.75" x14ac:dyDescent="0.25">
      <c r="A10" s="95" t="s">
        <v>1318</v>
      </c>
      <c r="C10" s="594"/>
      <c r="E10" s="127"/>
      <c r="F10" s="443"/>
      <c r="G10" s="127"/>
    </row>
    <row r="11" spans="1:7" ht="12.75" x14ac:dyDescent="0.2">
      <c r="A11" s="39" t="s">
        <v>1319</v>
      </c>
      <c r="B11" s="39"/>
      <c r="C11" s="40"/>
      <c r="E11" s="39"/>
      <c r="F11" s="46"/>
      <c r="G11" s="41"/>
    </row>
    <row r="12" spans="1:7" ht="12.75" x14ac:dyDescent="0.2">
      <c r="A12" s="39" t="s">
        <v>1320</v>
      </c>
      <c r="B12" s="39"/>
      <c r="C12" s="591"/>
      <c r="F12" s="444"/>
      <c r="G12" s="106"/>
    </row>
    <row r="13" spans="1:7" ht="21" customHeight="1" x14ac:dyDescent="0.2">
      <c r="A13" s="1219" t="s">
        <v>1</v>
      </c>
      <c r="B13" s="1219" t="s">
        <v>2</v>
      </c>
      <c r="C13" s="1076" t="s">
        <v>26</v>
      </c>
      <c r="D13" s="1071" t="s">
        <v>61</v>
      </c>
      <c r="E13" s="1071" t="s">
        <v>28</v>
      </c>
      <c r="F13" s="1220" t="s">
        <v>6</v>
      </c>
      <c r="G13" s="1071" t="s">
        <v>1190</v>
      </c>
    </row>
    <row r="14" spans="1:7" ht="14.25" customHeight="1" x14ac:dyDescent="0.2">
      <c r="A14" s="1219"/>
      <c r="B14" s="1219"/>
      <c r="C14" s="1076"/>
      <c r="D14" s="1071"/>
      <c r="E14" s="1071"/>
      <c r="F14" s="1220"/>
      <c r="G14" s="1071"/>
    </row>
    <row r="15" spans="1:7" ht="12.75" x14ac:dyDescent="0.2">
      <c r="A15" s="1213" t="s">
        <v>300</v>
      </c>
      <c r="B15" s="1213"/>
      <c r="C15" s="42">
        <f>SUM(C16:C16)</f>
        <v>57445</v>
      </c>
      <c r="D15" s="42">
        <f>SUM(D16:D16)</f>
        <v>42790</v>
      </c>
      <c r="E15" s="42">
        <f>SUM(E16:E16)</f>
        <v>42000</v>
      </c>
      <c r="F15" s="42"/>
      <c r="G15" s="42">
        <f>SUM(G16:G16)</f>
        <v>42000</v>
      </c>
    </row>
    <row r="16" spans="1:7" ht="12.75" x14ac:dyDescent="0.2">
      <c r="A16" s="66">
        <v>1</v>
      </c>
      <c r="B16" s="51" t="s">
        <v>167</v>
      </c>
      <c r="C16" s="105">
        <v>57445</v>
      </c>
      <c r="D16" s="105">
        <v>42790</v>
      </c>
      <c r="E16" s="104">
        <v>42000</v>
      </c>
      <c r="F16" s="590">
        <v>3263</v>
      </c>
      <c r="G16" s="103">
        <v>42000</v>
      </c>
    </row>
    <row r="17" spans="1:8" x14ac:dyDescent="0.2">
      <c r="C17" s="443"/>
      <c r="E17" s="127"/>
      <c r="F17" s="443"/>
      <c r="G17" s="127"/>
    </row>
    <row r="18" spans="1:8" ht="12.75" x14ac:dyDescent="0.2">
      <c r="A18" s="95" t="s">
        <v>1321</v>
      </c>
      <c r="C18" s="520"/>
      <c r="F18" s="445"/>
      <c r="G18" s="115"/>
    </row>
    <row r="19" spans="1:8" ht="12.75" x14ac:dyDescent="0.2">
      <c r="A19" s="95" t="s">
        <v>1201</v>
      </c>
      <c r="C19" s="595"/>
      <c r="F19" s="446"/>
      <c r="G19" s="118"/>
    </row>
    <row r="20" spans="1:8" ht="36" x14ac:dyDescent="0.2">
      <c r="A20" s="539" t="s">
        <v>1</v>
      </c>
      <c r="B20" s="539" t="s">
        <v>2</v>
      </c>
      <c r="C20" s="519" t="s">
        <v>26</v>
      </c>
      <c r="D20" s="52" t="s">
        <v>27</v>
      </c>
      <c r="E20" s="52" t="s">
        <v>28</v>
      </c>
      <c r="F20" s="424" t="s">
        <v>6</v>
      </c>
      <c r="G20" s="52" t="s">
        <v>1190</v>
      </c>
      <c r="H20" s="98"/>
    </row>
    <row r="21" spans="1:8" x14ac:dyDescent="0.2">
      <c r="A21" s="1221" t="s">
        <v>300</v>
      </c>
      <c r="B21" s="1222"/>
      <c r="C21" s="382">
        <f>SUM(C22:C24)</f>
        <v>0</v>
      </c>
      <c r="D21" s="113">
        <f>SUM(D22:D24)</f>
        <v>0</v>
      </c>
      <c r="E21" s="113">
        <f>SUM(E22:E24)</f>
        <v>10500</v>
      </c>
      <c r="F21" s="382"/>
      <c r="G21" s="113">
        <f>SUM(G22:G24)</f>
        <v>10163</v>
      </c>
      <c r="H21" s="98"/>
    </row>
    <row r="22" spans="1:8" x14ac:dyDescent="0.2">
      <c r="A22" s="111">
        <v>1</v>
      </c>
      <c r="B22" s="120" t="s">
        <v>212</v>
      </c>
      <c r="C22" s="521"/>
      <c r="D22" s="126"/>
      <c r="E22" s="125">
        <v>2000</v>
      </c>
      <c r="F22" s="596">
        <v>2275</v>
      </c>
      <c r="G22" s="108">
        <v>1663</v>
      </c>
      <c r="H22" s="98"/>
    </row>
    <row r="23" spans="1:8" x14ac:dyDescent="0.2">
      <c r="A23" s="111">
        <v>2</v>
      </c>
      <c r="B23" s="120" t="s">
        <v>213</v>
      </c>
      <c r="C23" s="522"/>
      <c r="D23" s="120"/>
      <c r="E23" s="125">
        <v>1500</v>
      </c>
      <c r="F23" s="596">
        <v>2275</v>
      </c>
      <c r="G23" s="108">
        <v>1500</v>
      </c>
      <c r="H23" s="98"/>
    </row>
    <row r="24" spans="1:8" x14ac:dyDescent="0.2">
      <c r="A24" s="111">
        <v>3</v>
      </c>
      <c r="B24" s="120" t="s">
        <v>214</v>
      </c>
      <c r="C24" s="522"/>
      <c r="D24" s="120"/>
      <c r="E24" s="125">
        <v>7000</v>
      </c>
      <c r="F24" s="596">
        <v>2275</v>
      </c>
      <c r="G24" s="108">
        <v>7000</v>
      </c>
      <c r="H24" s="98"/>
    </row>
    <row r="25" spans="1:8" x14ac:dyDescent="0.2">
      <c r="A25" s="123"/>
      <c r="B25" s="123"/>
      <c r="C25" s="381"/>
      <c r="D25" s="123"/>
      <c r="E25" s="123"/>
      <c r="F25" s="381"/>
      <c r="G25" s="123"/>
    </row>
    <row r="26" spans="1:8" ht="12.75" x14ac:dyDescent="0.2">
      <c r="A26" s="95" t="s">
        <v>1322</v>
      </c>
      <c r="C26" s="520"/>
      <c r="F26" s="445"/>
      <c r="G26" s="115"/>
    </row>
    <row r="27" spans="1:8" ht="12.75" x14ac:dyDescent="0.2">
      <c r="A27" s="95" t="s">
        <v>1201</v>
      </c>
      <c r="C27" s="595"/>
      <c r="F27" s="446"/>
      <c r="G27" s="118"/>
    </row>
    <row r="28" spans="1:8" ht="36" x14ac:dyDescent="0.2">
      <c r="A28" s="539" t="s">
        <v>1</v>
      </c>
      <c r="B28" s="539" t="s">
        <v>2</v>
      </c>
      <c r="C28" s="519" t="s">
        <v>26</v>
      </c>
      <c r="D28" s="52" t="s">
        <v>27</v>
      </c>
      <c r="E28" s="52" t="s">
        <v>28</v>
      </c>
      <c r="F28" s="424" t="s">
        <v>6</v>
      </c>
      <c r="G28" s="52" t="s">
        <v>1190</v>
      </c>
    </row>
    <row r="29" spans="1:8" x14ac:dyDescent="0.2">
      <c r="A29" s="1221" t="s">
        <v>300</v>
      </c>
      <c r="B29" s="1222"/>
      <c r="C29" s="382">
        <f>SUM(C30:C30)</f>
        <v>0</v>
      </c>
      <c r="D29" s="113">
        <f>SUM(D30:D30)</f>
        <v>0</v>
      </c>
      <c r="E29" s="113">
        <f>SUM(E30:E30)</f>
        <v>3500</v>
      </c>
      <c r="F29" s="382"/>
      <c r="G29" s="113">
        <f>SUM(G30:G30)</f>
        <v>20000</v>
      </c>
    </row>
    <row r="30" spans="1:8" x14ac:dyDescent="0.2">
      <c r="A30" s="111">
        <v>1</v>
      </c>
      <c r="B30" s="120" t="s">
        <v>289</v>
      </c>
      <c r="C30" s="523"/>
      <c r="D30" s="107"/>
      <c r="E30" s="108">
        <v>3500</v>
      </c>
      <c r="F30" s="596">
        <v>2279</v>
      </c>
      <c r="G30" s="108">
        <v>20000</v>
      </c>
    </row>
    <row r="31" spans="1:8" x14ac:dyDescent="0.2">
      <c r="A31" s="123"/>
      <c r="B31" s="123"/>
      <c r="C31" s="381"/>
      <c r="D31" s="123"/>
      <c r="E31" s="123"/>
      <c r="F31" s="381"/>
      <c r="G31" s="124"/>
    </row>
    <row r="32" spans="1:8" ht="12.75" x14ac:dyDescent="0.2">
      <c r="A32" s="95" t="s">
        <v>1323</v>
      </c>
      <c r="C32" s="520"/>
      <c r="F32" s="445"/>
      <c r="G32" s="115"/>
    </row>
    <row r="33" spans="1:7" ht="12.75" x14ac:dyDescent="0.2">
      <c r="A33" s="95" t="s">
        <v>1201</v>
      </c>
      <c r="C33" s="595"/>
      <c r="F33" s="446"/>
      <c r="G33" s="118"/>
    </row>
    <row r="34" spans="1:7" ht="36" x14ac:dyDescent="0.2">
      <c r="A34" s="539" t="s">
        <v>1</v>
      </c>
      <c r="B34" s="539" t="s">
        <v>2</v>
      </c>
      <c r="C34" s="519" t="s">
        <v>26</v>
      </c>
      <c r="D34" s="52" t="s">
        <v>27</v>
      </c>
      <c r="E34" s="52" t="s">
        <v>28</v>
      </c>
      <c r="F34" s="424" t="s">
        <v>6</v>
      </c>
      <c r="G34" s="52" t="s">
        <v>1190</v>
      </c>
    </row>
    <row r="35" spans="1:7" x14ac:dyDescent="0.2">
      <c r="A35" s="1221" t="s">
        <v>300</v>
      </c>
      <c r="B35" s="1222"/>
      <c r="C35" s="382">
        <f>SUM(C36:C38)</f>
        <v>0</v>
      </c>
      <c r="D35" s="113">
        <f>SUM(D36:D38)</f>
        <v>0</v>
      </c>
      <c r="E35" s="113">
        <f>SUM(E36:E38)</f>
        <v>5800</v>
      </c>
      <c r="F35" s="382"/>
      <c r="G35" s="113">
        <f>SUM(G36:G38)</f>
        <v>5226</v>
      </c>
    </row>
    <row r="36" spans="1:7" x14ac:dyDescent="0.2">
      <c r="A36" s="111">
        <v>1</v>
      </c>
      <c r="B36" s="126" t="s">
        <v>215</v>
      </c>
      <c r="C36" s="524"/>
      <c r="D36" s="121"/>
      <c r="E36" s="108">
        <v>1150</v>
      </c>
      <c r="F36" s="596">
        <v>2275</v>
      </c>
      <c r="G36" s="108">
        <v>813</v>
      </c>
    </row>
    <row r="37" spans="1:7" x14ac:dyDescent="0.2">
      <c r="A37" s="111">
        <v>2</v>
      </c>
      <c r="B37" s="598" t="s">
        <v>288</v>
      </c>
      <c r="C37" s="525"/>
      <c r="D37" s="122"/>
      <c r="E37" s="108">
        <v>3500</v>
      </c>
      <c r="F37" s="596">
        <v>2275</v>
      </c>
      <c r="G37" s="108">
        <v>3263</v>
      </c>
    </row>
    <row r="38" spans="1:7" x14ac:dyDescent="0.2">
      <c r="A38" s="111">
        <v>3</v>
      </c>
      <c r="B38" s="126" t="s">
        <v>287</v>
      </c>
      <c r="C38" s="524"/>
      <c r="D38" s="121"/>
      <c r="E38" s="108">
        <v>1150</v>
      </c>
      <c r="F38" s="596">
        <v>2275</v>
      </c>
      <c r="G38" s="108">
        <v>1150</v>
      </c>
    </row>
    <row r="39" spans="1:7" x14ac:dyDescent="0.2">
      <c r="A39" s="116"/>
      <c r="B39" s="116"/>
      <c r="C39" s="526"/>
      <c r="D39" s="116"/>
      <c r="E39" s="117"/>
      <c r="F39" s="447"/>
      <c r="G39" s="117"/>
    </row>
    <row r="40" spans="1:7" ht="12.75" x14ac:dyDescent="0.2">
      <c r="A40" s="95" t="s">
        <v>1324</v>
      </c>
      <c r="C40" s="520"/>
      <c r="F40" s="445"/>
      <c r="G40" s="115"/>
    </row>
    <row r="41" spans="1:7" ht="12.75" x14ac:dyDescent="0.2">
      <c r="A41" s="95" t="s">
        <v>1325</v>
      </c>
      <c r="C41" s="595"/>
      <c r="F41" s="446"/>
      <c r="G41" s="118"/>
    </row>
    <row r="42" spans="1:7" ht="36" x14ac:dyDescent="0.2">
      <c r="A42" s="539" t="s">
        <v>1</v>
      </c>
      <c r="B42" s="539" t="s">
        <v>2</v>
      </c>
      <c r="C42" s="519" t="s">
        <v>26</v>
      </c>
      <c r="D42" s="52" t="s">
        <v>27</v>
      </c>
      <c r="E42" s="52" t="s">
        <v>28</v>
      </c>
      <c r="F42" s="424" t="s">
        <v>6</v>
      </c>
      <c r="G42" s="52" t="s">
        <v>1246</v>
      </c>
    </row>
    <row r="43" spans="1:7" x14ac:dyDescent="0.2">
      <c r="A43" s="1221" t="s">
        <v>300</v>
      </c>
      <c r="B43" s="1222"/>
      <c r="C43" s="382">
        <f>SUM(C44:C52)</f>
        <v>0</v>
      </c>
      <c r="D43" s="113">
        <f>SUM(D44:D52)</f>
        <v>0</v>
      </c>
      <c r="E43" s="113">
        <f>SUM(E44:E52)</f>
        <v>22703</v>
      </c>
      <c r="F43" s="382"/>
      <c r="G43" s="113">
        <f>SUM(G44:G52)</f>
        <v>31139</v>
      </c>
    </row>
    <row r="44" spans="1:7" x14ac:dyDescent="0.2">
      <c r="A44" s="1223">
        <v>1</v>
      </c>
      <c r="B44" s="1225" t="s">
        <v>216</v>
      </c>
      <c r="C44" s="523"/>
      <c r="D44" s="107"/>
      <c r="E44" s="108">
        <f>600+1000</f>
        <v>1600</v>
      </c>
      <c r="F44" s="596">
        <v>2314</v>
      </c>
      <c r="G44" s="119">
        <v>600</v>
      </c>
    </row>
    <row r="45" spans="1:7" ht="15" customHeight="1" x14ac:dyDescent="0.2">
      <c r="A45" s="1224"/>
      <c r="B45" s="1226"/>
      <c r="C45" s="523"/>
      <c r="D45" s="107"/>
      <c r="E45" s="108"/>
      <c r="F45" s="596">
        <v>2279</v>
      </c>
      <c r="G45" s="119">
        <v>1000</v>
      </c>
    </row>
    <row r="46" spans="1:7" x14ac:dyDescent="0.2">
      <c r="A46" s="111">
        <v>2</v>
      </c>
      <c r="B46" s="120" t="s">
        <v>286</v>
      </c>
      <c r="C46" s="523"/>
      <c r="D46" s="107"/>
      <c r="E46" s="108">
        <v>2774</v>
      </c>
      <c r="F46" s="596">
        <v>2275</v>
      </c>
      <c r="G46" s="119">
        <v>2774</v>
      </c>
    </row>
    <row r="47" spans="1:7" x14ac:dyDescent="0.2">
      <c r="A47" s="111">
        <v>3</v>
      </c>
      <c r="B47" s="120" t="s">
        <v>285</v>
      </c>
      <c r="C47" s="523"/>
      <c r="D47" s="107"/>
      <c r="E47" s="108">
        <f>5000+1500</f>
        <v>6500</v>
      </c>
      <c r="F47" s="596">
        <v>2275</v>
      </c>
      <c r="G47" s="119">
        <v>15000</v>
      </c>
    </row>
    <row r="48" spans="1:7" x14ac:dyDescent="0.2">
      <c r="A48" s="111">
        <v>4</v>
      </c>
      <c r="B48" s="120" t="s">
        <v>217</v>
      </c>
      <c r="C48" s="523"/>
      <c r="D48" s="107"/>
      <c r="E48" s="108">
        <v>5000</v>
      </c>
      <c r="F48" s="596">
        <v>2275</v>
      </c>
      <c r="G48" s="119">
        <v>5000</v>
      </c>
    </row>
    <row r="49" spans="1:7" x14ac:dyDescent="0.2">
      <c r="A49" s="111">
        <v>5</v>
      </c>
      <c r="B49" s="120" t="s">
        <v>284</v>
      </c>
      <c r="C49" s="523"/>
      <c r="D49" s="107"/>
      <c r="E49" s="108">
        <v>2884</v>
      </c>
      <c r="F49" s="596">
        <v>2275</v>
      </c>
      <c r="G49" s="119">
        <v>2820</v>
      </c>
    </row>
    <row r="50" spans="1:7" ht="24" x14ac:dyDescent="0.2">
      <c r="A50" s="111">
        <v>6</v>
      </c>
      <c r="B50" s="120" t="s">
        <v>283</v>
      </c>
      <c r="C50" s="523"/>
      <c r="D50" s="107"/>
      <c r="E50" s="108">
        <v>1500</v>
      </c>
      <c r="F50" s="596">
        <v>2231</v>
      </c>
      <c r="G50" s="119">
        <v>1500</v>
      </c>
    </row>
    <row r="51" spans="1:7" x14ac:dyDescent="0.2">
      <c r="A51" s="1223">
        <v>7</v>
      </c>
      <c r="B51" s="1225" t="s">
        <v>282</v>
      </c>
      <c r="C51" s="523"/>
      <c r="D51" s="107"/>
      <c r="E51" s="108">
        <v>1445</v>
      </c>
      <c r="F51" s="596">
        <v>2231</v>
      </c>
      <c r="G51" s="119">
        <v>1445</v>
      </c>
    </row>
    <row r="52" spans="1:7" x14ac:dyDescent="0.2">
      <c r="A52" s="1224"/>
      <c r="B52" s="1226"/>
      <c r="C52" s="523"/>
      <c r="D52" s="107"/>
      <c r="E52" s="108">
        <v>1000</v>
      </c>
      <c r="F52" s="596">
        <v>2314</v>
      </c>
      <c r="G52" s="108">
        <v>1000</v>
      </c>
    </row>
    <row r="53" spans="1:7" x14ac:dyDescent="0.2">
      <c r="A53" s="116"/>
      <c r="B53" s="116"/>
      <c r="C53" s="526"/>
      <c r="D53" s="116"/>
      <c r="E53" s="117"/>
      <c r="F53" s="447"/>
      <c r="G53" s="117"/>
    </row>
    <row r="54" spans="1:7" ht="12.75" x14ac:dyDescent="0.2">
      <c r="A54" s="95" t="s">
        <v>1326</v>
      </c>
      <c r="C54" s="520"/>
      <c r="F54" s="445"/>
      <c r="G54" s="115"/>
    </row>
    <row r="55" spans="1:7" ht="12.75" x14ac:dyDescent="0.2">
      <c r="A55" s="95" t="s">
        <v>1201</v>
      </c>
      <c r="C55" s="595"/>
      <c r="F55" s="446"/>
      <c r="G55" s="118"/>
    </row>
    <row r="56" spans="1:7" ht="36" x14ac:dyDescent="0.2">
      <c r="A56" s="539" t="s">
        <v>1</v>
      </c>
      <c r="B56" s="539" t="s">
        <v>2</v>
      </c>
      <c r="C56" s="519" t="s">
        <v>26</v>
      </c>
      <c r="D56" s="52" t="s">
        <v>27</v>
      </c>
      <c r="E56" s="52" t="s">
        <v>28</v>
      </c>
      <c r="F56" s="424" t="s">
        <v>6</v>
      </c>
      <c r="G56" s="52" t="s">
        <v>1246</v>
      </c>
    </row>
    <row r="57" spans="1:7" x14ac:dyDescent="0.2">
      <c r="A57" s="1221" t="s">
        <v>300</v>
      </c>
      <c r="B57" s="1222"/>
      <c r="C57" s="382">
        <f>SUM(C58:C60)</f>
        <v>0</v>
      </c>
      <c r="D57" s="113">
        <f>SUM(D58:D60)</f>
        <v>0</v>
      </c>
      <c r="E57" s="113">
        <f>SUM(E58:E60)</f>
        <v>5400</v>
      </c>
      <c r="F57" s="382"/>
      <c r="G57" s="113">
        <f>SUM(G58:G60)</f>
        <v>5400</v>
      </c>
    </row>
    <row r="58" spans="1:7" ht="24" x14ac:dyDescent="0.2">
      <c r="A58" s="111">
        <v>1</v>
      </c>
      <c r="B58" s="120" t="s">
        <v>1024</v>
      </c>
      <c r="C58" s="523"/>
      <c r="D58" s="107"/>
      <c r="E58" s="109">
        <v>4000</v>
      </c>
      <c r="F58" s="596">
        <v>2275</v>
      </c>
      <c r="G58" s="108">
        <v>4000</v>
      </c>
    </row>
    <row r="59" spans="1:7" ht="24" x14ac:dyDescent="0.2">
      <c r="A59" s="111">
        <v>2</v>
      </c>
      <c r="B59" s="120" t="s">
        <v>281</v>
      </c>
      <c r="C59" s="523"/>
      <c r="D59" s="107"/>
      <c r="E59" s="109">
        <v>1200</v>
      </c>
      <c r="F59" s="596">
        <v>2275</v>
      </c>
      <c r="G59" s="108">
        <v>1200</v>
      </c>
    </row>
    <row r="60" spans="1:7" x14ac:dyDescent="0.2">
      <c r="A60" s="111">
        <v>3</v>
      </c>
      <c r="B60" s="120" t="s">
        <v>218</v>
      </c>
      <c r="C60" s="527"/>
      <c r="D60" s="112"/>
      <c r="E60" s="109">
        <v>200</v>
      </c>
      <c r="F60" s="596">
        <v>2275</v>
      </c>
      <c r="G60" s="108">
        <v>200</v>
      </c>
    </row>
    <row r="61" spans="1:7" x14ac:dyDescent="0.2">
      <c r="A61" s="116"/>
      <c r="B61" s="116"/>
      <c r="C61" s="526"/>
      <c r="D61" s="116"/>
      <c r="E61" s="117"/>
      <c r="F61" s="447"/>
      <c r="G61" s="117"/>
    </row>
    <row r="62" spans="1:7" ht="12.75" x14ac:dyDescent="0.2">
      <c r="A62" s="95" t="s">
        <v>1327</v>
      </c>
      <c r="C62" s="520"/>
      <c r="F62" s="445"/>
      <c r="G62" s="115"/>
    </row>
    <row r="63" spans="1:7" ht="12.75" x14ac:dyDescent="0.2">
      <c r="A63" s="95" t="s">
        <v>1201</v>
      </c>
      <c r="C63" s="597"/>
      <c r="D63" s="114"/>
      <c r="E63" s="114"/>
      <c r="F63" s="448"/>
    </row>
    <row r="64" spans="1:7" ht="36" x14ac:dyDescent="0.2">
      <c r="A64" s="539" t="s">
        <v>1</v>
      </c>
      <c r="B64" s="539" t="s">
        <v>2</v>
      </c>
      <c r="C64" s="519" t="s">
        <v>26</v>
      </c>
      <c r="D64" s="52" t="s">
        <v>27</v>
      </c>
      <c r="E64" s="52" t="s">
        <v>28</v>
      </c>
      <c r="F64" s="424" t="s">
        <v>6</v>
      </c>
      <c r="G64" s="52" t="s">
        <v>1190</v>
      </c>
    </row>
    <row r="65" spans="1:7" x14ac:dyDescent="0.2">
      <c r="A65" s="1221" t="s">
        <v>300</v>
      </c>
      <c r="B65" s="1222"/>
      <c r="C65" s="113">
        <f>SUM(C66:C68)</f>
        <v>0</v>
      </c>
      <c r="D65" s="113">
        <f>SUM(D66:D68)</f>
        <v>0</v>
      </c>
      <c r="E65" s="113">
        <f>SUM(E66:E68)</f>
        <v>4865</v>
      </c>
      <c r="F65" s="382"/>
      <c r="G65" s="113">
        <f>SUM(G66:G68)</f>
        <v>4865</v>
      </c>
    </row>
    <row r="66" spans="1:7" x14ac:dyDescent="0.2">
      <c r="A66" s="111">
        <v>1</v>
      </c>
      <c r="B66" s="126" t="s">
        <v>219</v>
      </c>
      <c r="C66" s="110"/>
      <c r="D66" s="110"/>
      <c r="E66" s="108">
        <v>1200</v>
      </c>
      <c r="F66" s="596">
        <v>2231</v>
      </c>
      <c r="G66" s="108">
        <v>1200</v>
      </c>
    </row>
    <row r="67" spans="1:7" x14ac:dyDescent="0.2">
      <c r="A67" s="111">
        <v>2</v>
      </c>
      <c r="B67" s="126" t="s">
        <v>220</v>
      </c>
      <c r="C67" s="110"/>
      <c r="D67" s="110"/>
      <c r="E67" s="108">
        <v>800</v>
      </c>
      <c r="F67" s="596">
        <v>2235</v>
      </c>
      <c r="G67" s="108">
        <v>800</v>
      </c>
    </row>
    <row r="68" spans="1:7" x14ac:dyDescent="0.2">
      <c r="A68" s="111">
        <v>3</v>
      </c>
      <c r="B68" s="126" t="s">
        <v>221</v>
      </c>
      <c r="C68" s="110"/>
      <c r="D68" s="110"/>
      <c r="E68" s="108">
        <v>2865</v>
      </c>
      <c r="F68" s="596">
        <v>2279</v>
      </c>
      <c r="G68" s="108">
        <v>2865</v>
      </c>
    </row>
    <row r="69" spans="1:7" ht="12.75" x14ac:dyDescent="0.2">
      <c r="A69" s="102"/>
      <c r="B69" s="101"/>
      <c r="C69" s="100"/>
      <c r="D69" s="100"/>
      <c r="E69" s="99"/>
      <c r="F69" s="449"/>
      <c r="G69" s="99"/>
    </row>
    <row r="71" spans="1:7" x14ac:dyDescent="0.2">
      <c r="A71" s="97"/>
      <c r="B71" s="97"/>
      <c r="C71" s="97"/>
      <c r="D71" s="97"/>
      <c r="E71" s="97"/>
      <c r="F71" s="450"/>
      <c r="G71" s="97"/>
    </row>
    <row r="72" spans="1:7" x14ac:dyDescent="0.2">
      <c r="A72" s="97"/>
      <c r="B72" s="97"/>
      <c r="C72" s="97"/>
      <c r="D72" s="97"/>
      <c r="E72" s="97"/>
      <c r="F72" s="450"/>
      <c r="G72" s="97"/>
    </row>
    <row r="73" spans="1:7" x14ac:dyDescent="0.2">
      <c r="A73" s="97"/>
      <c r="B73" s="97"/>
      <c r="C73" s="97"/>
      <c r="D73" s="97"/>
      <c r="E73" s="97"/>
      <c r="F73" s="450"/>
      <c r="G73" s="97"/>
    </row>
    <row r="75" spans="1:7" ht="12.75" x14ac:dyDescent="0.2">
      <c r="A75" s="39"/>
      <c r="B75" s="39"/>
      <c r="C75" s="39"/>
      <c r="D75" s="39"/>
      <c r="E75" s="40"/>
      <c r="F75" s="451"/>
      <c r="G75" s="39"/>
    </row>
    <row r="76" spans="1:7" ht="12.75" x14ac:dyDescent="0.2">
      <c r="A76" s="39"/>
      <c r="B76" s="39"/>
      <c r="C76" s="39"/>
      <c r="D76" s="39"/>
      <c r="E76" s="40"/>
      <c r="F76" s="451"/>
      <c r="G76" s="39"/>
    </row>
    <row r="77" spans="1:7" ht="12.75" x14ac:dyDescent="0.2">
      <c r="A77" s="39"/>
      <c r="B77" s="39"/>
      <c r="C77" s="39"/>
      <c r="D77" s="39"/>
      <c r="E77" s="96"/>
      <c r="F77" s="46"/>
      <c r="G77" s="39"/>
    </row>
  </sheetData>
  <mergeCells count="20">
    <mergeCell ref="A57:B57"/>
    <mergeCell ref="A65:B65"/>
    <mergeCell ref="A15:B15"/>
    <mergeCell ref="A21:B21"/>
    <mergeCell ref="A29:B29"/>
    <mergeCell ref="A35:B35"/>
    <mergeCell ref="A51:A52"/>
    <mergeCell ref="B51:B52"/>
    <mergeCell ref="A43:B43"/>
    <mergeCell ref="A44:A45"/>
    <mergeCell ref="B44:B45"/>
    <mergeCell ref="A8:G8"/>
    <mergeCell ref="B1:G1"/>
    <mergeCell ref="A13:A14"/>
    <mergeCell ref="B13:B14"/>
    <mergeCell ref="C13:C14"/>
    <mergeCell ref="D13:D14"/>
    <mergeCell ref="E13:E14"/>
    <mergeCell ref="F13:F14"/>
    <mergeCell ref="G13:G14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</sheetPr>
  <dimension ref="A1:G67"/>
  <sheetViews>
    <sheetView zoomScaleNormal="100" workbookViewId="0">
      <selection activeCell="B2" sqref="B2"/>
    </sheetView>
  </sheetViews>
  <sheetFormatPr defaultRowHeight="12.75" x14ac:dyDescent="0.2"/>
  <cols>
    <col min="1" max="1" width="4.85546875" style="37" customWidth="1"/>
    <col min="2" max="2" width="62.5703125" style="37" customWidth="1"/>
    <col min="3" max="3" width="10" style="37" hidden="1" customWidth="1"/>
    <col min="4" max="4" width="10.140625" style="37" hidden="1" customWidth="1"/>
    <col min="5" max="5" width="11" style="37" hidden="1" customWidth="1"/>
    <col min="6" max="6" width="10.7109375" style="46" customWidth="1"/>
    <col min="7" max="7" width="9.5703125" style="46" customWidth="1"/>
    <col min="8" max="233" width="9.140625" style="37"/>
    <col min="234" max="234" width="4.85546875" style="37" customWidth="1"/>
    <col min="235" max="235" width="48.28515625" style="37" customWidth="1"/>
    <col min="236" max="236" width="12.85546875" style="37" customWidth="1"/>
    <col min="237" max="237" width="11.7109375" style="37" customWidth="1"/>
    <col min="238" max="238" width="11.140625" style="37" customWidth="1"/>
    <col min="239" max="239" width="11.42578125" style="37" customWidth="1"/>
    <col min="240" max="240" width="11.7109375" style="37" customWidth="1"/>
    <col min="241" max="241" width="45.42578125" style="37" customWidth="1"/>
    <col min="242" max="489" width="9.140625" style="37"/>
    <col min="490" max="490" width="4.85546875" style="37" customWidth="1"/>
    <col min="491" max="491" width="48.28515625" style="37" customWidth="1"/>
    <col min="492" max="492" width="12.85546875" style="37" customWidth="1"/>
    <col min="493" max="493" width="11.7109375" style="37" customWidth="1"/>
    <col min="494" max="494" width="11.140625" style="37" customWidth="1"/>
    <col min="495" max="495" width="11.42578125" style="37" customWidth="1"/>
    <col min="496" max="496" width="11.7109375" style="37" customWidth="1"/>
    <col min="497" max="497" width="45.42578125" style="37" customWidth="1"/>
    <col min="498" max="745" width="9.140625" style="37"/>
    <col min="746" max="746" width="4.85546875" style="37" customWidth="1"/>
    <col min="747" max="747" width="48.28515625" style="37" customWidth="1"/>
    <col min="748" max="748" width="12.85546875" style="37" customWidth="1"/>
    <col min="749" max="749" width="11.7109375" style="37" customWidth="1"/>
    <col min="750" max="750" width="11.140625" style="37" customWidth="1"/>
    <col min="751" max="751" width="11.42578125" style="37" customWidth="1"/>
    <col min="752" max="752" width="11.7109375" style="37" customWidth="1"/>
    <col min="753" max="753" width="45.42578125" style="37" customWidth="1"/>
    <col min="754" max="1001" width="9.140625" style="37"/>
    <col min="1002" max="1002" width="4.85546875" style="37" customWidth="1"/>
    <col min="1003" max="1003" width="48.28515625" style="37" customWidth="1"/>
    <col min="1004" max="1004" width="12.85546875" style="37" customWidth="1"/>
    <col min="1005" max="1005" width="11.7109375" style="37" customWidth="1"/>
    <col min="1006" max="1006" width="11.140625" style="37" customWidth="1"/>
    <col min="1007" max="1007" width="11.42578125" style="37" customWidth="1"/>
    <col min="1008" max="1008" width="11.7109375" style="37" customWidth="1"/>
    <col min="1009" max="1009" width="45.42578125" style="37" customWidth="1"/>
    <col min="1010" max="1257" width="9.140625" style="37"/>
    <col min="1258" max="1258" width="4.85546875" style="37" customWidth="1"/>
    <col min="1259" max="1259" width="48.28515625" style="37" customWidth="1"/>
    <col min="1260" max="1260" width="12.85546875" style="37" customWidth="1"/>
    <col min="1261" max="1261" width="11.7109375" style="37" customWidth="1"/>
    <col min="1262" max="1262" width="11.140625" style="37" customWidth="1"/>
    <col min="1263" max="1263" width="11.42578125" style="37" customWidth="1"/>
    <col min="1264" max="1264" width="11.7109375" style="37" customWidth="1"/>
    <col min="1265" max="1265" width="45.42578125" style="37" customWidth="1"/>
    <col min="1266" max="1513" width="9.140625" style="37"/>
    <col min="1514" max="1514" width="4.85546875" style="37" customWidth="1"/>
    <col min="1515" max="1515" width="48.28515625" style="37" customWidth="1"/>
    <col min="1516" max="1516" width="12.85546875" style="37" customWidth="1"/>
    <col min="1517" max="1517" width="11.7109375" style="37" customWidth="1"/>
    <col min="1518" max="1518" width="11.140625" style="37" customWidth="1"/>
    <col min="1519" max="1519" width="11.42578125" style="37" customWidth="1"/>
    <col min="1520" max="1520" width="11.7109375" style="37" customWidth="1"/>
    <col min="1521" max="1521" width="45.42578125" style="37" customWidth="1"/>
    <col min="1522" max="1769" width="9.140625" style="37"/>
    <col min="1770" max="1770" width="4.85546875" style="37" customWidth="1"/>
    <col min="1771" max="1771" width="48.28515625" style="37" customWidth="1"/>
    <col min="1772" max="1772" width="12.85546875" style="37" customWidth="1"/>
    <col min="1773" max="1773" width="11.7109375" style="37" customWidth="1"/>
    <col min="1774" max="1774" width="11.140625" style="37" customWidth="1"/>
    <col min="1775" max="1775" width="11.42578125" style="37" customWidth="1"/>
    <col min="1776" max="1776" width="11.7109375" style="37" customWidth="1"/>
    <col min="1777" max="1777" width="45.42578125" style="37" customWidth="1"/>
    <col min="1778" max="2025" width="9.140625" style="37"/>
    <col min="2026" max="2026" width="4.85546875" style="37" customWidth="1"/>
    <col min="2027" max="2027" width="48.28515625" style="37" customWidth="1"/>
    <col min="2028" max="2028" width="12.85546875" style="37" customWidth="1"/>
    <col min="2029" max="2029" width="11.7109375" style="37" customWidth="1"/>
    <col min="2030" max="2030" width="11.140625" style="37" customWidth="1"/>
    <col min="2031" max="2031" width="11.42578125" style="37" customWidth="1"/>
    <col min="2032" max="2032" width="11.7109375" style="37" customWidth="1"/>
    <col min="2033" max="2033" width="45.42578125" style="37" customWidth="1"/>
    <col min="2034" max="2281" width="9.140625" style="37"/>
    <col min="2282" max="2282" width="4.85546875" style="37" customWidth="1"/>
    <col min="2283" max="2283" width="48.28515625" style="37" customWidth="1"/>
    <col min="2284" max="2284" width="12.85546875" style="37" customWidth="1"/>
    <col min="2285" max="2285" width="11.7109375" style="37" customWidth="1"/>
    <col min="2286" max="2286" width="11.140625" style="37" customWidth="1"/>
    <col min="2287" max="2287" width="11.42578125" style="37" customWidth="1"/>
    <col min="2288" max="2288" width="11.7109375" style="37" customWidth="1"/>
    <col min="2289" max="2289" width="45.42578125" style="37" customWidth="1"/>
    <col min="2290" max="2537" width="9.140625" style="37"/>
    <col min="2538" max="2538" width="4.85546875" style="37" customWidth="1"/>
    <col min="2539" max="2539" width="48.28515625" style="37" customWidth="1"/>
    <col min="2540" max="2540" width="12.85546875" style="37" customWidth="1"/>
    <col min="2541" max="2541" width="11.7109375" style="37" customWidth="1"/>
    <col min="2542" max="2542" width="11.140625" style="37" customWidth="1"/>
    <col min="2543" max="2543" width="11.42578125" style="37" customWidth="1"/>
    <col min="2544" max="2544" width="11.7109375" style="37" customWidth="1"/>
    <col min="2545" max="2545" width="45.42578125" style="37" customWidth="1"/>
    <col min="2546" max="2793" width="9.140625" style="37"/>
    <col min="2794" max="2794" width="4.85546875" style="37" customWidth="1"/>
    <col min="2795" max="2795" width="48.28515625" style="37" customWidth="1"/>
    <col min="2796" max="2796" width="12.85546875" style="37" customWidth="1"/>
    <col min="2797" max="2797" width="11.7109375" style="37" customWidth="1"/>
    <col min="2798" max="2798" width="11.140625" style="37" customWidth="1"/>
    <col min="2799" max="2799" width="11.42578125" style="37" customWidth="1"/>
    <col min="2800" max="2800" width="11.7109375" style="37" customWidth="1"/>
    <col min="2801" max="2801" width="45.42578125" style="37" customWidth="1"/>
    <col min="2802" max="3049" width="9.140625" style="37"/>
    <col min="3050" max="3050" width="4.85546875" style="37" customWidth="1"/>
    <col min="3051" max="3051" width="48.28515625" style="37" customWidth="1"/>
    <col min="3052" max="3052" width="12.85546875" style="37" customWidth="1"/>
    <col min="3053" max="3053" width="11.7109375" style="37" customWidth="1"/>
    <col min="3054" max="3054" width="11.140625" style="37" customWidth="1"/>
    <col min="3055" max="3055" width="11.42578125" style="37" customWidth="1"/>
    <col min="3056" max="3056" width="11.7109375" style="37" customWidth="1"/>
    <col min="3057" max="3057" width="45.42578125" style="37" customWidth="1"/>
    <col min="3058" max="3305" width="9.140625" style="37"/>
    <col min="3306" max="3306" width="4.85546875" style="37" customWidth="1"/>
    <col min="3307" max="3307" width="48.28515625" style="37" customWidth="1"/>
    <col min="3308" max="3308" width="12.85546875" style="37" customWidth="1"/>
    <col min="3309" max="3309" width="11.7109375" style="37" customWidth="1"/>
    <col min="3310" max="3310" width="11.140625" style="37" customWidth="1"/>
    <col min="3311" max="3311" width="11.42578125" style="37" customWidth="1"/>
    <col min="3312" max="3312" width="11.7109375" style="37" customWidth="1"/>
    <col min="3313" max="3313" width="45.42578125" style="37" customWidth="1"/>
    <col min="3314" max="3561" width="9.140625" style="37"/>
    <col min="3562" max="3562" width="4.85546875" style="37" customWidth="1"/>
    <col min="3563" max="3563" width="48.28515625" style="37" customWidth="1"/>
    <col min="3564" max="3564" width="12.85546875" style="37" customWidth="1"/>
    <col min="3565" max="3565" width="11.7109375" style="37" customWidth="1"/>
    <col min="3566" max="3566" width="11.140625" style="37" customWidth="1"/>
    <col min="3567" max="3567" width="11.42578125" style="37" customWidth="1"/>
    <col min="3568" max="3568" width="11.7109375" style="37" customWidth="1"/>
    <col min="3569" max="3569" width="45.42578125" style="37" customWidth="1"/>
    <col min="3570" max="3817" width="9.140625" style="37"/>
    <col min="3818" max="3818" width="4.85546875" style="37" customWidth="1"/>
    <col min="3819" max="3819" width="48.28515625" style="37" customWidth="1"/>
    <col min="3820" max="3820" width="12.85546875" style="37" customWidth="1"/>
    <col min="3821" max="3821" width="11.7109375" style="37" customWidth="1"/>
    <col min="3822" max="3822" width="11.140625" style="37" customWidth="1"/>
    <col min="3823" max="3823" width="11.42578125" style="37" customWidth="1"/>
    <col min="3824" max="3824" width="11.7109375" style="37" customWidth="1"/>
    <col min="3825" max="3825" width="45.42578125" style="37" customWidth="1"/>
    <col min="3826" max="4073" width="9.140625" style="37"/>
    <col min="4074" max="4074" width="4.85546875" style="37" customWidth="1"/>
    <col min="4075" max="4075" width="48.28515625" style="37" customWidth="1"/>
    <col min="4076" max="4076" width="12.85546875" style="37" customWidth="1"/>
    <col min="4077" max="4077" width="11.7109375" style="37" customWidth="1"/>
    <col min="4078" max="4078" width="11.140625" style="37" customWidth="1"/>
    <col min="4079" max="4079" width="11.42578125" style="37" customWidth="1"/>
    <col min="4080" max="4080" width="11.7109375" style="37" customWidth="1"/>
    <col min="4081" max="4081" width="45.42578125" style="37" customWidth="1"/>
    <col min="4082" max="4329" width="9.140625" style="37"/>
    <col min="4330" max="4330" width="4.85546875" style="37" customWidth="1"/>
    <col min="4331" max="4331" width="48.28515625" style="37" customWidth="1"/>
    <col min="4332" max="4332" width="12.85546875" style="37" customWidth="1"/>
    <col min="4333" max="4333" width="11.7109375" style="37" customWidth="1"/>
    <col min="4334" max="4334" width="11.140625" style="37" customWidth="1"/>
    <col min="4335" max="4335" width="11.42578125" style="37" customWidth="1"/>
    <col min="4336" max="4336" width="11.7109375" style="37" customWidth="1"/>
    <col min="4337" max="4337" width="45.42578125" style="37" customWidth="1"/>
    <col min="4338" max="4585" width="9.140625" style="37"/>
    <col min="4586" max="4586" width="4.85546875" style="37" customWidth="1"/>
    <col min="4587" max="4587" width="48.28515625" style="37" customWidth="1"/>
    <col min="4588" max="4588" width="12.85546875" style="37" customWidth="1"/>
    <col min="4589" max="4589" width="11.7109375" style="37" customWidth="1"/>
    <col min="4590" max="4590" width="11.140625" style="37" customWidth="1"/>
    <col min="4591" max="4591" width="11.42578125" style="37" customWidth="1"/>
    <col min="4592" max="4592" width="11.7109375" style="37" customWidth="1"/>
    <col min="4593" max="4593" width="45.42578125" style="37" customWidth="1"/>
    <col min="4594" max="4841" width="9.140625" style="37"/>
    <col min="4842" max="4842" width="4.85546875" style="37" customWidth="1"/>
    <col min="4843" max="4843" width="48.28515625" style="37" customWidth="1"/>
    <col min="4844" max="4844" width="12.85546875" style="37" customWidth="1"/>
    <col min="4845" max="4845" width="11.7109375" style="37" customWidth="1"/>
    <col min="4846" max="4846" width="11.140625" style="37" customWidth="1"/>
    <col min="4847" max="4847" width="11.42578125" style="37" customWidth="1"/>
    <col min="4848" max="4848" width="11.7109375" style="37" customWidth="1"/>
    <col min="4849" max="4849" width="45.42578125" style="37" customWidth="1"/>
    <col min="4850" max="5097" width="9.140625" style="37"/>
    <col min="5098" max="5098" width="4.85546875" style="37" customWidth="1"/>
    <col min="5099" max="5099" width="48.28515625" style="37" customWidth="1"/>
    <col min="5100" max="5100" width="12.85546875" style="37" customWidth="1"/>
    <col min="5101" max="5101" width="11.7109375" style="37" customWidth="1"/>
    <col min="5102" max="5102" width="11.140625" style="37" customWidth="1"/>
    <col min="5103" max="5103" width="11.42578125" style="37" customWidth="1"/>
    <col min="5104" max="5104" width="11.7109375" style="37" customWidth="1"/>
    <col min="5105" max="5105" width="45.42578125" style="37" customWidth="1"/>
    <col min="5106" max="5353" width="9.140625" style="37"/>
    <col min="5354" max="5354" width="4.85546875" style="37" customWidth="1"/>
    <col min="5355" max="5355" width="48.28515625" style="37" customWidth="1"/>
    <col min="5356" max="5356" width="12.85546875" style="37" customWidth="1"/>
    <col min="5357" max="5357" width="11.7109375" style="37" customWidth="1"/>
    <col min="5358" max="5358" width="11.140625" style="37" customWidth="1"/>
    <col min="5359" max="5359" width="11.42578125" style="37" customWidth="1"/>
    <col min="5360" max="5360" width="11.7109375" style="37" customWidth="1"/>
    <col min="5361" max="5361" width="45.42578125" style="37" customWidth="1"/>
    <col min="5362" max="5609" width="9.140625" style="37"/>
    <col min="5610" max="5610" width="4.85546875" style="37" customWidth="1"/>
    <col min="5611" max="5611" width="48.28515625" style="37" customWidth="1"/>
    <col min="5612" max="5612" width="12.85546875" style="37" customWidth="1"/>
    <col min="5613" max="5613" width="11.7109375" style="37" customWidth="1"/>
    <col min="5614" max="5614" width="11.140625" style="37" customWidth="1"/>
    <col min="5615" max="5615" width="11.42578125" style="37" customWidth="1"/>
    <col min="5616" max="5616" width="11.7109375" style="37" customWidth="1"/>
    <col min="5617" max="5617" width="45.42578125" style="37" customWidth="1"/>
    <col min="5618" max="5865" width="9.140625" style="37"/>
    <col min="5866" max="5866" width="4.85546875" style="37" customWidth="1"/>
    <col min="5867" max="5867" width="48.28515625" style="37" customWidth="1"/>
    <col min="5868" max="5868" width="12.85546875" style="37" customWidth="1"/>
    <col min="5869" max="5869" width="11.7109375" style="37" customWidth="1"/>
    <col min="5870" max="5870" width="11.140625" style="37" customWidth="1"/>
    <col min="5871" max="5871" width="11.42578125" style="37" customWidth="1"/>
    <col min="5872" max="5872" width="11.7109375" style="37" customWidth="1"/>
    <col min="5873" max="5873" width="45.42578125" style="37" customWidth="1"/>
    <col min="5874" max="6121" width="9.140625" style="37"/>
    <col min="6122" max="6122" width="4.85546875" style="37" customWidth="1"/>
    <col min="6123" max="6123" width="48.28515625" style="37" customWidth="1"/>
    <col min="6124" max="6124" width="12.85546875" style="37" customWidth="1"/>
    <col min="6125" max="6125" width="11.7109375" style="37" customWidth="1"/>
    <col min="6126" max="6126" width="11.140625" style="37" customWidth="1"/>
    <col min="6127" max="6127" width="11.42578125" style="37" customWidth="1"/>
    <col min="6128" max="6128" width="11.7109375" style="37" customWidth="1"/>
    <col min="6129" max="6129" width="45.42578125" style="37" customWidth="1"/>
    <col min="6130" max="6377" width="9.140625" style="37"/>
    <col min="6378" max="6378" width="4.85546875" style="37" customWidth="1"/>
    <col min="6379" max="6379" width="48.28515625" style="37" customWidth="1"/>
    <col min="6380" max="6380" width="12.85546875" style="37" customWidth="1"/>
    <col min="6381" max="6381" width="11.7109375" style="37" customWidth="1"/>
    <col min="6382" max="6382" width="11.140625" style="37" customWidth="1"/>
    <col min="6383" max="6383" width="11.42578125" style="37" customWidth="1"/>
    <col min="6384" max="6384" width="11.7109375" style="37" customWidth="1"/>
    <col min="6385" max="6385" width="45.42578125" style="37" customWidth="1"/>
    <col min="6386" max="6633" width="9.140625" style="37"/>
    <col min="6634" max="6634" width="4.85546875" style="37" customWidth="1"/>
    <col min="6635" max="6635" width="48.28515625" style="37" customWidth="1"/>
    <col min="6636" max="6636" width="12.85546875" style="37" customWidth="1"/>
    <col min="6637" max="6637" width="11.7109375" style="37" customWidth="1"/>
    <col min="6638" max="6638" width="11.140625" style="37" customWidth="1"/>
    <col min="6639" max="6639" width="11.42578125" style="37" customWidth="1"/>
    <col min="6640" max="6640" width="11.7109375" style="37" customWidth="1"/>
    <col min="6641" max="6641" width="45.42578125" style="37" customWidth="1"/>
    <col min="6642" max="6889" width="9.140625" style="37"/>
    <col min="6890" max="6890" width="4.85546875" style="37" customWidth="1"/>
    <col min="6891" max="6891" width="48.28515625" style="37" customWidth="1"/>
    <col min="6892" max="6892" width="12.85546875" style="37" customWidth="1"/>
    <col min="6893" max="6893" width="11.7109375" style="37" customWidth="1"/>
    <col min="6894" max="6894" width="11.140625" style="37" customWidth="1"/>
    <col min="6895" max="6895" width="11.42578125" style="37" customWidth="1"/>
    <col min="6896" max="6896" width="11.7109375" style="37" customWidth="1"/>
    <col min="6897" max="6897" width="45.42578125" style="37" customWidth="1"/>
    <col min="6898" max="7145" width="9.140625" style="37"/>
    <col min="7146" max="7146" width="4.85546875" style="37" customWidth="1"/>
    <col min="7147" max="7147" width="48.28515625" style="37" customWidth="1"/>
    <col min="7148" max="7148" width="12.85546875" style="37" customWidth="1"/>
    <col min="7149" max="7149" width="11.7109375" style="37" customWidth="1"/>
    <col min="7150" max="7150" width="11.140625" style="37" customWidth="1"/>
    <col min="7151" max="7151" width="11.42578125" style="37" customWidth="1"/>
    <col min="7152" max="7152" width="11.7109375" style="37" customWidth="1"/>
    <col min="7153" max="7153" width="45.42578125" style="37" customWidth="1"/>
    <col min="7154" max="7401" width="9.140625" style="37"/>
    <col min="7402" max="7402" width="4.85546875" style="37" customWidth="1"/>
    <col min="7403" max="7403" width="48.28515625" style="37" customWidth="1"/>
    <col min="7404" max="7404" width="12.85546875" style="37" customWidth="1"/>
    <col min="7405" max="7405" width="11.7109375" style="37" customWidth="1"/>
    <col min="7406" max="7406" width="11.140625" style="37" customWidth="1"/>
    <col min="7407" max="7407" width="11.42578125" style="37" customWidth="1"/>
    <col min="7408" max="7408" width="11.7109375" style="37" customWidth="1"/>
    <col min="7409" max="7409" width="45.42578125" style="37" customWidth="1"/>
    <col min="7410" max="7657" width="9.140625" style="37"/>
    <col min="7658" max="7658" width="4.85546875" style="37" customWidth="1"/>
    <col min="7659" max="7659" width="48.28515625" style="37" customWidth="1"/>
    <col min="7660" max="7660" width="12.85546875" style="37" customWidth="1"/>
    <col min="7661" max="7661" width="11.7109375" style="37" customWidth="1"/>
    <col min="7662" max="7662" width="11.140625" style="37" customWidth="1"/>
    <col min="7663" max="7663" width="11.42578125" style="37" customWidth="1"/>
    <col min="7664" max="7664" width="11.7109375" style="37" customWidth="1"/>
    <col min="7665" max="7665" width="45.42578125" style="37" customWidth="1"/>
    <col min="7666" max="7913" width="9.140625" style="37"/>
    <col min="7914" max="7914" width="4.85546875" style="37" customWidth="1"/>
    <col min="7915" max="7915" width="48.28515625" style="37" customWidth="1"/>
    <col min="7916" max="7916" width="12.85546875" style="37" customWidth="1"/>
    <col min="7917" max="7917" width="11.7109375" style="37" customWidth="1"/>
    <col min="7918" max="7918" width="11.140625" style="37" customWidth="1"/>
    <col min="7919" max="7919" width="11.42578125" style="37" customWidth="1"/>
    <col min="7920" max="7920" width="11.7109375" style="37" customWidth="1"/>
    <col min="7921" max="7921" width="45.42578125" style="37" customWidth="1"/>
    <col min="7922" max="8169" width="9.140625" style="37"/>
    <col min="8170" max="8170" width="4.85546875" style="37" customWidth="1"/>
    <col min="8171" max="8171" width="48.28515625" style="37" customWidth="1"/>
    <col min="8172" max="8172" width="12.85546875" style="37" customWidth="1"/>
    <col min="8173" max="8173" width="11.7109375" style="37" customWidth="1"/>
    <col min="8174" max="8174" width="11.140625" style="37" customWidth="1"/>
    <col min="8175" max="8175" width="11.42578125" style="37" customWidth="1"/>
    <col min="8176" max="8176" width="11.7109375" style="37" customWidth="1"/>
    <col min="8177" max="8177" width="45.42578125" style="37" customWidth="1"/>
    <col min="8178" max="8425" width="9.140625" style="37"/>
    <col min="8426" max="8426" width="4.85546875" style="37" customWidth="1"/>
    <col min="8427" max="8427" width="48.28515625" style="37" customWidth="1"/>
    <col min="8428" max="8428" width="12.85546875" style="37" customWidth="1"/>
    <col min="8429" max="8429" width="11.7109375" style="37" customWidth="1"/>
    <col min="8430" max="8430" width="11.140625" style="37" customWidth="1"/>
    <col min="8431" max="8431" width="11.42578125" style="37" customWidth="1"/>
    <col min="8432" max="8432" width="11.7109375" style="37" customWidth="1"/>
    <col min="8433" max="8433" width="45.42578125" style="37" customWidth="1"/>
    <col min="8434" max="8681" width="9.140625" style="37"/>
    <col min="8682" max="8682" width="4.85546875" style="37" customWidth="1"/>
    <col min="8683" max="8683" width="48.28515625" style="37" customWidth="1"/>
    <col min="8684" max="8684" width="12.85546875" style="37" customWidth="1"/>
    <col min="8685" max="8685" width="11.7109375" style="37" customWidth="1"/>
    <col min="8686" max="8686" width="11.140625" style="37" customWidth="1"/>
    <col min="8687" max="8687" width="11.42578125" style="37" customWidth="1"/>
    <col min="8688" max="8688" width="11.7109375" style="37" customWidth="1"/>
    <col min="8689" max="8689" width="45.42578125" style="37" customWidth="1"/>
    <col min="8690" max="8937" width="9.140625" style="37"/>
    <col min="8938" max="8938" width="4.85546875" style="37" customWidth="1"/>
    <col min="8939" max="8939" width="48.28515625" style="37" customWidth="1"/>
    <col min="8940" max="8940" width="12.85546875" style="37" customWidth="1"/>
    <col min="8941" max="8941" width="11.7109375" style="37" customWidth="1"/>
    <col min="8942" max="8942" width="11.140625" style="37" customWidth="1"/>
    <col min="8943" max="8943" width="11.42578125" style="37" customWidth="1"/>
    <col min="8944" max="8944" width="11.7109375" style="37" customWidth="1"/>
    <col min="8945" max="8945" width="45.42578125" style="37" customWidth="1"/>
    <col min="8946" max="9193" width="9.140625" style="37"/>
    <col min="9194" max="9194" width="4.85546875" style="37" customWidth="1"/>
    <col min="9195" max="9195" width="48.28515625" style="37" customWidth="1"/>
    <col min="9196" max="9196" width="12.85546875" style="37" customWidth="1"/>
    <col min="9197" max="9197" width="11.7109375" style="37" customWidth="1"/>
    <col min="9198" max="9198" width="11.140625" style="37" customWidth="1"/>
    <col min="9199" max="9199" width="11.42578125" style="37" customWidth="1"/>
    <col min="9200" max="9200" width="11.7109375" style="37" customWidth="1"/>
    <col min="9201" max="9201" width="45.42578125" style="37" customWidth="1"/>
    <col min="9202" max="9449" width="9.140625" style="37"/>
    <col min="9450" max="9450" width="4.85546875" style="37" customWidth="1"/>
    <col min="9451" max="9451" width="48.28515625" style="37" customWidth="1"/>
    <col min="9452" max="9452" width="12.85546875" style="37" customWidth="1"/>
    <col min="9453" max="9453" width="11.7109375" style="37" customWidth="1"/>
    <col min="9454" max="9454" width="11.140625" style="37" customWidth="1"/>
    <col min="9455" max="9455" width="11.42578125" style="37" customWidth="1"/>
    <col min="9456" max="9456" width="11.7109375" style="37" customWidth="1"/>
    <col min="9457" max="9457" width="45.42578125" style="37" customWidth="1"/>
    <col min="9458" max="9705" width="9.140625" style="37"/>
    <col min="9706" max="9706" width="4.85546875" style="37" customWidth="1"/>
    <col min="9707" max="9707" width="48.28515625" style="37" customWidth="1"/>
    <col min="9708" max="9708" width="12.85546875" style="37" customWidth="1"/>
    <col min="9709" max="9709" width="11.7109375" style="37" customWidth="1"/>
    <col min="9710" max="9710" width="11.140625" style="37" customWidth="1"/>
    <col min="9711" max="9711" width="11.42578125" style="37" customWidth="1"/>
    <col min="9712" max="9712" width="11.7109375" style="37" customWidth="1"/>
    <col min="9713" max="9713" width="45.42578125" style="37" customWidth="1"/>
    <col min="9714" max="9961" width="9.140625" style="37"/>
    <col min="9962" max="9962" width="4.85546875" style="37" customWidth="1"/>
    <col min="9963" max="9963" width="48.28515625" style="37" customWidth="1"/>
    <col min="9964" max="9964" width="12.85546875" style="37" customWidth="1"/>
    <col min="9965" max="9965" width="11.7109375" style="37" customWidth="1"/>
    <col min="9966" max="9966" width="11.140625" style="37" customWidth="1"/>
    <col min="9967" max="9967" width="11.42578125" style="37" customWidth="1"/>
    <col min="9968" max="9968" width="11.7109375" style="37" customWidth="1"/>
    <col min="9969" max="9969" width="45.42578125" style="37" customWidth="1"/>
    <col min="9970" max="10217" width="9.140625" style="37"/>
    <col min="10218" max="10218" width="4.85546875" style="37" customWidth="1"/>
    <col min="10219" max="10219" width="48.28515625" style="37" customWidth="1"/>
    <col min="10220" max="10220" width="12.85546875" style="37" customWidth="1"/>
    <col min="10221" max="10221" width="11.7109375" style="37" customWidth="1"/>
    <col min="10222" max="10222" width="11.140625" style="37" customWidth="1"/>
    <col min="10223" max="10223" width="11.42578125" style="37" customWidth="1"/>
    <col min="10224" max="10224" width="11.7109375" style="37" customWidth="1"/>
    <col min="10225" max="10225" width="45.42578125" style="37" customWidth="1"/>
    <col min="10226" max="10473" width="9.140625" style="37"/>
    <col min="10474" max="10474" width="4.85546875" style="37" customWidth="1"/>
    <col min="10475" max="10475" width="48.28515625" style="37" customWidth="1"/>
    <col min="10476" max="10476" width="12.85546875" style="37" customWidth="1"/>
    <col min="10477" max="10477" width="11.7109375" style="37" customWidth="1"/>
    <col min="10478" max="10478" width="11.140625" style="37" customWidth="1"/>
    <col min="10479" max="10479" width="11.42578125" style="37" customWidth="1"/>
    <col min="10480" max="10480" width="11.7109375" style="37" customWidth="1"/>
    <col min="10481" max="10481" width="45.42578125" style="37" customWidth="1"/>
    <col min="10482" max="10729" width="9.140625" style="37"/>
    <col min="10730" max="10730" width="4.85546875" style="37" customWidth="1"/>
    <col min="10731" max="10731" width="48.28515625" style="37" customWidth="1"/>
    <col min="10732" max="10732" width="12.85546875" style="37" customWidth="1"/>
    <col min="10733" max="10733" width="11.7109375" style="37" customWidth="1"/>
    <col min="10734" max="10734" width="11.140625" style="37" customWidth="1"/>
    <col min="10735" max="10735" width="11.42578125" style="37" customWidth="1"/>
    <col min="10736" max="10736" width="11.7109375" style="37" customWidth="1"/>
    <col min="10737" max="10737" width="45.42578125" style="37" customWidth="1"/>
    <col min="10738" max="10985" width="9.140625" style="37"/>
    <col min="10986" max="10986" width="4.85546875" style="37" customWidth="1"/>
    <col min="10987" max="10987" width="48.28515625" style="37" customWidth="1"/>
    <col min="10988" max="10988" width="12.85546875" style="37" customWidth="1"/>
    <col min="10989" max="10989" width="11.7109375" style="37" customWidth="1"/>
    <col min="10990" max="10990" width="11.140625" style="37" customWidth="1"/>
    <col min="10991" max="10991" width="11.42578125" style="37" customWidth="1"/>
    <col min="10992" max="10992" width="11.7109375" style="37" customWidth="1"/>
    <col min="10993" max="10993" width="45.42578125" style="37" customWidth="1"/>
    <col min="10994" max="11241" width="9.140625" style="37"/>
    <col min="11242" max="11242" width="4.85546875" style="37" customWidth="1"/>
    <col min="11243" max="11243" width="48.28515625" style="37" customWidth="1"/>
    <col min="11244" max="11244" width="12.85546875" style="37" customWidth="1"/>
    <col min="11245" max="11245" width="11.7109375" style="37" customWidth="1"/>
    <col min="11246" max="11246" width="11.140625" style="37" customWidth="1"/>
    <col min="11247" max="11247" width="11.42578125" style="37" customWidth="1"/>
    <col min="11248" max="11248" width="11.7109375" style="37" customWidth="1"/>
    <col min="11249" max="11249" width="45.42578125" style="37" customWidth="1"/>
    <col min="11250" max="11497" width="9.140625" style="37"/>
    <col min="11498" max="11498" width="4.85546875" style="37" customWidth="1"/>
    <col min="11499" max="11499" width="48.28515625" style="37" customWidth="1"/>
    <col min="11500" max="11500" width="12.85546875" style="37" customWidth="1"/>
    <col min="11501" max="11501" width="11.7109375" style="37" customWidth="1"/>
    <col min="11502" max="11502" width="11.140625" style="37" customWidth="1"/>
    <col min="11503" max="11503" width="11.42578125" style="37" customWidth="1"/>
    <col min="11504" max="11504" width="11.7109375" style="37" customWidth="1"/>
    <col min="11505" max="11505" width="45.42578125" style="37" customWidth="1"/>
    <col min="11506" max="11753" width="9.140625" style="37"/>
    <col min="11754" max="11754" width="4.85546875" style="37" customWidth="1"/>
    <col min="11755" max="11755" width="48.28515625" style="37" customWidth="1"/>
    <col min="11756" max="11756" width="12.85546875" style="37" customWidth="1"/>
    <col min="11757" max="11757" width="11.7109375" style="37" customWidth="1"/>
    <col min="11758" max="11758" width="11.140625" style="37" customWidth="1"/>
    <col min="11759" max="11759" width="11.42578125" style="37" customWidth="1"/>
    <col min="11760" max="11760" width="11.7109375" style="37" customWidth="1"/>
    <col min="11761" max="11761" width="45.42578125" style="37" customWidth="1"/>
    <col min="11762" max="12009" width="9.140625" style="37"/>
    <col min="12010" max="12010" width="4.85546875" style="37" customWidth="1"/>
    <col min="12011" max="12011" width="48.28515625" style="37" customWidth="1"/>
    <col min="12012" max="12012" width="12.85546875" style="37" customWidth="1"/>
    <col min="12013" max="12013" width="11.7109375" style="37" customWidth="1"/>
    <col min="12014" max="12014" width="11.140625" style="37" customWidth="1"/>
    <col min="12015" max="12015" width="11.42578125" style="37" customWidth="1"/>
    <col min="12016" max="12016" width="11.7109375" style="37" customWidth="1"/>
    <col min="12017" max="12017" width="45.42578125" style="37" customWidth="1"/>
    <col min="12018" max="12265" width="9.140625" style="37"/>
    <col min="12266" max="12266" width="4.85546875" style="37" customWidth="1"/>
    <col min="12267" max="12267" width="48.28515625" style="37" customWidth="1"/>
    <col min="12268" max="12268" width="12.85546875" style="37" customWidth="1"/>
    <col min="12269" max="12269" width="11.7109375" style="37" customWidth="1"/>
    <col min="12270" max="12270" width="11.140625" style="37" customWidth="1"/>
    <col min="12271" max="12271" width="11.42578125" style="37" customWidth="1"/>
    <col min="12272" max="12272" width="11.7109375" style="37" customWidth="1"/>
    <col min="12273" max="12273" width="45.42578125" style="37" customWidth="1"/>
    <col min="12274" max="12521" width="9.140625" style="37"/>
    <col min="12522" max="12522" width="4.85546875" style="37" customWidth="1"/>
    <col min="12523" max="12523" width="48.28515625" style="37" customWidth="1"/>
    <col min="12524" max="12524" width="12.85546875" style="37" customWidth="1"/>
    <col min="12525" max="12525" width="11.7109375" style="37" customWidth="1"/>
    <col min="12526" max="12526" width="11.140625" style="37" customWidth="1"/>
    <col min="12527" max="12527" width="11.42578125" style="37" customWidth="1"/>
    <col min="12528" max="12528" width="11.7109375" style="37" customWidth="1"/>
    <col min="12529" max="12529" width="45.42578125" style="37" customWidth="1"/>
    <col min="12530" max="12777" width="9.140625" style="37"/>
    <col min="12778" max="12778" width="4.85546875" style="37" customWidth="1"/>
    <col min="12779" max="12779" width="48.28515625" style="37" customWidth="1"/>
    <col min="12780" max="12780" width="12.85546875" style="37" customWidth="1"/>
    <col min="12781" max="12781" width="11.7109375" style="37" customWidth="1"/>
    <col min="12782" max="12782" width="11.140625" style="37" customWidth="1"/>
    <col min="12783" max="12783" width="11.42578125" style="37" customWidth="1"/>
    <col min="12784" max="12784" width="11.7109375" style="37" customWidth="1"/>
    <col min="12785" max="12785" width="45.42578125" style="37" customWidth="1"/>
    <col min="12786" max="13033" width="9.140625" style="37"/>
    <col min="13034" max="13034" width="4.85546875" style="37" customWidth="1"/>
    <col min="13035" max="13035" width="48.28515625" style="37" customWidth="1"/>
    <col min="13036" max="13036" width="12.85546875" style="37" customWidth="1"/>
    <col min="13037" max="13037" width="11.7109375" style="37" customWidth="1"/>
    <col min="13038" max="13038" width="11.140625" style="37" customWidth="1"/>
    <col min="13039" max="13039" width="11.42578125" style="37" customWidth="1"/>
    <col min="13040" max="13040" width="11.7109375" style="37" customWidth="1"/>
    <col min="13041" max="13041" width="45.42578125" style="37" customWidth="1"/>
    <col min="13042" max="13289" width="9.140625" style="37"/>
    <col min="13290" max="13290" width="4.85546875" style="37" customWidth="1"/>
    <col min="13291" max="13291" width="48.28515625" style="37" customWidth="1"/>
    <col min="13292" max="13292" width="12.85546875" style="37" customWidth="1"/>
    <col min="13293" max="13293" width="11.7109375" style="37" customWidth="1"/>
    <col min="13294" max="13294" width="11.140625" style="37" customWidth="1"/>
    <col min="13295" max="13295" width="11.42578125" style="37" customWidth="1"/>
    <col min="13296" max="13296" width="11.7109375" style="37" customWidth="1"/>
    <col min="13297" max="13297" width="45.42578125" style="37" customWidth="1"/>
    <col min="13298" max="13545" width="9.140625" style="37"/>
    <col min="13546" max="13546" width="4.85546875" style="37" customWidth="1"/>
    <col min="13547" max="13547" width="48.28515625" style="37" customWidth="1"/>
    <col min="13548" max="13548" width="12.85546875" style="37" customWidth="1"/>
    <col min="13549" max="13549" width="11.7109375" style="37" customWidth="1"/>
    <col min="13550" max="13550" width="11.140625" style="37" customWidth="1"/>
    <col min="13551" max="13551" width="11.42578125" style="37" customWidth="1"/>
    <col min="13552" max="13552" width="11.7109375" style="37" customWidth="1"/>
    <col min="13553" max="13553" width="45.42578125" style="37" customWidth="1"/>
    <col min="13554" max="13801" width="9.140625" style="37"/>
    <col min="13802" max="13802" width="4.85546875" style="37" customWidth="1"/>
    <col min="13803" max="13803" width="48.28515625" style="37" customWidth="1"/>
    <col min="13804" max="13804" width="12.85546875" style="37" customWidth="1"/>
    <col min="13805" max="13805" width="11.7109375" style="37" customWidth="1"/>
    <col min="13806" max="13806" width="11.140625" style="37" customWidth="1"/>
    <col min="13807" max="13807" width="11.42578125" style="37" customWidth="1"/>
    <col min="13808" max="13808" width="11.7109375" style="37" customWidth="1"/>
    <col min="13809" max="13809" width="45.42578125" style="37" customWidth="1"/>
    <col min="13810" max="14057" width="9.140625" style="37"/>
    <col min="14058" max="14058" width="4.85546875" style="37" customWidth="1"/>
    <col min="14059" max="14059" width="48.28515625" style="37" customWidth="1"/>
    <col min="14060" max="14060" width="12.85546875" style="37" customWidth="1"/>
    <col min="14061" max="14061" width="11.7109375" style="37" customWidth="1"/>
    <col min="14062" max="14062" width="11.140625" style="37" customWidth="1"/>
    <col min="14063" max="14063" width="11.42578125" style="37" customWidth="1"/>
    <col min="14064" max="14064" width="11.7109375" style="37" customWidth="1"/>
    <col min="14065" max="14065" width="45.42578125" style="37" customWidth="1"/>
    <col min="14066" max="14313" width="9.140625" style="37"/>
    <col min="14314" max="14314" width="4.85546875" style="37" customWidth="1"/>
    <col min="14315" max="14315" width="48.28515625" style="37" customWidth="1"/>
    <col min="14316" max="14316" width="12.85546875" style="37" customWidth="1"/>
    <col min="14317" max="14317" width="11.7109375" style="37" customWidth="1"/>
    <col min="14318" max="14318" width="11.140625" style="37" customWidth="1"/>
    <col min="14319" max="14319" width="11.42578125" style="37" customWidth="1"/>
    <col min="14320" max="14320" width="11.7109375" style="37" customWidth="1"/>
    <col min="14321" max="14321" width="45.42578125" style="37" customWidth="1"/>
    <col min="14322" max="14569" width="9.140625" style="37"/>
    <col min="14570" max="14570" width="4.85546875" style="37" customWidth="1"/>
    <col min="14571" max="14571" width="48.28515625" style="37" customWidth="1"/>
    <col min="14572" max="14572" width="12.85546875" style="37" customWidth="1"/>
    <col min="14573" max="14573" width="11.7109375" style="37" customWidth="1"/>
    <col min="14574" max="14574" width="11.140625" style="37" customWidth="1"/>
    <col min="14575" max="14575" width="11.42578125" style="37" customWidth="1"/>
    <col min="14576" max="14576" width="11.7109375" style="37" customWidth="1"/>
    <col min="14577" max="14577" width="45.42578125" style="37" customWidth="1"/>
    <col min="14578" max="14825" width="9.140625" style="37"/>
    <col min="14826" max="14826" width="4.85546875" style="37" customWidth="1"/>
    <col min="14827" max="14827" width="48.28515625" style="37" customWidth="1"/>
    <col min="14828" max="14828" width="12.85546875" style="37" customWidth="1"/>
    <col min="14829" max="14829" width="11.7109375" style="37" customWidth="1"/>
    <col min="14830" max="14830" width="11.140625" style="37" customWidth="1"/>
    <col min="14831" max="14831" width="11.42578125" style="37" customWidth="1"/>
    <col min="14832" max="14832" width="11.7109375" style="37" customWidth="1"/>
    <col min="14833" max="14833" width="45.42578125" style="37" customWidth="1"/>
    <col min="14834" max="15081" width="9.140625" style="37"/>
    <col min="15082" max="15082" width="4.85546875" style="37" customWidth="1"/>
    <col min="15083" max="15083" width="48.28515625" style="37" customWidth="1"/>
    <col min="15084" max="15084" width="12.85546875" style="37" customWidth="1"/>
    <col min="15085" max="15085" width="11.7109375" style="37" customWidth="1"/>
    <col min="15086" max="15086" width="11.140625" style="37" customWidth="1"/>
    <col min="15087" max="15087" width="11.42578125" style="37" customWidth="1"/>
    <col min="15088" max="15088" width="11.7109375" style="37" customWidth="1"/>
    <col min="15089" max="15089" width="45.42578125" style="37" customWidth="1"/>
    <col min="15090" max="15337" width="9.140625" style="37"/>
    <col min="15338" max="15338" width="4.85546875" style="37" customWidth="1"/>
    <col min="15339" max="15339" width="48.28515625" style="37" customWidth="1"/>
    <col min="15340" max="15340" width="12.85546875" style="37" customWidth="1"/>
    <col min="15341" max="15341" width="11.7109375" style="37" customWidth="1"/>
    <col min="15342" max="15342" width="11.140625" style="37" customWidth="1"/>
    <col min="15343" max="15343" width="11.42578125" style="37" customWidth="1"/>
    <col min="15344" max="15344" width="11.7109375" style="37" customWidth="1"/>
    <col min="15345" max="15345" width="45.42578125" style="37" customWidth="1"/>
    <col min="15346" max="15593" width="9.140625" style="37"/>
    <col min="15594" max="15594" width="4.85546875" style="37" customWidth="1"/>
    <col min="15595" max="15595" width="48.28515625" style="37" customWidth="1"/>
    <col min="15596" max="15596" width="12.85546875" style="37" customWidth="1"/>
    <col min="15597" max="15597" width="11.7109375" style="37" customWidth="1"/>
    <col min="15598" max="15598" width="11.140625" style="37" customWidth="1"/>
    <col min="15599" max="15599" width="11.42578125" style="37" customWidth="1"/>
    <col min="15600" max="15600" width="11.7109375" style="37" customWidth="1"/>
    <col min="15601" max="15601" width="45.42578125" style="37" customWidth="1"/>
    <col min="15602" max="15849" width="9.140625" style="37"/>
    <col min="15850" max="15850" width="4.85546875" style="37" customWidth="1"/>
    <col min="15851" max="15851" width="48.28515625" style="37" customWidth="1"/>
    <col min="15852" max="15852" width="12.85546875" style="37" customWidth="1"/>
    <col min="15853" max="15853" width="11.7109375" style="37" customWidth="1"/>
    <col min="15854" max="15854" width="11.140625" style="37" customWidth="1"/>
    <col min="15855" max="15855" width="11.42578125" style="37" customWidth="1"/>
    <col min="15856" max="15856" width="11.7109375" style="37" customWidth="1"/>
    <col min="15857" max="15857" width="45.42578125" style="37" customWidth="1"/>
    <col min="15858" max="16105" width="9.140625" style="37"/>
    <col min="16106" max="16106" width="4.85546875" style="37" customWidth="1"/>
    <col min="16107" max="16107" width="48.28515625" style="37" customWidth="1"/>
    <col min="16108" max="16108" width="12.85546875" style="37" customWidth="1"/>
    <col min="16109" max="16109" width="11.7109375" style="37" customWidth="1"/>
    <col min="16110" max="16110" width="11.140625" style="37" customWidth="1"/>
    <col min="16111" max="16111" width="11.42578125" style="37" customWidth="1"/>
    <col min="16112" max="16112" width="11.7109375" style="37" customWidth="1"/>
    <col min="16113" max="16113" width="45.42578125" style="37" customWidth="1"/>
    <col min="16114" max="16384" width="9.140625" style="37"/>
  </cols>
  <sheetData>
    <row r="1" spans="1:7" ht="16.5" x14ac:dyDescent="0.25">
      <c r="B1" s="1034" t="s">
        <v>1335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s="95" customFormat="1" ht="12" x14ac:dyDescent="0.2">
      <c r="A6" s="35" t="s">
        <v>1297</v>
      </c>
      <c r="B6" s="36"/>
      <c r="C6" s="974"/>
      <c r="D6" s="974"/>
      <c r="E6" s="974"/>
      <c r="F6" s="974"/>
      <c r="G6" s="974"/>
    </row>
    <row r="7" spans="1:7" x14ac:dyDescent="0.2">
      <c r="A7" s="1" t="s">
        <v>280</v>
      </c>
      <c r="B7" s="36"/>
      <c r="C7" s="918"/>
      <c r="D7" s="918"/>
      <c r="E7" s="918"/>
      <c r="F7" s="38"/>
      <c r="G7" s="38"/>
    </row>
    <row r="8" spans="1:7" ht="15.75" x14ac:dyDescent="0.25">
      <c r="A8" s="1198" t="s">
        <v>291</v>
      </c>
      <c r="B8" s="1198"/>
      <c r="C8" s="1198"/>
      <c r="D8" s="1198"/>
      <c r="E8" s="1198"/>
      <c r="F8" s="1198"/>
      <c r="G8" s="1198"/>
    </row>
    <row r="9" spans="1:7" ht="15.75" x14ac:dyDescent="0.25">
      <c r="A9" s="917"/>
      <c r="B9" s="917"/>
      <c r="C9" s="917"/>
      <c r="D9" s="917"/>
      <c r="E9" s="917"/>
      <c r="F9" s="917"/>
      <c r="G9" s="917"/>
    </row>
    <row r="10" spans="1:7" ht="15.75" x14ac:dyDescent="0.25">
      <c r="A10" s="35" t="s">
        <v>1329</v>
      </c>
      <c r="B10" s="35"/>
      <c r="C10" s="585"/>
      <c r="D10" s="35"/>
      <c r="E10" s="35"/>
      <c r="F10" s="135"/>
      <c r="G10" s="135"/>
    </row>
    <row r="11" spans="1:7" x14ac:dyDescent="0.2">
      <c r="A11" s="39" t="s">
        <v>1301</v>
      </c>
      <c r="B11" s="39"/>
      <c r="C11" s="40"/>
      <c r="D11" s="39"/>
      <c r="E11" s="39"/>
      <c r="F11" s="130"/>
      <c r="G11" s="41"/>
    </row>
    <row r="12" spans="1:7" x14ac:dyDescent="0.2">
      <c r="A12" s="39" t="s">
        <v>1330</v>
      </c>
      <c r="B12" s="39"/>
      <c r="C12" s="592"/>
      <c r="D12" s="39"/>
      <c r="E12" s="39"/>
      <c r="F12" s="130"/>
      <c r="G12" s="41"/>
    </row>
    <row r="13" spans="1:7" ht="24.75" customHeight="1" x14ac:dyDescent="0.2">
      <c r="A13" s="1234" t="s">
        <v>1</v>
      </c>
      <c r="B13" s="1234" t="s">
        <v>2</v>
      </c>
      <c r="C13" s="1233" t="s">
        <v>26</v>
      </c>
      <c r="D13" s="1233" t="s">
        <v>61</v>
      </c>
      <c r="E13" s="1233" t="s">
        <v>28</v>
      </c>
      <c r="F13" s="1235" t="s">
        <v>6</v>
      </c>
      <c r="G13" s="1233" t="s">
        <v>1190</v>
      </c>
    </row>
    <row r="14" spans="1:7" x14ac:dyDescent="0.2">
      <c r="A14" s="1234"/>
      <c r="B14" s="1234"/>
      <c r="C14" s="1233"/>
      <c r="D14" s="1233"/>
      <c r="E14" s="1233"/>
      <c r="F14" s="1235"/>
      <c r="G14" s="1233"/>
    </row>
    <row r="15" spans="1:7" x14ac:dyDescent="0.2">
      <c r="A15" s="800"/>
      <c r="B15" s="800" t="s">
        <v>300</v>
      </c>
      <c r="C15" s="801">
        <f>SUM(C16:C17)</f>
        <v>2100</v>
      </c>
      <c r="D15" s="801">
        <f>SUM(D16:D17)</f>
        <v>2067</v>
      </c>
      <c r="E15" s="801">
        <f>SUM(E16:E17)</f>
        <v>1675</v>
      </c>
      <c r="F15" s="802"/>
      <c r="G15" s="801">
        <f>SUM(G16:G17)</f>
        <v>1675</v>
      </c>
    </row>
    <row r="16" spans="1:7" x14ac:dyDescent="0.2">
      <c r="A16" s="803">
        <v>1</v>
      </c>
      <c r="B16" s="804" t="s">
        <v>292</v>
      </c>
      <c r="C16" s="805">
        <v>783</v>
      </c>
      <c r="D16" s="805">
        <v>750</v>
      </c>
      <c r="E16" s="805">
        <v>750</v>
      </c>
      <c r="F16" s="806">
        <v>6259</v>
      </c>
      <c r="G16" s="807">
        <v>750</v>
      </c>
    </row>
    <row r="17" spans="1:7" x14ac:dyDescent="0.2">
      <c r="A17" s="803">
        <v>2</v>
      </c>
      <c r="B17" s="808" t="s">
        <v>170</v>
      </c>
      <c r="C17" s="809">
        <v>1317</v>
      </c>
      <c r="D17" s="809">
        <v>1317</v>
      </c>
      <c r="E17" s="809">
        <v>925</v>
      </c>
      <c r="F17" s="806">
        <v>6423</v>
      </c>
      <c r="G17" s="807">
        <v>925</v>
      </c>
    </row>
    <row r="18" spans="1:7" x14ac:dyDescent="0.2">
      <c r="A18" s="599"/>
      <c r="B18" s="339"/>
      <c r="C18" s="600"/>
      <c r="D18" s="600"/>
      <c r="E18" s="600"/>
      <c r="F18" s="601"/>
      <c r="G18" s="602"/>
    </row>
    <row r="19" spans="1:7" x14ac:dyDescent="0.2">
      <c r="A19" s="47" t="s">
        <v>1303</v>
      </c>
      <c r="B19" s="47"/>
      <c r="C19" s="48"/>
      <c r="D19" s="47"/>
      <c r="E19" s="47"/>
      <c r="F19" s="603"/>
      <c r="G19" s="137"/>
    </row>
    <row r="20" spans="1:7" x14ac:dyDescent="0.2">
      <c r="A20" s="47" t="s">
        <v>1304</v>
      </c>
      <c r="B20" s="47"/>
      <c r="C20" s="593"/>
      <c r="D20" s="47"/>
      <c r="E20" s="47"/>
      <c r="F20" s="603"/>
      <c r="G20" s="137"/>
    </row>
    <row r="21" spans="1:7" ht="25.5" customHeight="1" x14ac:dyDescent="0.2">
      <c r="A21" s="1197" t="s">
        <v>1</v>
      </c>
      <c r="B21" s="1197" t="s">
        <v>2</v>
      </c>
      <c r="C21" s="1195" t="s">
        <v>26</v>
      </c>
      <c r="D21" s="1195" t="s">
        <v>61</v>
      </c>
      <c r="E21" s="1195" t="s">
        <v>28</v>
      </c>
      <c r="F21" s="1193" t="s">
        <v>6</v>
      </c>
      <c r="G21" s="1195" t="s">
        <v>1190</v>
      </c>
    </row>
    <row r="22" spans="1:7" x14ac:dyDescent="0.2">
      <c r="A22" s="1197"/>
      <c r="B22" s="1197"/>
      <c r="C22" s="1195"/>
      <c r="D22" s="1195"/>
      <c r="E22" s="1195"/>
      <c r="F22" s="1193"/>
      <c r="G22" s="1195"/>
    </row>
    <row r="23" spans="1:7" x14ac:dyDescent="0.2">
      <c r="A23" s="1196" t="s">
        <v>300</v>
      </c>
      <c r="B23" s="1196"/>
      <c r="C23" s="810">
        <f>SUM(C24:C24)</f>
        <v>31766</v>
      </c>
      <c r="D23" s="810">
        <f>SUM(D24:D24)</f>
        <v>31766</v>
      </c>
      <c r="E23" s="810">
        <f>SUM(E24:E24)</f>
        <v>32000</v>
      </c>
      <c r="F23" s="811"/>
      <c r="G23" s="812">
        <f>SUM(G24:G24)</f>
        <v>31800</v>
      </c>
    </row>
    <row r="24" spans="1:7" x14ac:dyDescent="0.2">
      <c r="A24" s="813">
        <v>1</v>
      </c>
      <c r="B24" s="814" t="s">
        <v>175</v>
      </c>
      <c r="C24" s="815">
        <f>22766+9000</f>
        <v>31766</v>
      </c>
      <c r="D24" s="816">
        <v>31766</v>
      </c>
      <c r="E24" s="815">
        <v>32000</v>
      </c>
      <c r="F24" s="817">
        <v>6252</v>
      </c>
      <c r="G24" s="818">
        <v>31800</v>
      </c>
    </row>
    <row r="25" spans="1:7" x14ac:dyDescent="0.2">
      <c r="A25" s="599"/>
      <c r="B25" s="339"/>
      <c r="C25" s="339"/>
      <c r="D25" s="339"/>
      <c r="E25" s="339"/>
      <c r="F25" s="339"/>
      <c r="G25" s="339"/>
    </row>
    <row r="26" spans="1:7" x14ac:dyDescent="0.2">
      <c r="A26" s="1232" t="s">
        <v>1331</v>
      </c>
      <c r="B26" s="1232"/>
      <c r="C26" s="604"/>
      <c r="D26" s="605"/>
      <c r="E26" s="605"/>
      <c r="F26" s="603"/>
      <c r="G26" s="606"/>
    </row>
    <row r="27" spans="1:7" x14ac:dyDescent="0.2">
      <c r="A27" s="47" t="s">
        <v>1332</v>
      </c>
      <c r="B27" s="47"/>
      <c r="C27" s="593"/>
      <c r="D27" s="47"/>
      <c r="E27" s="47"/>
      <c r="F27" s="603"/>
      <c r="G27" s="137"/>
    </row>
    <row r="28" spans="1:7" ht="24.75" customHeight="1" x14ac:dyDescent="0.2">
      <c r="A28" s="1197" t="s">
        <v>1</v>
      </c>
      <c r="B28" s="1197" t="s">
        <v>2</v>
      </c>
      <c r="C28" s="1195" t="s">
        <v>26</v>
      </c>
      <c r="D28" s="1195" t="s">
        <v>61</v>
      </c>
      <c r="E28" s="1195" t="s">
        <v>28</v>
      </c>
      <c r="F28" s="1193" t="s">
        <v>6</v>
      </c>
      <c r="G28" s="1195" t="s">
        <v>1190</v>
      </c>
    </row>
    <row r="29" spans="1:7" x14ac:dyDescent="0.2">
      <c r="A29" s="1197"/>
      <c r="B29" s="1197"/>
      <c r="C29" s="1195"/>
      <c r="D29" s="1195"/>
      <c r="E29" s="1195"/>
      <c r="F29" s="1193"/>
      <c r="G29" s="1195"/>
    </row>
    <row r="30" spans="1:7" x14ac:dyDescent="0.2">
      <c r="A30" s="1196" t="s">
        <v>300</v>
      </c>
      <c r="B30" s="1196"/>
      <c r="C30" s="810">
        <f>SUM(C31:C33)</f>
        <v>201440</v>
      </c>
      <c r="D30" s="810">
        <f>SUM(D31:D33)</f>
        <v>140768</v>
      </c>
      <c r="E30" s="810">
        <f>SUM(E31:E33)</f>
        <v>143320</v>
      </c>
      <c r="F30" s="811"/>
      <c r="G30" s="812">
        <f>SUM(G31:G33)</f>
        <v>140820</v>
      </c>
    </row>
    <row r="31" spans="1:7" x14ac:dyDescent="0.2">
      <c r="A31" s="813">
        <v>1</v>
      </c>
      <c r="B31" s="821" t="s">
        <v>177</v>
      </c>
      <c r="C31" s="816">
        <f>145104-7000-9000-4500</f>
        <v>124604</v>
      </c>
      <c r="D31" s="816">
        <v>92690</v>
      </c>
      <c r="E31" s="816">
        <v>92700</v>
      </c>
      <c r="F31" s="819">
        <v>6260</v>
      </c>
      <c r="G31" s="818">
        <v>92700</v>
      </c>
    </row>
    <row r="32" spans="1:7" x14ac:dyDescent="0.2">
      <c r="A32" s="813">
        <v>2</v>
      </c>
      <c r="B32" s="814" t="s">
        <v>175</v>
      </c>
      <c r="C32" s="815">
        <v>49801</v>
      </c>
      <c r="D32" s="816">
        <v>32458</v>
      </c>
      <c r="E32" s="815">
        <v>35000</v>
      </c>
      <c r="F32" s="819">
        <v>6252</v>
      </c>
      <c r="G32" s="818">
        <v>32500</v>
      </c>
    </row>
    <row r="33" spans="1:7" x14ac:dyDescent="0.2">
      <c r="A33" s="813">
        <v>3</v>
      </c>
      <c r="B33" s="822" t="s">
        <v>179</v>
      </c>
      <c r="C33" s="823">
        <v>27035</v>
      </c>
      <c r="D33" s="824">
        <v>15620</v>
      </c>
      <c r="E33" s="823">
        <v>15620</v>
      </c>
      <c r="F33" s="819">
        <v>6259</v>
      </c>
      <c r="G33" s="818">
        <v>15620</v>
      </c>
    </row>
    <row r="34" spans="1:7" x14ac:dyDescent="0.2">
      <c r="A34" s="599"/>
      <c r="B34" s="362"/>
      <c r="C34" s="607"/>
      <c r="D34" s="600"/>
      <c r="E34" s="607"/>
      <c r="F34" s="518"/>
      <c r="G34" s="601"/>
    </row>
    <row r="35" spans="1:7" x14ac:dyDescent="0.2">
      <c r="A35" s="47" t="s">
        <v>1305</v>
      </c>
      <c r="B35" s="47"/>
      <c r="C35" s="48"/>
      <c r="D35" s="47"/>
      <c r="E35" s="47"/>
      <c r="F35" s="603"/>
      <c r="G35" s="137"/>
    </row>
    <row r="36" spans="1:7" x14ac:dyDescent="0.2">
      <c r="A36" s="47" t="s">
        <v>1306</v>
      </c>
      <c r="B36" s="47"/>
      <c r="C36" s="593"/>
      <c r="D36" s="47"/>
      <c r="E36" s="47"/>
      <c r="F36" s="603"/>
      <c r="G36" s="137"/>
    </row>
    <row r="37" spans="1:7" ht="25.5" customHeight="1" x14ac:dyDescent="0.2">
      <c r="A37" s="1197" t="s">
        <v>1</v>
      </c>
      <c r="B37" s="1197" t="s">
        <v>2</v>
      </c>
      <c r="C37" s="1195" t="s">
        <v>26</v>
      </c>
      <c r="D37" s="1195" t="s">
        <v>61</v>
      </c>
      <c r="E37" s="1195" t="s">
        <v>28</v>
      </c>
      <c r="F37" s="1193" t="s">
        <v>6</v>
      </c>
      <c r="G37" s="1195" t="s">
        <v>1190</v>
      </c>
    </row>
    <row r="38" spans="1:7" x14ac:dyDescent="0.2">
      <c r="A38" s="1197"/>
      <c r="B38" s="1197"/>
      <c r="C38" s="1195"/>
      <c r="D38" s="1195"/>
      <c r="E38" s="1195"/>
      <c r="F38" s="1193"/>
      <c r="G38" s="1195"/>
    </row>
    <row r="39" spans="1:7" x14ac:dyDescent="0.2">
      <c r="A39" s="1196" t="s">
        <v>300</v>
      </c>
      <c r="B39" s="1196"/>
      <c r="C39" s="810">
        <f>SUM(C40:C41)</f>
        <v>334515</v>
      </c>
      <c r="D39" s="810">
        <f>SUM(D40:D41)</f>
        <v>209802</v>
      </c>
      <c r="E39" s="810">
        <f>SUM(E40:E41)</f>
        <v>394100</v>
      </c>
      <c r="F39" s="811"/>
      <c r="G39" s="812">
        <f>SUM(G40:G41)</f>
        <v>394100</v>
      </c>
    </row>
    <row r="40" spans="1:7" x14ac:dyDescent="0.2">
      <c r="A40" s="1197">
        <v>1</v>
      </c>
      <c r="B40" s="1231" t="s">
        <v>183</v>
      </c>
      <c r="C40" s="816">
        <f>332953-24050</f>
        <v>308903</v>
      </c>
      <c r="D40" s="816">
        <v>199802</v>
      </c>
      <c r="E40" s="816">
        <v>368500</v>
      </c>
      <c r="F40" s="819">
        <v>6360</v>
      </c>
      <c r="G40" s="818">
        <v>368500</v>
      </c>
    </row>
    <row r="41" spans="1:7" x14ac:dyDescent="0.2">
      <c r="A41" s="1197"/>
      <c r="B41" s="1231"/>
      <c r="C41" s="816">
        <v>25612</v>
      </c>
      <c r="D41" s="816">
        <v>10000</v>
      </c>
      <c r="E41" s="816">
        <v>25600</v>
      </c>
      <c r="F41" s="819">
        <v>6270</v>
      </c>
      <c r="G41" s="818">
        <v>25600</v>
      </c>
    </row>
    <row r="42" spans="1:7" x14ac:dyDescent="0.2">
      <c r="A42" s="599"/>
      <c r="B42" s="339"/>
      <c r="C42" s="339"/>
      <c r="D42" s="339"/>
      <c r="E42" s="339"/>
      <c r="F42" s="339"/>
      <c r="G42" s="339"/>
    </row>
    <row r="43" spans="1:7" x14ac:dyDescent="0.2">
      <c r="A43" s="47" t="s">
        <v>1307</v>
      </c>
      <c r="B43" s="47"/>
      <c r="C43" s="48"/>
      <c r="D43" s="47"/>
      <c r="E43" s="47"/>
      <c r="F43" s="603"/>
      <c r="G43" s="137"/>
    </row>
    <row r="44" spans="1:7" x14ac:dyDescent="0.2">
      <c r="A44" s="47" t="s">
        <v>1308</v>
      </c>
      <c r="B44" s="47"/>
      <c r="C44" s="593"/>
      <c r="D44" s="47"/>
      <c r="E44" s="47"/>
      <c r="F44" s="603"/>
      <c r="G44" s="137"/>
    </row>
    <row r="45" spans="1:7" ht="24.75" customHeight="1" x14ac:dyDescent="0.2">
      <c r="A45" s="1229" t="s">
        <v>1</v>
      </c>
      <c r="B45" s="1229" t="s">
        <v>2</v>
      </c>
      <c r="C45" s="1228" t="s">
        <v>26</v>
      </c>
      <c r="D45" s="1228" t="s">
        <v>61</v>
      </c>
      <c r="E45" s="1228" t="s">
        <v>28</v>
      </c>
      <c r="F45" s="1230" t="s">
        <v>6</v>
      </c>
      <c r="G45" s="1228" t="s">
        <v>1190</v>
      </c>
    </row>
    <row r="46" spans="1:7" x14ac:dyDescent="0.2">
      <c r="A46" s="1229"/>
      <c r="B46" s="1229"/>
      <c r="C46" s="1228"/>
      <c r="D46" s="1228"/>
      <c r="E46" s="1228"/>
      <c r="F46" s="1230"/>
      <c r="G46" s="1228"/>
    </row>
    <row r="47" spans="1:7" x14ac:dyDescent="0.2">
      <c r="A47" s="1227" t="s">
        <v>300</v>
      </c>
      <c r="B47" s="1227"/>
      <c r="C47" s="825">
        <f>SUM(C48:C51)</f>
        <v>143705</v>
      </c>
      <c r="D47" s="825">
        <f>SUM(D48:D51)</f>
        <v>102250</v>
      </c>
      <c r="E47" s="825">
        <f>SUM(E48:E51)</f>
        <v>115450</v>
      </c>
      <c r="F47" s="826"/>
      <c r="G47" s="827">
        <f>SUM(G48:G51)</f>
        <v>114450</v>
      </c>
    </row>
    <row r="48" spans="1:7" x14ac:dyDescent="0.2">
      <c r="A48" s="828">
        <v>1</v>
      </c>
      <c r="B48" s="829" t="s">
        <v>177</v>
      </c>
      <c r="C48" s="830">
        <f>79408-2100</f>
        <v>77308</v>
      </c>
      <c r="D48" s="830">
        <v>55752</v>
      </c>
      <c r="E48" s="830">
        <f>55750+7000</f>
        <v>62750</v>
      </c>
      <c r="F48" s="831">
        <v>6260</v>
      </c>
      <c r="G48" s="832">
        <v>62750</v>
      </c>
    </row>
    <row r="49" spans="1:7" x14ac:dyDescent="0.2">
      <c r="A49" s="828">
        <v>2</v>
      </c>
      <c r="B49" s="833" t="s">
        <v>175</v>
      </c>
      <c r="C49" s="834">
        <v>32727</v>
      </c>
      <c r="D49" s="834">
        <v>18300</v>
      </c>
      <c r="E49" s="834">
        <v>20000</v>
      </c>
      <c r="F49" s="831">
        <v>6252</v>
      </c>
      <c r="G49" s="832">
        <v>19000</v>
      </c>
    </row>
    <row r="50" spans="1:7" x14ac:dyDescent="0.2">
      <c r="A50" s="828">
        <v>3</v>
      </c>
      <c r="B50" s="833" t="s">
        <v>190</v>
      </c>
      <c r="C50" s="834">
        <v>13518</v>
      </c>
      <c r="D50" s="834">
        <v>8046</v>
      </c>
      <c r="E50" s="834">
        <v>12500</v>
      </c>
      <c r="F50" s="831">
        <v>6423</v>
      </c>
      <c r="G50" s="832">
        <v>12500</v>
      </c>
    </row>
    <row r="51" spans="1:7" ht="24" x14ac:dyDescent="0.2">
      <c r="A51" s="828">
        <v>4</v>
      </c>
      <c r="B51" s="833" t="s">
        <v>191</v>
      </c>
      <c r="C51" s="834">
        <f>15652+4500</f>
        <v>20152</v>
      </c>
      <c r="D51" s="834">
        <v>20152</v>
      </c>
      <c r="E51" s="834">
        <v>20200</v>
      </c>
      <c r="F51" s="835">
        <v>6254</v>
      </c>
      <c r="G51" s="832">
        <v>20200</v>
      </c>
    </row>
    <row r="52" spans="1:7" x14ac:dyDescent="0.2">
      <c r="A52" s="599"/>
      <c r="B52" s="360"/>
      <c r="C52" s="367"/>
      <c r="D52" s="367"/>
      <c r="E52" s="367"/>
      <c r="F52" s="141"/>
      <c r="G52" s="608"/>
    </row>
    <row r="53" spans="1:7" x14ac:dyDescent="0.2">
      <c r="A53" s="47" t="s">
        <v>1333</v>
      </c>
      <c r="B53" s="47"/>
      <c r="C53" s="48"/>
      <c r="D53" s="47"/>
      <c r="E53" s="47"/>
      <c r="F53" s="603"/>
      <c r="G53" s="137"/>
    </row>
    <row r="54" spans="1:7" x14ac:dyDescent="0.2">
      <c r="A54" s="47" t="s">
        <v>1334</v>
      </c>
      <c r="B54" s="47"/>
      <c r="C54" s="593"/>
      <c r="D54" s="47"/>
      <c r="E54" s="47"/>
      <c r="F54" s="603"/>
      <c r="G54" s="137"/>
    </row>
    <row r="55" spans="1:7" ht="24.75" customHeight="1" x14ac:dyDescent="0.2">
      <c r="A55" s="1229" t="s">
        <v>1</v>
      </c>
      <c r="B55" s="1229" t="s">
        <v>2</v>
      </c>
      <c r="C55" s="1228" t="s">
        <v>26</v>
      </c>
      <c r="D55" s="1228" t="s">
        <v>61</v>
      </c>
      <c r="E55" s="1228" t="s">
        <v>28</v>
      </c>
      <c r="F55" s="1230" t="s">
        <v>6</v>
      </c>
      <c r="G55" s="1228" t="s">
        <v>1190</v>
      </c>
    </row>
    <row r="56" spans="1:7" x14ac:dyDescent="0.2">
      <c r="A56" s="1229"/>
      <c r="B56" s="1229"/>
      <c r="C56" s="1228"/>
      <c r="D56" s="1228"/>
      <c r="E56" s="1228"/>
      <c r="F56" s="1230"/>
      <c r="G56" s="1228"/>
    </row>
    <row r="57" spans="1:7" x14ac:dyDescent="0.2">
      <c r="A57" s="1227" t="s">
        <v>300</v>
      </c>
      <c r="B57" s="1227"/>
      <c r="C57" s="825">
        <f>SUM(C58:C58)</f>
        <v>373366</v>
      </c>
      <c r="D57" s="825">
        <f>SUM(D58:D58)</f>
        <v>373366</v>
      </c>
      <c r="E57" s="825">
        <f>SUM(E58:E59)</f>
        <v>380200</v>
      </c>
      <c r="F57" s="826"/>
      <c r="G57" s="827">
        <f>SUM(G58:G59)</f>
        <v>380200</v>
      </c>
    </row>
    <row r="58" spans="1:7" x14ac:dyDescent="0.2">
      <c r="A58" s="828">
        <v>1</v>
      </c>
      <c r="B58" s="829" t="s">
        <v>193</v>
      </c>
      <c r="C58" s="830">
        <f>349316+24050</f>
        <v>373366</v>
      </c>
      <c r="D58" s="830">
        <v>373366</v>
      </c>
      <c r="E58" s="830">
        <v>373000</v>
      </c>
      <c r="F58" s="831">
        <v>6423</v>
      </c>
      <c r="G58" s="832">
        <v>373000</v>
      </c>
    </row>
    <row r="59" spans="1:7" x14ac:dyDescent="0.2">
      <c r="A59" s="828">
        <v>2</v>
      </c>
      <c r="B59" s="836" t="s">
        <v>194</v>
      </c>
      <c r="C59" s="837"/>
      <c r="D59" s="837"/>
      <c r="E59" s="838">
        <v>7200</v>
      </c>
      <c r="F59" s="839">
        <v>6423</v>
      </c>
      <c r="G59" s="840">
        <v>7200</v>
      </c>
    </row>
    <row r="60" spans="1:7" x14ac:dyDescent="0.2">
      <c r="A60" s="47"/>
      <c r="B60" s="606"/>
      <c r="C60" s="606"/>
      <c r="D60" s="606"/>
      <c r="E60" s="606"/>
      <c r="F60" s="606"/>
      <c r="G60" s="606"/>
    </row>
    <row r="61" spans="1:7" x14ac:dyDescent="0.2">
      <c r="A61" s="129"/>
      <c r="B61" s="129"/>
      <c r="C61" s="129"/>
      <c r="D61" s="129"/>
      <c r="E61" s="129"/>
      <c r="F61" s="130"/>
      <c r="G61" s="130"/>
    </row>
    <row r="62" spans="1:7" x14ac:dyDescent="0.2">
      <c r="A62" s="129"/>
      <c r="B62" s="129"/>
      <c r="C62" s="129"/>
      <c r="D62" s="129"/>
      <c r="E62" s="129"/>
      <c r="F62" s="130"/>
      <c r="G62" s="130"/>
    </row>
    <row r="63" spans="1:7" x14ac:dyDescent="0.2">
      <c r="A63" s="129"/>
      <c r="B63" s="129"/>
      <c r="C63" s="129"/>
      <c r="D63" s="129"/>
      <c r="E63" s="129"/>
      <c r="F63" s="130"/>
      <c r="G63" s="130"/>
    </row>
    <row r="64" spans="1:7" x14ac:dyDescent="0.2">
      <c r="C64" s="45"/>
      <c r="D64" s="45"/>
      <c r="E64" s="45"/>
    </row>
    <row r="67" spans="5:5" x14ac:dyDescent="0.2">
      <c r="E67" s="45"/>
    </row>
  </sheetData>
  <mergeCells count="52">
    <mergeCell ref="A8:G8"/>
    <mergeCell ref="G13:G14"/>
    <mergeCell ref="A13:A14"/>
    <mergeCell ref="B13:B14"/>
    <mergeCell ref="C13:C14"/>
    <mergeCell ref="D13:D14"/>
    <mergeCell ref="E13:E14"/>
    <mergeCell ref="F13:F14"/>
    <mergeCell ref="G21:G22"/>
    <mergeCell ref="A23:B23"/>
    <mergeCell ref="A21:A22"/>
    <mergeCell ref="B21:B22"/>
    <mergeCell ref="C21:C22"/>
    <mergeCell ref="D21:D22"/>
    <mergeCell ref="E21:E22"/>
    <mergeCell ref="F21:F22"/>
    <mergeCell ref="A26:B26"/>
    <mergeCell ref="A28:A29"/>
    <mergeCell ref="B28:B29"/>
    <mergeCell ref="C28:C29"/>
    <mergeCell ref="D28:D29"/>
    <mergeCell ref="E28:E29"/>
    <mergeCell ref="D37:D38"/>
    <mergeCell ref="E37:E38"/>
    <mergeCell ref="F28:F29"/>
    <mergeCell ref="G28:G29"/>
    <mergeCell ref="C37:C38"/>
    <mergeCell ref="E45:E46"/>
    <mergeCell ref="F45:F46"/>
    <mergeCell ref="A55:A56"/>
    <mergeCell ref="B55:B56"/>
    <mergeCell ref="A39:B39"/>
    <mergeCell ref="B40:B41"/>
    <mergeCell ref="A40:A41"/>
    <mergeCell ref="A37:A38"/>
    <mergeCell ref="B37:B38"/>
    <mergeCell ref="B1:G1"/>
    <mergeCell ref="A57:B57"/>
    <mergeCell ref="G45:G46"/>
    <mergeCell ref="A47:B47"/>
    <mergeCell ref="A45:A46"/>
    <mergeCell ref="B45:B46"/>
    <mergeCell ref="C45:C46"/>
    <mergeCell ref="D45:D46"/>
    <mergeCell ref="C55:C56"/>
    <mergeCell ref="D55:D56"/>
    <mergeCell ref="E55:E56"/>
    <mergeCell ref="F55:F56"/>
    <mergeCell ref="A30:B30"/>
    <mergeCell ref="F37:F38"/>
    <mergeCell ref="G37:G38"/>
    <mergeCell ref="G55:G56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99"/>
  </sheetPr>
  <dimension ref="A1:G47"/>
  <sheetViews>
    <sheetView zoomScaleNormal="100" workbookViewId="0">
      <selection activeCell="B2" sqref="B2"/>
    </sheetView>
  </sheetViews>
  <sheetFormatPr defaultRowHeight="12.75" x14ac:dyDescent="0.2"/>
  <cols>
    <col min="1" max="1" width="4.85546875" style="37" customWidth="1"/>
    <col min="2" max="2" width="63.28515625" style="37" customWidth="1"/>
    <col min="3" max="3" width="9.7109375" style="37" hidden="1" customWidth="1"/>
    <col min="4" max="4" width="9.28515625" style="37" hidden="1" customWidth="1"/>
    <col min="5" max="5" width="11.7109375" style="37" hidden="1" customWidth="1"/>
    <col min="6" max="6" width="10.7109375" style="46" customWidth="1"/>
    <col min="7" max="7" width="9.28515625" style="46" customWidth="1"/>
    <col min="8" max="231" width="9.140625" style="37"/>
    <col min="232" max="232" width="4.85546875" style="37" customWidth="1"/>
    <col min="233" max="233" width="48.28515625" style="37" customWidth="1"/>
    <col min="234" max="234" width="12.85546875" style="37" customWidth="1"/>
    <col min="235" max="235" width="11.7109375" style="37" customWidth="1"/>
    <col min="236" max="236" width="11.140625" style="37" customWidth="1"/>
    <col min="237" max="237" width="11.42578125" style="37" customWidth="1"/>
    <col min="238" max="238" width="11.7109375" style="37" customWidth="1"/>
    <col min="239" max="239" width="45.42578125" style="37" customWidth="1"/>
    <col min="240" max="487" width="9.140625" style="37"/>
    <col min="488" max="488" width="4.85546875" style="37" customWidth="1"/>
    <col min="489" max="489" width="48.28515625" style="37" customWidth="1"/>
    <col min="490" max="490" width="12.85546875" style="37" customWidth="1"/>
    <col min="491" max="491" width="11.7109375" style="37" customWidth="1"/>
    <col min="492" max="492" width="11.140625" style="37" customWidth="1"/>
    <col min="493" max="493" width="11.42578125" style="37" customWidth="1"/>
    <col min="494" max="494" width="11.7109375" style="37" customWidth="1"/>
    <col min="495" max="495" width="45.42578125" style="37" customWidth="1"/>
    <col min="496" max="743" width="9.140625" style="37"/>
    <col min="744" max="744" width="4.85546875" style="37" customWidth="1"/>
    <col min="745" max="745" width="48.28515625" style="37" customWidth="1"/>
    <col min="746" max="746" width="12.85546875" style="37" customWidth="1"/>
    <col min="747" max="747" width="11.7109375" style="37" customWidth="1"/>
    <col min="748" max="748" width="11.140625" style="37" customWidth="1"/>
    <col min="749" max="749" width="11.42578125" style="37" customWidth="1"/>
    <col min="750" max="750" width="11.7109375" style="37" customWidth="1"/>
    <col min="751" max="751" width="45.42578125" style="37" customWidth="1"/>
    <col min="752" max="999" width="9.140625" style="37"/>
    <col min="1000" max="1000" width="4.85546875" style="37" customWidth="1"/>
    <col min="1001" max="1001" width="48.28515625" style="37" customWidth="1"/>
    <col min="1002" max="1002" width="12.85546875" style="37" customWidth="1"/>
    <col min="1003" max="1003" width="11.7109375" style="37" customWidth="1"/>
    <col min="1004" max="1004" width="11.140625" style="37" customWidth="1"/>
    <col min="1005" max="1005" width="11.42578125" style="37" customWidth="1"/>
    <col min="1006" max="1006" width="11.7109375" style="37" customWidth="1"/>
    <col min="1007" max="1007" width="45.42578125" style="37" customWidth="1"/>
    <col min="1008" max="1255" width="9.140625" style="37"/>
    <col min="1256" max="1256" width="4.85546875" style="37" customWidth="1"/>
    <col min="1257" max="1257" width="48.28515625" style="37" customWidth="1"/>
    <col min="1258" max="1258" width="12.85546875" style="37" customWidth="1"/>
    <col min="1259" max="1259" width="11.7109375" style="37" customWidth="1"/>
    <col min="1260" max="1260" width="11.140625" style="37" customWidth="1"/>
    <col min="1261" max="1261" width="11.42578125" style="37" customWidth="1"/>
    <col min="1262" max="1262" width="11.7109375" style="37" customWidth="1"/>
    <col min="1263" max="1263" width="45.42578125" style="37" customWidth="1"/>
    <col min="1264" max="1511" width="9.140625" style="37"/>
    <col min="1512" max="1512" width="4.85546875" style="37" customWidth="1"/>
    <col min="1513" max="1513" width="48.28515625" style="37" customWidth="1"/>
    <col min="1514" max="1514" width="12.85546875" style="37" customWidth="1"/>
    <col min="1515" max="1515" width="11.7109375" style="37" customWidth="1"/>
    <col min="1516" max="1516" width="11.140625" style="37" customWidth="1"/>
    <col min="1517" max="1517" width="11.42578125" style="37" customWidth="1"/>
    <col min="1518" max="1518" width="11.7109375" style="37" customWidth="1"/>
    <col min="1519" max="1519" width="45.42578125" style="37" customWidth="1"/>
    <col min="1520" max="1767" width="9.140625" style="37"/>
    <col min="1768" max="1768" width="4.85546875" style="37" customWidth="1"/>
    <col min="1769" max="1769" width="48.28515625" style="37" customWidth="1"/>
    <col min="1770" max="1770" width="12.85546875" style="37" customWidth="1"/>
    <col min="1771" max="1771" width="11.7109375" style="37" customWidth="1"/>
    <col min="1772" max="1772" width="11.140625" style="37" customWidth="1"/>
    <col min="1773" max="1773" width="11.42578125" style="37" customWidth="1"/>
    <col min="1774" max="1774" width="11.7109375" style="37" customWidth="1"/>
    <col min="1775" max="1775" width="45.42578125" style="37" customWidth="1"/>
    <col min="1776" max="2023" width="9.140625" style="37"/>
    <col min="2024" max="2024" width="4.85546875" style="37" customWidth="1"/>
    <col min="2025" max="2025" width="48.28515625" style="37" customWidth="1"/>
    <col min="2026" max="2026" width="12.85546875" style="37" customWidth="1"/>
    <col min="2027" max="2027" width="11.7109375" style="37" customWidth="1"/>
    <col min="2028" max="2028" width="11.140625" style="37" customWidth="1"/>
    <col min="2029" max="2029" width="11.42578125" style="37" customWidth="1"/>
    <col min="2030" max="2030" width="11.7109375" style="37" customWidth="1"/>
    <col min="2031" max="2031" width="45.42578125" style="37" customWidth="1"/>
    <col min="2032" max="2279" width="9.140625" style="37"/>
    <col min="2280" max="2280" width="4.85546875" style="37" customWidth="1"/>
    <col min="2281" max="2281" width="48.28515625" style="37" customWidth="1"/>
    <col min="2282" max="2282" width="12.85546875" style="37" customWidth="1"/>
    <col min="2283" max="2283" width="11.7109375" style="37" customWidth="1"/>
    <col min="2284" max="2284" width="11.140625" style="37" customWidth="1"/>
    <col min="2285" max="2285" width="11.42578125" style="37" customWidth="1"/>
    <col min="2286" max="2286" width="11.7109375" style="37" customWidth="1"/>
    <col min="2287" max="2287" width="45.42578125" style="37" customWidth="1"/>
    <col min="2288" max="2535" width="9.140625" style="37"/>
    <col min="2536" max="2536" width="4.85546875" style="37" customWidth="1"/>
    <col min="2537" max="2537" width="48.28515625" style="37" customWidth="1"/>
    <col min="2538" max="2538" width="12.85546875" style="37" customWidth="1"/>
    <col min="2539" max="2539" width="11.7109375" style="37" customWidth="1"/>
    <col min="2540" max="2540" width="11.140625" style="37" customWidth="1"/>
    <col min="2541" max="2541" width="11.42578125" style="37" customWidth="1"/>
    <col min="2542" max="2542" width="11.7109375" style="37" customWidth="1"/>
    <col min="2543" max="2543" width="45.42578125" style="37" customWidth="1"/>
    <col min="2544" max="2791" width="9.140625" style="37"/>
    <col min="2792" max="2792" width="4.85546875" style="37" customWidth="1"/>
    <col min="2793" max="2793" width="48.28515625" style="37" customWidth="1"/>
    <col min="2794" max="2794" width="12.85546875" style="37" customWidth="1"/>
    <col min="2795" max="2795" width="11.7109375" style="37" customWidth="1"/>
    <col min="2796" max="2796" width="11.140625" style="37" customWidth="1"/>
    <col min="2797" max="2797" width="11.42578125" style="37" customWidth="1"/>
    <col min="2798" max="2798" width="11.7109375" style="37" customWidth="1"/>
    <col min="2799" max="2799" width="45.42578125" style="37" customWidth="1"/>
    <col min="2800" max="3047" width="9.140625" style="37"/>
    <col min="3048" max="3048" width="4.85546875" style="37" customWidth="1"/>
    <col min="3049" max="3049" width="48.28515625" style="37" customWidth="1"/>
    <col min="3050" max="3050" width="12.85546875" style="37" customWidth="1"/>
    <col min="3051" max="3051" width="11.7109375" style="37" customWidth="1"/>
    <col min="3052" max="3052" width="11.140625" style="37" customWidth="1"/>
    <col min="3053" max="3053" width="11.42578125" style="37" customWidth="1"/>
    <col min="3054" max="3054" width="11.7109375" style="37" customWidth="1"/>
    <col min="3055" max="3055" width="45.42578125" style="37" customWidth="1"/>
    <col min="3056" max="3303" width="9.140625" style="37"/>
    <col min="3304" max="3304" width="4.85546875" style="37" customWidth="1"/>
    <col min="3305" max="3305" width="48.28515625" style="37" customWidth="1"/>
    <col min="3306" max="3306" width="12.85546875" style="37" customWidth="1"/>
    <col min="3307" max="3307" width="11.7109375" style="37" customWidth="1"/>
    <col min="3308" max="3308" width="11.140625" style="37" customWidth="1"/>
    <col min="3309" max="3309" width="11.42578125" style="37" customWidth="1"/>
    <col min="3310" max="3310" width="11.7109375" style="37" customWidth="1"/>
    <col min="3311" max="3311" width="45.42578125" style="37" customWidth="1"/>
    <col min="3312" max="3559" width="9.140625" style="37"/>
    <col min="3560" max="3560" width="4.85546875" style="37" customWidth="1"/>
    <col min="3561" max="3561" width="48.28515625" style="37" customWidth="1"/>
    <col min="3562" max="3562" width="12.85546875" style="37" customWidth="1"/>
    <col min="3563" max="3563" width="11.7109375" style="37" customWidth="1"/>
    <col min="3564" max="3564" width="11.140625" style="37" customWidth="1"/>
    <col min="3565" max="3565" width="11.42578125" style="37" customWidth="1"/>
    <col min="3566" max="3566" width="11.7109375" style="37" customWidth="1"/>
    <col min="3567" max="3567" width="45.42578125" style="37" customWidth="1"/>
    <col min="3568" max="3815" width="9.140625" style="37"/>
    <col min="3816" max="3816" width="4.85546875" style="37" customWidth="1"/>
    <col min="3817" max="3817" width="48.28515625" style="37" customWidth="1"/>
    <col min="3818" max="3818" width="12.85546875" style="37" customWidth="1"/>
    <col min="3819" max="3819" width="11.7109375" style="37" customWidth="1"/>
    <col min="3820" max="3820" width="11.140625" style="37" customWidth="1"/>
    <col min="3821" max="3821" width="11.42578125" style="37" customWidth="1"/>
    <col min="3822" max="3822" width="11.7109375" style="37" customWidth="1"/>
    <col min="3823" max="3823" width="45.42578125" style="37" customWidth="1"/>
    <col min="3824" max="4071" width="9.140625" style="37"/>
    <col min="4072" max="4072" width="4.85546875" style="37" customWidth="1"/>
    <col min="4073" max="4073" width="48.28515625" style="37" customWidth="1"/>
    <col min="4074" max="4074" width="12.85546875" style="37" customWidth="1"/>
    <col min="4075" max="4075" width="11.7109375" style="37" customWidth="1"/>
    <col min="4076" max="4076" width="11.140625" style="37" customWidth="1"/>
    <col min="4077" max="4077" width="11.42578125" style="37" customWidth="1"/>
    <col min="4078" max="4078" width="11.7109375" style="37" customWidth="1"/>
    <col min="4079" max="4079" width="45.42578125" style="37" customWidth="1"/>
    <col min="4080" max="4327" width="9.140625" style="37"/>
    <col min="4328" max="4328" width="4.85546875" style="37" customWidth="1"/>
    <col min="4329" max="4329" width="48.28515625" style="37" customWidth="1"/>
    <col min="4330" max="4330" width="12.85546875" style="37" customWidth="1"/>
    <col min="4331" max="4331" width="11.7109375" style="37" customWidth="1"/>
    <col min="4332" max="4332" width="11.140625" style="37" customWidth="1"/>
    <col min="4333" max="4333" width="11.42578125" style="37" customWidth="1"/>
    <col min="4334" max="4334" width="11.7109375" style="37" customWidth="1"/>
    <col min="4335" max="4335" width="45.42578125" style="37" customWidth="1"/>
    <col min="4336" max="4583" width="9.140625" style="37"/>
    <col min="4584" max="4584" width="4.85546875" style="37" customWidth="1"/>
    <col min="4585" max="4585" width="48.28515625" style="37" customWidth="1"/>
    <col min="4586" max="4586" width="12.85546875" style="37" customWidth="1"/>
    <col min="4587" max="4587" width="11.7109375" style="37" customWidth="1"/>
    <col min="4588" max="4588" width="11.140625" style="37" customWidth="1"/>
    <col min="4589" max="4589" width="11.42578125" style="37" customWidth="1"/>
    <col min="4590" max="4590" width="11.7109375" style="37" customWidth="1"/>
    <col min="4591" max="4591" width="45.42578125" style="37" customWidth="1"/>
    <col min="4592" max="4839" width="9.140625" style="37"/>
    <col min="4840" max="4840" width="4.85546875" style="37" customWidth="1"/>
    <col min="4841" max="4841" width="48.28515625" style="37" customWidth="1"/>
    <col min="4842" max="4842" width="12.85546875" style="37" customWidth="1"/>
    <col min="4843" max="4843" width="11.7109375" style="37" customWidth="1"/>
    <col min="4844" max="4844" width="11.140625" style="37" customWidth="1"/>
    <col min="4845" max="4845" width="11.42578125" style="37" customWidth="1"/>
    <col min="4846" max="4846" width="11.7109375" style="37" customWidth="1"/>
    <col min="4847" max="4847" width="45.42578125" style="37" customWidth="1"/>
    <col min="4848" max="5095" width="9.140625" style="37"/>
    <col min="5096" max="5096" width="4.85546875" style="37" customWidth="1"/>
    <col min="5097" max="5097" width="48.28515625" style="37" customWidth="1"/>
    <col min="5098" max="5098" width="12.85546875" style="37" customWidth="1"/>
    <col min="5099" max="5099" width="11.7109375" style="37" customWidth="1"/>
    <col min="5100" max="5100" width="11.140625" style="37" customWidth="1"/>
    <col min="5101" max="5101" width="11.42578125" style="37" customWidth="1"/>
    <col min="5102" max="5102" width="11.7109375" style="37" customWidth="1"/>
    <col min="5103" max="5103" width="45.42578125" style="37" customWidth="1"/>
    <col min="5104" max="5351" width="9.140625" style="37"/>
    <col min="5352" max="5352" width="4.85546875" style="37" customWidth="1"/>
    <col min="5353" max="5353" width="48.28515625" style="37" customWidth="1"/>
    <col min="5354" max="5354" width="12.85546875" style="37" customWidth="1"/>
    <col min="5355" max="5355" width="11.7109375" style="37" customWidth="1"/>
    <col min="5356" max="5356" width="11.140625" style="37" customWidth="1"/>
    <col min="5357" max="5357" width="11.42578125" style="37" customWidth="1"/>
    <col min="5358" max="5358" width="11.7109375" style="37" customWidth="1"/>
    <col min="5359" max="5359" width="45.42578125" style="37" customWidth="1"/>
    <col min="5360" max="5607" width="9.140625" style="37"/>
    <col min="5608" max="5608" width="4.85546875" style="37" customWidth="1"/>
    <col min="5609" max="5609" width="48.28515625" style="37" customWidth="1"/>
    <col min="5610" max="5610" width="12.85546875" style="37" customWidth="1"/>
    <col min="5611" max="5611" width="11.7109375" style="37" customWidth="1"/>
    <col min="5612" max="5612" width="11.140625" style="37" customWidth="1"/>
    <col min="5613" max="5613" width="11.42578125" style="37" customWidth="1"/>
    <col min="5614" max="5614" width="11.7109375" style="37" customWidth="1"/>
    <col min="5615" max="5615" width="45.42578125" style="37" customWidth="1"/>
    <col min="5616" max="5863" width="9.140625" style="37"/>
    <col min="5864" max="5864" width="4.85546875" style="37" customWidth="1"/>
    <col min="5865" max="5865" width="48.28515625" style="37" customWidth="1"/>
    <col min="5866" max="5866" width="12.85546875" style="37" customWidth="1"/>
    <col min="5867" max="5867" width="11.7109375" style="37" customWidth="1"/>
    <col min="5868" max="5868" width="11.140625" style="37" customWidth="1"/>
    <col min="5869" max="5869" width="11.42578125" style="37" customWidth="1"/>
    <col min="5870" max="5870" width="11.7109375" style="37" customWidth="1"/>
    <col min="5871" max="5871" width="45.42578125" style="37" customWidth="1"/>
    <col min="5872" max="6119" width="9.140625" style="37"/>
    <col min="6120" max="6120" width="4.85546875" style="37" customWidth="1"/>
    <col min="6121" max="6121" width="48.28515625" style="37" customWidth="1"/>
    <col min="6122" max="6122" width="12.85546875" style="37" customWidth="1"/>
    <col min="6123" max="6123" width="11.7109375" style="37" customWidth="1"/>
    <col min="6124" max="6124" width="11.140625" style="37" customWidth="1"/>
    <col min="6125" max="6125" width="11.42578125" style="37" customWidth="1"/>
    <col min="6126" max="6126" width="11.7109375" style="37" customWidth="1"/>
    <col min="6127" max="6127" width="45.42578125" style="37" customWidth="1"/>
    <col min="6128" max="6375" width="9.140625" style="37"/>
    <col min="6376" max="6376" width="4.85546875" style="37" customWidth="1"/>
    <col min="6377" max="6377" width="48.28515625" style="37" customWidth="1"/>
    <col min="6378" max="6378" width="12.85546875" style="37" customWidth="1"/>
    <col min="6379" max="6379" width="11.7109375" style="37" customWidth="1"/>
    <col min="6380" max="6380" width="11.140625" style="37" customWidth="1"/>
    <col min="6381" max="6381" width="11.42578125" style="37" customWidth="1"/>
    <col min="6382" max="6382" width="11.7109375" style="37" customWidth="1"/>
    <col min="6383" max="6383" width="45.42578125" style="37" customWidth="1"/>
    <col min="6384" max="6631" width="9.140625" style="37"/>
    <col min="6632" max="6632" width="4.85546875" style="37" customWidth="1"/>
    <col min="6633" max="6633" width="48.28515625" style="37" customWidth="1"/>
    <col min="6634" max="6634" width="12.85546875" style="37" customWidth="1"/>
    <col min="6635" max="6635" width="11.7109375" style="37" customWidth="1"/>
    <col min="6636" max="6636" width="11.140625" style="37" customWidth="1"/>
    <col min="6637" max="6637" width="11.42578125" style="37" customWidth="1"/>
    <col min="6638" max="6638" width="11.7109375" style="37" customWidth="1"/>
    <col min="6639" max="6639" width="45.42578125" style="37" customWidth="1"/>
    <col min="6640" max="6887" width="9.140625" style="37"/>
    <col min="6888" max="6888" width="4.85546875" style="37" customWidth="1"/>
    <col min="6889" max="6889" width="48.28515625" style="37" customWidth="1"/>
    <col min="6890" max="6890" width="12.85546875" style="37" customWidth="1"/>
    <col min="6891" max="6891" width="11.7109375" style="37" customWidth="1"/>
    <col min="6892" max="6892" width="11.140625" style="37" customWidth="1"/>
    <col min="6893" max="6893" width="11.42578125" style="37" customWidth="1"/>
    <col min="6894" max="6894" width="11.7109375" style="37" customWidth="1"/>
    <col min="6895" max="6895" width="45.42578125" style="37" customWidth="1"/>
    <col min="6896" max="7143" width="9.140625" style="37"/>
    <col min="7144" max="7144" width="4.85546875" style="37" customWidth="1"/>
    <col min="7145" max="7145" width="48.28515625" style="37" customWidth="1"/>
    <col min="7146" max="7146" width="12.85546875" style="37" customWidth="1"/>
    <col min="7147" max="7147" width="11.7109375" style="37" customWidth="1"/>
    <col min="7148" max="7148" width="11.140625" style="37" customWidth="1"/>
    <col min="7149" max="7149" width="11.42578125" style="37" customWidth="1"/>
    <col min="7150" max="7150" width="11.7109375" style="37" customWidth="1"/>
    <col min="7151" max="7151" width="45.42578125" style="37" customWidth="1"/>
    <col min="7152" max="7399" width="9.140625" style="37"/>
    <col min="7400" max="7400" width="4.85546875" style="37" customWidth="1"/>
    <col min="7401" max="7401" width="48.28515625" style="37" customWidth="1"/>
    <col min="7402" max="7402" width="12.85546875" style="37" customWidth="1"/>
    <col min="7403" max="7403" width="11.7109375" style="37" customWidth="1"/>
    <col min="7404" max="7404" width="11.140625" style="37" customWidth="1"/>
    <col min="7405" max="7405" width="11.42578125" style="37" customWidth="1"/>
    <col min="7406" max="7406" width="11.7109375" style="37" customWidth="1"/>
    <col min="7407" max="7407" width="45.42578125" style="37" customWidth="1"/>
    <col min="7408" max="7655" width="9.140625" style="37"/>
    <col min="7656" max="7656" width="4.85546875" style="37" customWidth="1"/>
    <col min="7657" max="7657" width="48.28515625" style="37" customWidth="1"/>
    <col min="7658" max="7658" width="12.85546875" style="37" customWidth="1"/>
    <col min="7659" max="7659" width="11.7109375" style="37" customWidth="1"/>
    <col min="7660" max="7660" width="11.140625" style="37" customWidth="1"/>
    <col min="7661" max="7661" width="11.42578125" style="37" customWidth="1"/>
    <col min="7662" max="7662" width="11.7109375" style="37" customWidth="1"/>
    <col min="7663" max="7663" width="45.42578125" style="37" customWidth="1"/>
    <col min="7664" max="7911" width="9.140625" style="37"/>
    <col min="7912" max="7912" width="4.85546875" style="37" customWidth="1"/>
    <col min="7913" max="7913" width="48.28515625" style="37" customWidth="1"/>
    <col min="7914" max="7914" width="12.85546875" style="37" customWidth="1"/>
    <col min="7915" max="7915" width="11.7109375" style="37" customWidth="1"/>
    <col min="7916" max="7916" width="11.140625" style="37" customWidth="1"/>
    <col min="7917" max="7917" width="11.42578125" style="37" customWidth="1"/>
    <col min="7918" max="7918" width="11.7109375" style="37" customWidth="1"/>
    <col min="7919" max="7919" width="45.42578125" style="37" customWidth="1"/>
    <col min="7920" max="8167" width="9.140625" style="37"/>
    <col min="8168" max="8168" width="4.85546875" style="37" customWidth="1"/>
    <col min="8169" max="8169" width="48.28515625" style="37" customWidth="1"/>
    <col min="8170" max="8170" width="12.85546875" style="37" customWidth="1"/>
    <col min="8171" max="8171" width="11.7109375" style="37" customWidth="1"/>
    <col min="8172" max="8172" width="11.140625" style="37" customWidth="1"/>
    <col min="8173" max="8173" width="11.42578125" style="37" customWidth="1"/>
    <col min="8174" max="8174" width="11.7109375" style="37" customWidth="1"/>
    <col min="8175" max="8175" width="45.42578125" style="37" customWidth="1"/>
    <col min="8176" max="8423" width="9.140625" style="37"/>
    <col min="8424" max="8424" width="4.85546875" style="37" customWidth="1"/>
    <col min="8425" max="8425" width="48.28515625" style="37" customWidth="1"/>
    <col min="8426" max="8426" width="12.85546875" style="37" customWidth="1"/>
    <col min="8427" max="8427" width="11.7109375" style="37" customWidth="1"/>
    <col min="8428" max="8428" width="11.140625" style="37" customWidth="1"/>
    <col min="8429" max="8429" width="11.42578125" style="37" customWidth="1"/>
    <col min="8430" max="8430" width="11.7109375" style="37" customWidth="1"/>
    <col min="8431" max="8431" width="45.42578125" style="37" customWidth="1"/>
    <col min="8432" max="8679" width="9.140625" style="37"/>
    <col min="8680" max="8680" width="4.85546875" style="37" customWidth="1"/>
    <col min="8681" max="8681" width="48.28515625" style="37" customWidth="1"/>
    <col min="8682" max="8682" width="12.85546875" style="37" customWidth="1"/>
    <col min="8683" max="8683" width="11.7109375" style="37" customWidth="1"/>
    <col min="8684" max="8684" width="11.140625" style="37" customWidth="1"/>
    <col min="8685" max="8685" width="11.42578125" style="37" customWidth="1"/>
    <col min="8686" max="8686" width="11.7109375" style="37" customWidth="1"/>
    <col min="8687" max="8687" width="45.42578125" style="37" customWidth="1"/>
    <col min="8688" max="8935" width="9.140625" style="37"/>
    <col min="8936" max="8936" width="4.85546875" style="37" customWidth="1"/>
    <col min="8937" max="8937" width="48.28515625" style="37" customWidth="1"/>
    <col min="8938" max="8938" width="12.85546875" style="37" customWidth="1"/>
    <col min="8939" max="8939" width="11.7109375" style="37" customWidth="1"/>
    <col min="8940" max="8940" width="11.140625" style="37" customWidth="1"/>
    <col min="8941" max="8941" width="11.42578125" style="37" customWidth="1"/>
    <col min="8942" max="8942" width="11.7109375" style="37" customWidth="1"/>
    <col min="8943" max="8943" width="45.42578125" style="37" customWidth="1"/>
    <col min="8944" max="9191" width="9.140625" style="37"/>
    <col min="9192" max="9192" width="4.85546875" style="37" customWidth="1"/>
    <col min="9193" max="9193" width="48.28515625" style="37" customWidth="1"/>
    <col min="9194" max="9194" width="12.85546875" style="37" customWidth="1"/>
    <col min="9195" max="9195" width="11.7109375" style="37" customWidth="1"/>
    <col min="9196" max="9196" width="11.140625" style="37" customWidth="1"/>
    <col min="9197" max="9197" width="11.42578125" style="37" customWidth="1"/>
    <col min="9198" max="9198" width="11.7109375" style="37" customWidth="1"/>
    <col min="9199" max="9199" width="45.42578125" style="37" customWidth="1"/>
    <col min="9200" max="9447" width="9.140625" style="37"/>
    <col min="9448" max="9448" width="4.85546875" style="37" customWidth="1"/>
    <col min="9449" max="9449" width="48.28515625" style="37" customWidth="1"/>
    <col min="9450" max="9450" width="12.85546875" style="37" customWidth="1"/>
    <col min="9451" max="9451" width="11.7109375" style="37" customWidth="1"/>
    <col min="9452" max="9452" width="11.140625" style="37" customWidth="1"/>
    <col min="9453" max="9453" width="11.42578125" style="37" customWidth="1"/>
    <col min="9454" max="9454" width="11.7109375" style="37" customWidth="1"/>
    <col min="9455" max="9455" width="45.42578125" style="37" customWidth="1"/>
    <col min="9456" max="9703" width="9.140625" style="37"/>
    <col min="9704" max="9704" width="4.85546875" style="37" customWidth="1"/>
    <col min="9705" max="9705" width="48.28515625" style="37" customWidth="1"/>
    <col min="9706" max="9706" width="12.85546875" style="37" customWidth="1"/>
    <col min="9707" max="9707" width="11.7109375" style="37" customWidth="1"/>
    <col min="9708" max="9708" width="11.140625" style="37" customWidth="1"/>
    <col min="9709" max="9709" width="11.42578125" style="37" customWidth="1"/>
    <col min="9710" max="9710" width="11.7109375" style="37" customWidth="1"/>
    <col min="9711" max="9711" width="45.42578125" style="37" customWidth="1"/>
    <col min="9712" max="9959" width="9.140625" style="37"/>
    <col min="9960" max="9960" width="4.85546875" style="37" customWidth="1"/>
    <col min="9961" max="9961" width="48.28515625" style="37" customWidth="1"/>
    <col min="9962" max="9962" width="12.85546875" style="37" customWidth="1"/>
    <col min="9963" max="9963" width="11.7109375" style="37" customWidth="1"/>
    <col min="9964" max="9964" width="11.140625" style="37" customWidth="1"/>
    <col min="9965" max="9965" width="11.42578125" style="37" customWidth="1"/>
    <col min="9966" max="9966" width="11.7109375" style="37" customWidth="1"/>
    <col min="9967" max="9967" width="45.42578125" style="37" customWidth="1"/>
    <col min="9968" max="10215" width="9.140625" style="37"/>
    <col min="10216" max="10216" width="4.85546875" style="37" customWidth="1"/>
    <col min="10217" max="10217" width="48.28515625" style="37" customWidth="1"/>
    <col min="10218" max="10218" width="12.85546875" style="37" customWidth="1"/>
    <col min="10219" max="10219" width="11.7109375" style="37" customWidth="1"/>
    <col min="10220" max="10220" width="11.140625" style="37" customWidth="1"/>
    <col min="10221" max="10221" width="11.42578125" style="37" customWidth="1"/>
    <col min="10222" max="10222" width="11.7109375" style="37" customWidth="1"/>
    <col min="10223" max="10223" width="45.42578125" style="37" customWidth="1"/>
    <col min="10224" max="10471" width="9.140625" style="37"/>
    <col min="10472" max="10472" width="4.85546875" style="37" customWidth="1"/>
    <col min="10473" max="10473" width="48.28515625" style="37" customWidth="1"/>
    <col min="10474" max="10474" width="12.85546875" style="37" customWidth="1"/>
    <col min="10475" max="10475" width="11.7109375" style="37" customWidth="1"/>
    <col min="10476" max="10476" width="11.140625" style="37" customWidth="1"/>
    <col min="10477" max="10477" width="11.42578125" style="37" customWidth="1"/>
    <col min="10478" max="10478" width="11.7109375" style="37" customWidth="1"/>
    <col min="10479" max="10479" width="45.42578125" style="37" customWidth="1"/>
    <col min="10480" max="10727" width="9.140625" style="37"/>
    <col min="10728" max="10728" width="4.85546875" style="37" customWidth="1"/>
    <col min="10729" max="10729" width="48.28515625" style="37" customWidth="1"/>
    <col min="10730" max="10730" width="12.85546875" style="37" customWidth="1"/>
    <col min="10731" max="10731" width="11.7109375" style="37" customWidth="1"/>
    <col min="10732" max="10732" width="11.140625" style="37" customWidth="1"/>
    <col min="10733" max="10733" width="11.42578125" style="37" customWidth="1"/>
    <col min="10734" max="10734" width="11.7109375" style="37" customWidth="1"/>
    <col min="10735" max="10735" width="45.42578125" style="37" customWidth="1"/>
    <col min="10736" max="10983" width="9.140625" style="37"/>
    <col min="10984" max="10984" width="4.85546875" style="37" customWidth="1"/>
    <col min="10985" max="10985" width="48.28515625" style="37" customWidth="1"/>
    <col min="10986" max="10986" width="12.85546875" style="37" customWidth="1"/>
    <col min="10987" max="10987" width="11.7109375" style="37" customWidth="1"/>
    <col min="10988" max="10988" width="11.140625" style="37" customWidth="1"/>
    <col min="10989" max="10989" width="11.42578125" style="37" customWidth="1"/>
    <col min="10990" max="10990" width="11.7109375" style="37" customWidth="1"/>
    <col min="10991" max="10991" width="45.42578125" style="37" customWidth="1"/>
    <col min="10992" max="11239" width="9.140625" style="37"/>
    <col min="11240" max="11240" width="4.85546875" style="37" customWidth="1"/>
    <col min="11241" max="11241" width="48.28515625" style="37" customWidth="1"/>
    <col min="11242" max="11242" width="12.85546875" style="37" customWidth="1"/>
    <col min="11243" max="11243" width="11.7109375" style="37" customWidth="1"/>
    <col min="11244" max="11244" width="11.140625" style="37" customWidth="1"/>
    <col min="11245" max="11245" width="11.42578125" style="37" customWidth="1"/>
    <col min="11246" max="11246" width="11.7109375" style="37" customWidth="1"/>
    <col min="11247" max="11247" width="45.42578125" style="37" customWidth="1"/>
    <col min="11248" max="11495" width="9.140625" style="37"/>
    <col min="11496" max="11496" width="4.85546875" style="37" customWidth="1"/>
    <col min="11497" max="11497" width="48.28515625" style="37" customWidth="1"/>
    <col min="11498" max="11498" width="12.85546875" style="37" customWidth="1"/>
    <col min="11499" max="11499" width="11.7109375" style="37" customWidth="1"/>
    <col min="11500" max="11500" width="11.140625" style="37" customWidth="1"/>
    <col min="11501" max="11501" width="11.42578125" style="37" customWidth="1"/>
    <col min="11502" max="11502" width="11.7109375" style="37" customWidth="1"/>
    <col min="11503" max="11503" width="45.42578125" style="37" customWidth="1"/>
    <col min="11504" max="11751" width="9.140625" style="37"/>
    <col min="11752" max="11752" width="4.85546875" style="37" customWidth="1"/>
    <col min="11753" max="11753" width="48.28515625" style="37" customWidth="1"/>
    <col min="11754" max="11754" width="12.85546875" style="37" customWidth="1"/>
    <col min="11755" max="11755" width="11.7109375" style="37" customWidth="1"/>
    <col min="11756" max="11756" width="11.140625" style="37" customWidth="1"/>
    <col min="11757" max="11757" width="11.42578125" style="37" customWidth="1"/>
    <col min="11758" max="11758" width="11.7109375" style="37" customWidth="1"/>
    <col min="11759" max="11759" width="45.42578125" style="37" customWidth="1"/>
    <col min="11760" max="12007" width="9.140625" style="37"/>
    <col min="12008" max="12008" width="4.85546875" style="37" customWidth="1"/>
    <col min="12009" max="12009" width="48.28515625" style="37" customWidth="1"/>
    <col min="12010" max="12010" width="12.85546875" style="37" customWidth="1"/>
    <col min="12011" max="12011" width="11.7109375" style="37" customWidth="1"/>
    <col min="12012" max="12012" width="11.140625" style="37" customWidth="1"/>
    <col min="12013" max="12013" width="11.42578125" style="37" customWidth="1"/>
    <col min="12014" max="12014" width="11.7109375" style="37" customWidth="1"/>
    <col min="12015" max="12015" width="45.42578125" style="37" customWidth="1"/>
    <col min="12016" max="12263" width="9.140625" style="37"/>
    <col min="12264" max="12264" width="4.85546875" style="37" customWidth="1"/>
    <col min="12265" max="12265" width="48.28515625" style="37" customWidth="1"/>
    <col min="12266" max="12266" width="12.85546875" style="37" customWidth="1"/>
    <col min="12267" max="12267" width="11.7109375" style="37" customWidth="1"/>
    <col min="12268" max="12268" width="11.140625" style="37" customWidth="1"/>
    <col min="12269" max="12269" width="11.42578125" style="37" customWidth="1"/>
    <col min="12270" max="12270" width="11.7109375" style="37" customWidth="1"/>
    <col min="12271" max="12271" width="45.42578125" style="37" customWidth="1"/>
    <col min="12272" max="12519" width="9.140625" style="37"/>
    <col min="12520" max="12520" width="4.85546875" style="37" customWidth="1"/>
    <col min="12521" max="12521" width="48.28515625" style="37" customWidth="1"/>
    <col min="12522" max="12522" width="12.85546875" style="37" customWidth="1"/>
    <col min="12523" max="12523" width="11.7109375" style="37" customWidth="1"/>
    <col min="12524" max="12524" width="11.140625" style="37" customWidth="1"/>
    <col min="12525" max="12525" width="11.42578125" style="37" customWidth="1"/>
    <col min="12526" max="12526" width="11.7109375" style="37" customWidth="1"/>
    <col min="12527" max="12527" width="45.42578125" style="37" customWidth="1"/>
    <col min="12528" max="12775" width="9.140625" style="37"/>
    <col min="12776" max="12776" width="4.85546875" style="37" customWidth="1"/>
    <col min="12777" max="12777" width="48.28515625" style="37" customWidth="1"/>
    <col min="12778" max="12778" width="12.85546875" style="37" customWidth="1"/>
    <col min="12779" max="12779" width="11.7109375" style="37" customWidth="1"/>
    <col min="12780" max="12780" width="11.140625" style="37" customWidth="1"/>
    <col min="12781" max="12781" width="11.42578125" style="37" customWidth="1"/>
    <col min="12782" max="12782" width="11.7109375" style="37" customWidth="1"/>
    <col min="12783" max="12783" width="45.42578125" style="37" customWidth="1"/>
    <col min="12784" max="13031" width="9.140625" style="37"/>
    <col min="13032" max="13032" width="4.85546875" style="37" customWidth="1"/>
    <col min="13033" max="13033" width="48.28515625" style="37" customWidth="1"/>
    <col min="13034" max="13034" width="12.85546875" style="37" customWidth="1"/>
    <col min="13035" max="13035" width="11.7109375" style="37" customWidth="1"/>
    <col min="13036" max="13036" width="11.140625" style="37" customWidth="1"/>
    <col min="13037" max="13037" width="11.42578125" style="37" customWidth="1"/>
    <col min="13038" max="13038" width="11.7109375" style="37" customWidth="1"/>
    <col min="13039" max="13039" width="45.42578125" style="37" customWidth="1"/>
    <col min="13040" max="13287" width="9.140625" style="37"/>
    <col min="13288" max="13288" width="4.85546875" style="37" customWidth="1"/>
    <col min="13289" max="13289" width="48.28515625" style="37" customWidth="1"/>
    <col min="13290" max="13290" width="12.85546875" style="37" customWidth="1"/>
    <col min="13291" max="13291" width="11.7109375" style="37" customWidth="1"/>
    <col min="13292" max="13292" width="11.140625" style="37" customWidth="1"/>
    <col min="13293" max="13293" width="11.42578125" style="37" customWidth="1"/>
    <col min="13294" max="13294" width="11.7109375" style="37" customWidth="1"/>
    <col min="13295" max="13295" width="45.42578125" style="37" customWidth="1"/>
    <col min="13296" max="13543" width="9.140625" style="37"/>
    <col min="13544" max="13544" width="4.85546875" style="37" customWidth="1"/>
    <col min="13545" max="13545" width="48.28515625" style="37" customWidth="1"/>
    <col min="13546" max="13546" width="12.85546875" style="37" customWidth="1"/>
    <col min="13547" max="13547" width="11.7109375" style="37" customWidth="1"/>
    <col min="13548" max="13548" width="11.140625" style="37" customWidth="1"/>
    <col min="13549" max="13549" width="11.42578125" style="37" customWidth="1"/>
    <col min="13550" max="13550" width="11.7109375" style="37" customWidth="1"/>
    <col min="13551" max="13551" width="45.42578125" style="37" customWidth="1"/>
    <col min="13552" max="13799" width="9.140625" style="37"/>
    <col min="13800" max="13800" width="4.85546875" style="37" customWidth="1"/>
    <col min="13801" max="13801" width="48.28515625" style="37" customWidth="1"/>
    <col min="13802" max="13802" width="12.85546875" style="37" customWidth="1"/>
    <col min="13803" max="13803" width="11.7109375" style="37" customWidth="1"/>
    <col min="13804" max="13804" width="11.140625" style="37" customWidth="1"/>
    <col min="13805" max="13805" width="11.42578125" style="37" customWidth="1"/>
    <col min="13806" max="13806" width="11.7109375" style="37" customWidth="1"/>
    <col min="13807" max="13807" width="45.42578125" style="37" customWidth="1"/>
    <col min="13808" max="14055" width="9.140625" style="37"/>
    <col min="14056" max="14056" width="4.85546875" style="37" customWidth="1"/>
    <col min="14057" max="14057" width="48.28515625" style="37" customWidth="1"/>
    <col min="14058" max="14058" width="12.85546875" style="37" customWidth="1"/>
    <col min="14059" max="14059" width="11.7109375" style="37" customWidth="1"/>
    <col min="14060" max="14060" width="11.140625" style="37" customWidth="1"/>
    <col min="14061" max="14061" width="11.42578125" style="37" customWidth="1"/>
    <col min="14062" max="14062" width="11.7109375" style="37" customWidth="1"/>
    <col min="14063" max="14063" width="45.42578125" style="37" customWidth="1"/>
    <col min="14064" max="14311" width="9.140625" style="37"/>
    <col min="14312" max="14312" width="4.85546875" style="37" customWidth="1"/>
    <col min="14313" max="14313" width="48.28515625" style="37" customWidth="1"/>
    <col min="14314" max="14314" width="12.85546875" style="37" customWidth="1"/>
    <col min="14315" max="14315" width="11.7109375" style="37" customWidth="1"/>
    <col min="14316" max="14316" width="11.140625" style="37" customWidth="1"/>
    <col min="14317" max="14317" width="11.42578125" style="37" customWidth="1"/>
    <col min="14318" max="14318" width="11.7109375" style="37" customWidth="1"/>
    <col min="14319" max="14319" width="45.42578125" style="37" customWidth="1"/>
    <col min="14320" max="14567" width="9.140625" style="37"/>
    <col min="14568" max="14568" width="4.85546875" style="37" customWidth="1"/>
    <col min="14569" max="14569" width="48.28515625" style="37" customWidth="1"/>
    <col min="14570" max="14570" width="12.85546875" style="37" customWidth="1"/>
    <col min="14571" max="14571" width="11.7109375" style="37" customWidth="1"/>
    <col min="14572" max="14572" width="11.140625" style="37" customWidth="1"/>
    <col min="14573" max="14573" width="11.42578125" style="37" customWidth="1"/>
    <col min="14574" max="14574" width="11.7109375" style="37" customWidth="1"/>
    <col min="14575" max="14575" width="45.42578125" style="37" customWidth="1"/>
    <col min="14576" max="14823" width="9.140625" style="37"/>
    <col min="14824" max="14824" width="4.85546875" style="37" customWidth="1"/>
    <col min="14825" max="14825" width="48.28515625" style="37" customWidth="1"/>
    <col min="14826" max="14826" width="12.85546875" style="37" customWidth="1"/>
    <col min="14827" max="14827" width="11.7109375" style="37" customWidth="1"/>
    <col min="14828" max="14828" width="11.140625" style="37" customWidth="1"/>
    <col min="14829" max="14829" width="11.42578125" style="37" customWidth="1"/>
    <col min="14830" max="14830" width="11.7109375" style="37" customWidth="1"/>
    <col min="14831" max="14831" width="45.42578125" style="37" customWidth="1"/>
    <col min="14832" max="15079" width="9.140625" style="37"/>
    <col min="15080" max="15080" width="4.85546875" style="37" customWidth="1"/>
    <col min="15081" max="15081" width="48.28515625" style="37" customWidth="1"/>
    <col min="15082" max="15082" width="12.85546875" style="37" customWidth="1"/>
    <col min="15083" max="15083" width="11.7109375" style="37" customWidth="1"/>
    <col min="15084" max="15084" width="11.140625" style="37" customWidth="1"/>
    <col min="15085" max="15085" width="11.42578125" style="37" customWidth="1"/>
    <col min="15086" max="15086" width="11.7109375" style="37" customWidth="1"/>
    <col min="15087" max="15087" width="45.42578125" style="37" customWidth="1"/>
    <col min="15088" max="15335" width="9.140625" style="37"/>
    <col min="15336" max="15336" width="4.85546875" style="37" customWidth="1"/>
    <col min="15337" max="15337" width="48.28515625" style="37" customWidth="1"/>
    <col min="15338" max="15338" width="12.85546875" style="37" customWidth="1"/>
    <col min="15339" max="15339" width="11.7109375" style="37" customWidth="1"/>
    <col min="15340" max="15340" width="11.140625" style="37" customWidth="1"/>
    <col min="15341" max="15341" width="11.42578125" style="37" customWidth="1"/>
    <col min="15342" max="15342" width="11.7109375" style="37" customWidth="1"/>
    <col min="15343" max="15343" width="45.42578125" style="37" customWidth="1"/>
    <col min="15344" max="15591" width="9.140625" style="37"/>
    <col min="15592" max="15592" width="4.85546875" style="37" customWidth="1"/>
    <col min="15593" max="15593" width="48.28515625" style="37" customWidth="1"/>
    <col min="15594" max="15594" width="12.85546875" style="37" customWidth="1"/>
    <col min="15595" max="15595" width="11.7109375" style="37" customWidth="1"/>
    <col min="15596" max="15596" width="11.140625" style="37" customWidth="1"/>
    <col min="15597" max="15597" width="11.42578125" style="37" customWidth="1"/>
    <col min="15598" max="15598" width="11.7109375" style="37" customWidth="1"/>
    <col min="15599" max="15599" width="45.42578125" style="37" customWidth="1"/>
    <col min="15600" max="15847" width="9.140625" style="37"/>
    <col min="15848" max="15848" width="4.85546875" style="37" customWidth="1"/>
    <col min="15849" max="15849" width="48.28515625" style="37" customWidth="1"/>
    <col min="15850" max="15850" width="12.85546875" style="37" customWidth="1"/>
    <col min="15851" max="15851" width="11.7109375" style="37" customWidth="1"/>
    <col min="15852" max="15852" width="11.140625" style="37" customWidth="1"/>
    <col min="15853" max="15853" width="11.42578125" style="37" customWidth="1"/>
    <col min="15854" max="15854" width="11.7109375" style="37" customWidth="1"/>
    <col min="15855" max="15855" width="45.42578125" style="37" customWidth="1"/>
    <col min="15856" max="16103" width="9.140625" style="37"/>
    <col min="16104" max="16104" width="4.85546875" style="37" customWidth="1"/>
    <col min="16105" max="16105" width="48.28515625" style="37" customWidth="1"/>
    <col min="16106" max="16106" width="12.85546875" style="37" customWidth="1"/>
    <col min="16107" max="16107" width="11.7109375" style="37" customWidth="1"/>
    <col min="16108" max="16108" width="11.140625" style="37" customWidth="1"/>
    <col min="16109" max="16109" width="11.42578125" style="37" customWidth="1"/>
    <col min="16110" max="16110" width="11.7109375" style="37" customWidth="1"/>
    <col min="16111" max="16111" width="45.42578125" style="37" customWidth="1"/>
    <col min="16112" max="16384" width="9.140625" style="37"/>
  </cols>
  <sheetData>
    <row r="1" spans="1:7" ht="16.5" x14ac:dyDescent="0.25">
      <c r="B1" s="1034" t="s">
        <v>1338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s="95" customFormat="1" ht="12" x14ac:dyDescent="0.2">
      <c r="A6" s="35" t="s">
        <v>1297</v>
      </c>
      <c r="B6" s="36"/>
      <c r="C6" s="974"/>
      <c r="D6" s="974"/>
      <c r="E6" s="974"/>
      <c r="F6" s="974"/>
      <c r="G6" s="974"/>
    </row>
    <row r="7" spans="1:7" x14ac:dyDescent="0.2">
      <c r="A7" s="1" t="s">
        <v>280</v>
      </c>
      <c r="B7" s="36"/>
      <c r="C7" s="918"/>
      <c r="D7" s="918"/>
      <c r="E7" s="918"/>
      <c r="F7" s="38"/>
      <c r="G7" s="38"/>
    </row>
    <row r="8" spans="1:7" ht="15.75" x14ac:dyDescent="0.25">
      <c r="A8" s="1198" t="s">
        <v>291</v>
      </c>
      <c r="B8" s="1198"/>
      <c r="C8" s="1198"/>
      <c r="D8" s="1198"/>
      <c r="E8" s="1198"/>
      <c r="F8" s="1198"/>
      <c r="G8" s="1198"/>
    </row>
    <row r="9" spans="1:7" ht="15.75" x14ac:dyDescent="0.25">
      <c r="A9" s="917"/>
      <c r="B9" s="917"/>
      <c r="C9" s="917"/>
      <c r="D9" s="917"/>
      <c r="E9" s="917"/>
      <c r="F9" s="917"/>
      <c r="G9" s="917"/>
    </row>
    <row r="10" spans="1:7" ht="15.75" x14ac:dyDescent="0.25">
      <c r="A10" s="35" t="s">
        <v>1336</v>
      </c>
      <c r="B10" s="35"/>
      <c r="C10" s="585"/>
      <c r="D10" s="35"/>
      <c r="E10" s="35"/>
      <c r="F10" s="135"/>
      <c r="G10" s="135"/>
    </row>
    <row r="11" spans="1:7" s="43" customFormat="1" x14ac:dyDescent="0.25">
      <c r="A11" s="1236" t="s">
        <v>1331</v>
      </c>
      <c r="B11" s="1236"/>
      <c r="C11" s="134"/>
      <c r="D11" s="81"/>
      <c r="E11" s="81"/>
      <c r="F11" s="140"/>
      <c r="G11" s="44"/>
    </row>
    <row r="12" spans="1:7" x14ac:dyDescent="0.2">
      <c r="A12" s="39" t="s">
        <v>1337</v>
      </c>
      <c r="B12" s="39"/>
      <c r="C12" s="592"/>
      <c r="D12" s="39"/>
      <c r="E12" s="39"/>
      <c r="G12" s="41"/>
    </row>
    <row r="13" spans="1:7" x14ac:dyDescent="0.2">
      <c r="A13" s="1229" t="s">
        <v>1</v>
      </c>
      <c r="B13" s="1229" t="s">
        <v>2</v>
      </c>
      <c r="C13" s="1228" t="s">
        <v>26</v>
      </c>
      <c r="D13" s="1228" t="s">
        <v>61</v>
      </c>
      <c r="E13" s="1228" t="s">
        <v>28</v>
      </c>
      <c r="F13" s="1230" t="s">
        <v>6</v>
      </c>
      <c r="G13" s="1228" t="s">
        <v>1190</v>
      </c>
    </row>
    <row r="14" spans="1:7" ht="24.75" customHeight="1" x14ac:dyDescent="0.2">
      <c r="A14" s="1229"/>
      <c r="B14" s="1229"/>
      <c r="C14" s="1228"/>
      <c r="D14" s="1228"/>
      <c r="E14" s="1228"/>
      <c r="F14" s="1230"/>
      <c r="G14" s="1228"/>
    </row>
    <row r="15" spans="1:7" x14ac:dyDescent="0.2">
      <c r="A15" s="1227" t="s">
        <v>300</v>
      </c>
      <c r="B15" s="1227"/>
      <c r="C15" s="825">
        <f>SUM(C16:C22)</f>
        <v>201303</v>
      </c>
      <c r="D15" s="825">
        <f>SUM(D16:D22)</f>
        <v>196707</v>
      </c>
      <c r="E15" s="825">
        <f>SUM(E16:E22)</f>
        <v>201794</v>
      </c>
      <c r="F15" s="826"/>
      <c r="G15" s="827">
        <f>SUM(G16:G22)</f>
        <v>199794</v>
      </c>
    </row>
    <row r="16" spans="1:7" x14ac:dyDescent="0.2">
      <c r="A16" s="828">
        <v>1</v>
      </c>
      <c r="B16" s="833" t="s">
        <v>176</v>
      </c>
      <c r="C16" s="834">
        <v>23905</v>
      </c>
      <c r="D16" s="830">
        <v>19309</v>
      </c>
      <c r="E16" s="834">
        <v>20016</v>
      </c>
      <c r="F16" s="831">
        <v>6255</v>
      </c>
      <c r="G16" s="832">
        <v>20016</v>
      </c>
    </row>
    <row r="17" spans="1:7" x14ac:dyDescent="0.2">
      <c r="A17" s="828">
        <v>2</v>
      </c>
      <c r="B17" s="833" t="s">
        <v>178</v>
      </c>
      <c r="C17" s="834">
        <f>153671+7000</f>
        <v>160671</v>
      </c>
      <c r="D17" s="830">
        <v>160671</v>
      </c>
      <c r="E17" s="834">
        <v>165000</v>
      </c>
      <c r="F17" s="831">
        <v>6423</v>
      </c>
      <c r="G17" s="832">
        <v>163000</v>
      </c>
    </row>
    <row r="18" spans="1:7" x14ac:dyDescent="0.2">
      <c r="A18" s="828">
        <v>3</v>
      </c>
      <c r="B18" s="833" t="s">
        <v>180</v>
      </c>
      <c r="C18" s="841">
        <v>11668</v>
      </c>
      <c r="D18" s="842">
        <v>11668</v>
      </c>
      <c r="E18" s="841">
        <v>11668</v>
      </c>
      <c r="F18" s="831">
        <v>6423</v>
      </c>
      <c r="G18" s="832">
        <v>11668</v>
      </c>
    </row>
    <row r="19" spans="1:7" x14ac:dyDescent="0.2">
      <c r="A19" s="828">
        <v>4</v>
      </c>
      <c r="B19" s="833" t="s">
        <v>181</v>
      </c>
      <c r="C19" s="841">
        <v>2668</v>
      </c>
      <c r="D19" s="842">
        <v>2668</v>
      </c>
      <c r="E19" s="841">
        <v>2700</v>
      </c>
      <c r="F19" s="831">
        <v>6423</v>
      </c>
      <c r="G19" s="832">
        <v>2700</v>
      </c>
    </row>
    <row r="20" spans="1:7" x14ac:dyDescent="0.2">
      <c r="A20" s="1229">
        <v>5</v>
      </c>
      <c r="B20" s="1237" t="s">
        <v>182</v>
      </c>
      <c r="C20" s="841">
        <v>427</v>
      </c>
      <c r="D20" s="842">
        <v>427</v>
      </c>
      <c r="E20" s="841">
        <v>430</v>
      </c>
      <c r="F20" s="831">
        <v>2314</v>
      </c>
      <c r="G20" s="832">
        <v>430</v>
      </c>
    </row>
    <row r="21" spans="1:7" x14ac:dyDescent="0.2">
      <c r="A21" s="1229"/>
      <c r="B21" s="1237"/>
      <c r="C21" s="841">
        <v>228</v>
      </c>
      <c r="D21" s="841">
        <v>228</v>
      </c>
      <c r="E21" s="841">
        <v>230</v>
      </c>
      <c r="F21" s="831">
        <v>2279</v>
      </c>
      <c r="G21" s="832">
        <v>230</v>
      </c>
    </row>
    <row r="22" spans="1:7" x14ac:dyDescent="0.2">
      <c r="A22" s="1229"/>
      <c r="B22" s="1237"/>
      <c r="C22" s="841">
        <v>1736</v>
      </c>
      <c r="D22" s="841">
        <v>1736</v>
      </c>
      <c r="E22" s="841">
        <v>1750</v>
      </c>
      <c r="F22" s="831">
        <v>2314</v>
      </c>
      <c r="G22" s="832">
        <v>1750</v>
      </c>
    </row>
    <row r="23" spans="1:7" x14ac:dyDescent="0.2">
      <c r="A23" s="599"/>
      <c r="B23" s="362"/>
      <c r="C23" s="607"/>
      <c r="D23" s="600"/>
      <c r="E23" s="607"/>
      <c r="F23" s="518"/>
      <c r="G23" s="601"/>
    </row>
    <row r="24" spans="1:7" x14ac:dyDescent="0.2">
      <c r="A24" s="47" t="s">
        <v>1305</v>
      </c>
      <c r="B24" s="47"/>
      <c r="C24" s="48"/>
      <c r="D24" s="47"/>
      <c r="E24" s="47"/>
      <c r="F24" s="603"/>
      <c r="G24" s="137"/>
    </row>
    <row r="25" spans="1:7" x14ac:dyDescent="0.2">
      <c r="A25" s="47" t="s">
        <v>1306</v>
      </c>
      <c r="B25" s="47"/>
      <c r="C25" s="593"/>
      <c r="D25" s="47"/>
      <c r="E25" s="47"/>
      <c r="F25" s="603"/>
      <c r="G25" s="137"/>
    </row>
    <row r="26" spans="1:7" x14ac:dyDescent="0.2">
      <c r="A26" s="1229" t="s">
        <v>1</v>
      </c>
      <c r="B26" s="1229" t="s">
        <v>2</v>
      </c>
      <c r="C26" s="1228" t="s">
        <v>26</v>
      </c>
      <c r="D26" s="1228" t="s">
        <v>61</v>
      </c>
      <c r="E26" s="1228" t="s">
        <v>28</v>
      </c>
      <c r="F26" s="1230" t="s">
        <v>6</v>
      </c>
      <c r="G26" s="1228" t="s">
        <v>1190</v>
      </c>
    </row>
    <row r="27" spans="1:7" ht="27" customHeight="1" x14ac:dyDescent="0.2">
      <c r="A27" s="1229"/>
      <c r="B27" s="1229"/>
      <c r="C27" s="1228"/>
      <c r="D27" s="1228"/>
      <c r="E27" s="1228"/>
      <c r="F27" s="1230"/>
      <c r="G27" s="1228"/>
    </row>
    <row r="28" spans="1:7" x14ac:dyDescent="0.2">
      <c r="A28" s="1227" t="s">
        <v>300</v>
      </c>
      <c r="B28" s="1227"/>
      <c r="C28" s="825">
        <f>SUM(C29:C29)</f>
        <v>30592</v>
      </c>
      <c r="D28" s="825">
        <f>SUM(D29:D29)</f>
        <v>26228</v>
      </c>
      <c r="E28" s="825">
        <f>SUM(E29:E29)</f>
        <v>30500</v>
      </c>
      <c r="F28" s="826"/>
      <c r="G28" s="827">
        <f>SUM(G29:G29)</f>
        <v>26300</v>
      </c>
    </row>
    <row r="29" spans="1:7" ht="24" x14ac:dyDescent="0.2">
      <c r="A29" s="828">
        <v>1</v>
      </c>
      <c r="B29" s="843" t="s">
        <v>294</v>
      </c>
      <c r="C29" s="842">
        <v>30592</v>
      </c>
      <c r="D29" s="842">
        <v>26228</v>
      </c>
      <c r="E29" s="842">
        <v>30500</v>
      </c>
      <c r="F29" s="831">
        <v>6255</v>
      </c>
      <c r="G29" s="832">
        <v>26300</v>
      </c>
    </row>
    <row r="30" spans="1:7" x14ac:dyDescent="0.2">
      <c r="A30" s="609"/>
      <c r="B30" s="609"/>
      <c r="C30" s="609"/>
      <c r="D30" s="609"/>
      <c r="E30" s="609"/>
      <c r="F30" s="610"/>
      <c r="G30" s="610"/>
    </row>
    <row r="31" spans="1:7" x14ac:dyDescent="0.2">
      <c r="A31" s="47" t="s">
        <v>1307</v>
      </c>
      <c r="B31" s="47"/>
      <c r="C31" s="48"/>
      <c r="D31" s="47"/>
      <c r="E31" s="47"/>
      <c r="F31" s="137"/>
      <c r="G31" s="137"/>
    </row>
    <row r="32" spans="1:7" x14ac:dyDescent="0.2">
      <c r="A32" s="47" t="s">
        <v>1308</v>
      </c>
      <c r="B32" s="47"/>
      <c r="C32" s="593"/>
      <c r="D32" s="47"/>
      <c r="E32" s="47"/>
      <c r="F32" s="603"/>
      <c r="G32" s="137"/>
    </row>
    <row r="33" spans="1:7" ht="26.25" customHeight="1" x14ac:dyDescent="0.2">
      <c r="A33" s="1229" t="s">
        <v>1</v>
      </c>
      <c r="B33" s="1229" t="s">
        <v>2</v>
      </c>
      <c r="C33" s="1228" t="s">
        <v>26</v>
      </c>
      <c r="D33" s="1228" t="s">
        <v>61</v>
      </c>
      <c r="E33" s="1228" t="s">
        <v>28</v>
      </c>
      <c r="F33" s="1230" t="s">
        <v>6</v>
      </c>
      <c r="G33" s="1228" t="s">
        <v>1190</v>
      </c>
    </row>
    <row r="34" spans="1:7" x14ac:dyDescent="0.2">
      <c r="A34" s="1229"/>
      <c r="B34" s="1229"/>
      <c r="C34" s="1228"/>
      <c r="D34" s="1228"/>
      <c r="E34" s="1228"/>
      <c r="F34" s="1230"/>
      <c r="G34" s="1228"/>
    </row>
    <row r="35" spans="1:7" x14ac:dyDescent="0.2">
      <c r="A35" s="1227" t="s">
        <v>300</v>
      </c>
      <c r="B35" s="1227"/>
      <c r="C35" s="825">
        <f>SUM(C36:C39)</f>
        <v>51339</v>
      </c>
      <c r="D35" s="825">
        <f>SUM(D36:D39)</f>
        <v>45904</v>
      </c>
      <c r="E35" s="825">
        <f>SUM(E36:E39)</f>
        <v>49914</v>
      </c>
      <c r="F35" s="826"/>
      <c r="G35" s="827">
        <f>SUM(G36:G39)</f>
        <v>46401</v>
      </c>
    </row>
    <row r="36" spans="1:7" x14ac:dyDescent="0.2">
      <c r="A36" s="828">
        <v>1</v>
      </c>
      <c r="B36" s="833" t="s">
        <v>189</v>
      </c>
      <c r="C36" s="834">
        <v>6403</v>
      </c>
      <c r="D36" s="834">
        <v>6403</v>
      </c>
      <c r="E36" s="834">
        <v>6500</v>
      </c>
      <c r="F36" s="831">
        <v>6259</v>
      </c>
      <c r="G36" s="832">
        <v>6500</v>
      </c>
    </row>
    <row r="37" spans="1:7" x14ac:dyDescent="0.2">
      <c r="A37" s="828">
        <v>2</v>
      </c>
      <c r="B37" s="833" t="s">
        <v>187</v>
      </c>
      <c r="C37" s="834">
        <v>12237</v>
      </c>
      <c r="D37" s="834">
        <v>12237</v>
      </c>
      <c r="E37" s="834">
        <v>12237</v>
      </c>
      <c r="F37" s="831">
        <v>6423</v>
      </c>
      <c r="G37" s="832">
        <v>12237</v>
      </c>
    </row>
    <row r="38" spans="1:7" ht="24" x14ac:dyDescent="0.2">
      <c r="A38" s="828">
        <v>3</v>
      </c>
      <c r="B38" s="843" t="s">
        <v>293</v>
      </c>
      <c r="C38" s="842">
        <v>27035</v>
      </c>
      <c r="D38" s="842">
        <v>21600</v>
      </c>
      <c r="E38" s="842">
        <v>23000</v>
      </c>
      <c r="F38" s="831">
        <v>6255</v>
      </c>
      <c r="G38" s="832">
        <v>22000</v>
      </c>
    </row>
    <row r="39" spans="1:7" x14ac:dyDescent="0.2">
      <c r="A39" s="828">
        <v>4</v>
      </c>
      <c r="B39" s="829" t="s">
        <v>192</v>
      </c>
      <c r="C39" s="830">
        <v>5664</v>
      </c>
      <c r="D39" s="830">
        <v>5664</v>
      </c>
      <c r="E39" s="830">
        <v>8177</v>
      </c>
      <c r="F39" s="831">
        <v>6255</v>
      </c>
      <c r="G39" s="832">
        <v>5664</v>
      </c>
    </row>
    <row r="40" spans="1:7" x14ac:dyDescent="0.2">
      <c r="A40" s="47"/>
      <c r="B40" s="606"/>
      <c r="C40" s="606"/>
      <c r="D40" s="606"/>
      <c r="E40" s="606"/>
      <c r="F40" s="606"/>
      <c r="G40" s="606"/>
    </row>
    <row r="44" spans="1:7" x14ac:dyDescent="0.2">
      <c r="C44" s="45"/>
      <c r="D44" s="45"/>
      <c r="E44" s="45"/>
    </row>
    <row r="47" spans="1:7" x14ac:dyDescent="0.2">
      <c r="E47" s="45"/>
    </row>
  </sheetData>
  <mergeCells count="29">
    <mergeCell ref="E26:E27"/>
    <mergeCell ref="A8:G8"/>
    <mergeCell ref="A11:B11"/>
    <mergeCell ref="A13:A14"/>
    <mergeCell ref="B13:B14"/>
    <mergeCell ref="A15:B15"/>
    <mergeCell ref="A20:A22"/>
    <mergeCell ref="B20:B22"/>
    <mergeCell ref="E13:E14"/>
    <mergeCell ref="C13:C14"/>
    <mergeCell ref="D13:D14"/>
    <mergeCell ref="F13:F14"/>
    <mergeCell ref="G13:G14"/>
    <mergeCell ref="B1:G1"/>
    <mergeCell ref="G33:G34"/>
    <mergeCell ref="A35:B35"/>
    <mergeCell ref="A33:A34"/>
    <mergeCell ref="B33:B34"/>
    <mergeCell ref="C33:C34"/>
    <mergeCell ref="D33:D34"/>
    <mergeCell ref="E33:E34"/>
    <mergeCell ref="F33:F34"/>
    <mergeCell ref="F26:F27"/>
    <mergeCell ref="G26:G27"/>
    <mergeCell ref="A28:B28"/>
    <mergeCell ref="A26:A27"/>
    <mergeCell ref="B26:B27"/>
    <mergeCell ref="C26:C27"/>
    <mergeCell ref="D26:D27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FF99"/>
  </sheetPr>
  <dimension ref="A1:N235"/>
  <sheetViews>
    <sheetView showGridLines="0" zoomScaleNormal="100" workbookViewId="0">
      <selection activeCell="B2" sqref="B2"/>
    </sheetView>
  </sheetViews>
  <sheetFormatPr defaultRowHeight="15" x14ac:dyDescent="0.25"/>
  <cols>
    <col min="1" max="1" width="3.85546875" style="10" customWidth="1"/>
    <col min="2" max="2" width="52.28515625" style="10" customWidth="1"/>
    <col min="3" max="3" width="10.7109375" style="10" hidden="1" customWidth="1"/>
    <col min="4" max="4" width="9.5703125" style="10" hidden="1" customWidth="1"/>
    <col min="5" max="5" width="10.7109375" style="10" hidden="1" customWidth="1"/>
    <col min="6" max="6" width="9.5703125" style="10" hidden="1" customWidth="1"/>
    <col min="7" max="7" width="10.7109375" style="10" hidden="1" customWidth="1"/>
    <col min="8" max="8" width="9.5703125" style="10" hidden="1" customWidth="1"/>
    <col min="9" max="9" width="10.7109375" style="10" customWidth="1"/>
    <col min="10" max="10" width="10.85546875" style="31" customWidth="1"/>
    <col min="11" max="11" width="11" style="10" customWidth="1"/>
    <col min="12" max="12" width="4.5703125" customWidth="1"/>
    <col min="13" max="13" width="9.140625" style="74"/>
    <col min="14" max="241" width="9.140625" style="10"/>
    <col min="242" max="242" width="3.85546875" style="10" customWidth="1"/>
    <col min="243" max="243" width="29.42578125" style="10" customWidth="1"/>
    <col min="244" max="244" width="10.7109375" style="10" bestFit="1" customWidth="1"/>
    <col min="245" max="245" width="9.5703125" style="10" bestFit="1" customWidth="1"/>
    <col min="246" max="246" width="10.7109375" style="10" bestFit="1" customWidth="1"/>
    <col min="247" max="247" width="9.5703125" style="10" bestFit="1" customWidth="1"/>
    <col min="248" max="248" width="10.7109375" style="10" bestFit="1" customWidth="1"/>
    <col min="249" max="249" width="9.5703125" style="10" bestFit="1" customWidth="1"/>
    <col min="250" max="250" width="10.7109375" style="10" customWidth="1"/>
    <col min="251" max="251" width="10.85546875" style="10" customWidth="1"/>
    <col min="252" max="252" width="11" style="10" customWidth="1"/>
    <col min="253" max="253" width="12.28515625" style="10" customWidth="1"/>
    <col min="254" max="497" width="9.140625" style="10"/>
    <col min="498" max="498" width="3.85546875" style="10" customWidth="1"/>
    <col min="499" max="499" width="29.42578125" style="10" customWidth="1"/>
    <col min="500" max="500" width="10.7109375" style="10" bestFit="1" customWidth="1"/>
    <col min="501" max="501" width="9.5703125" style="10" bestFit="1" customWidth="1"/>
    <col min="502" max="502" width="10.7109375" style="10" bestFit="1" customWidth="1"/>
    <col min="503" max="503" width="9.5703125" style="10" bestFit="1" customWidth="1"/>
    <col min="504" max="504" width="10.7109375" style="10" bestFit="1" customWidth="1"/>
    <col min="505" max="505" width="9.5703125" style="10" bestFit="1" customWidth="1"/>
    <col min="506" max="506" width="10.7109375" style="10" customWidth="1"/>
    <col min="507" max="507" width="10.85546875" style="10" customWidth="1"/>
    <col min="508" max="508" width="11" style="10" customWidth="1"/>
    <col min="509" max="509" width="12.28515625" style="10" customWidth="1"/>
    <col min="510" max="753" width="9.140625" style="10"/>
    <col min="754" max="754" width="3.85546875" style="10" customWidth="1"/>
    <col min="755" max="755" width="29.42578125" style="10" customWidth="1"/>
    <col min="756" max="756" width="10.7109375" style="10" bestFit="1" customWidth="1"/>
    <col min="757" max="757" width="9.5703125" style="10" bestFit="1" customWidth="1"/>
    <col min="758" max="758" width="10.7109375" style="10" bestFit="1" customWidth="1"/>
    <col min="759" max="759" width="9.5703125" style="10" bestFit="1" customWidth="1"/>
    <col min="760" max="760" width="10.7109375" style="10" bestFit="1" customWidth="1"/>
    <col min="761" max="761" width="9.5703125" style="10" bestFit="1" customWidth="1"/>
    <col min="762" max="762" width="10.7109375" style="10" customWidth="1"/>
    <col min="763" max="763" width="10.85546875" style="10" customWidth="1"/>
    <col min="764" max="764" width="11" style="10" customWidth="1"/>
    <col min="765" max="765" width="12.28515625" style="10" customWidth="1"/>
    <col min="766" max="1009" width="9.140625" style="10"/>
    <col min="1010" max="1010" width="3.85546875" style="10" customWidth="1"/>
    <col min="1011" max="1011" width="29.42578125" style="10" customWidth="1"/>
    <col min="1012" max="1012" width="10.7109375" style="10" bestFit="1" customWidth="1"/>
    <col min="1013" max="1013" width="9.5703125" style="10" bestFit="1" customWidth="1"/>
    <col min="1014" max="1014" width="10.7109375" style="10" bestFit="1" customWidth="1"/>
    <col min="1015" max="1015" width="9.5703125" style="10" bestFit="1" customWidth="1"/>
    <col min="1016" max="1016" width="10.7109375" style="10" bestFit="1" customWidth="1"/>
    <col min="1017" max="1017" width="9.5703125" style="10" bestFit="1" customWidth="1"/>
    <col min="1018" max="1018" width="10.7109375" style="10" customWidth="1"/>
    <col min="1019" max="1019" width="10.85546875" style="10" customWidth="1"/>
    <col min="1020" max="1020" width="11" style="10" customWidth="1"/>
    <col min="1021" max="1021" width="12.28515625" style="10" customWidth="1"/>
    <col min="1022" max="1265" width="9.140625" style="10"/>
    <col min="1266" max="1266" width="3.85546875" style="10" customWidth="1"/>
    <col min="1267" max="1267" width="29.42578125" style="10" customWidth="1"/>
    <col min="1268" max="1268" width="10.7109375" style="10" bestFit="1" customWidth="1"/>
    <col min="1269" max="1269" width="9.5703125" style="10" bestFit="1" customWidth="1"/>
    <col min="1270" max="1270" width="10.7109375" style="10" bestFit="1" customWidth="1"/>
    <col min="1271" max="1271" width="9.5703125" style="10" bestFit="1" customWidth="1"/>
    <col min="1272" max="1272" width="10.7109375" style="10" bestFit="1" customWidth="1"/>
    <col min="1273" max="1273" width="9.5703125" style="10" bestFit="1" customWidth="1"/>
    <col min="1274" max="1274" width="10.7109375" style="10" customWidth="1"/>
    <col min="1275" max="1275" width="10.85546875" style="10" customWidth="1"/>
    <col min="1276" max="1276" width="11" style="10" customWidth="1"/>
    <col min="1277" max="1277" width="12.28515625" style="10" customWidth="1"/>
    <col min="1278" max="1521" width="9.140625" style="10"/>
    <col min="1522" max="1522" width="3.85546875" style="10" customWidth="1"/>
    <col min="1523" max="1523" width="29.42578125" style="10" customWidth="1"/>
    <col min="1524" max="1524" width="10.7109375" style="10" bestFit="1" customWidth="1"/>
    <col min="1525" max="1525" width="9.5703125" style="10" bestFit="1" customWidth="1"/>
    <col min="1526" max="1526" width="10.7109375" style="10" bestFit="1" customWidth="1"/>
    <col min="1527" max="1527" width="9.5703125" style="10" bestFit="1" customWidth="1"/>
    <col min="1528" max="1528" width="10.7109375" style="10" bestFit="1" customWidth="1"/>
    <col min="1529" max="1529" width="9.5703125" style="10" bestFit="1" customWidth="1"/>
    <col min="1530" max="1530" width="10.7109375" style="10" customWidth="1"/>
    <col min="1531" max="1531" width="10.85546875" style="10" customWidth="1"/>
    <col min="1532" max="1532" width="11" style="10" customWidth="1"/>
    <col min="1533" max="1533" width="12.28515625" style="10" customWidth="1"/>
    <col min="1534" max="1777" width="9.140625" style="10"/>
    <col min="1778" max="1778" width="3.85546875" style="10" customWidth="1"/>
    <col min="1779" max="1779" width="29.42578125" style="10" customWidth="1"/>
    <col min="1780" max="1780" width="10.7109375" style="10" bestFit="1" customWidth="1"/>
    <col min="1781" max="1781" width="9.5703125" style="10" bestFit="1" customWidth="1"/>
    <col min="1782" max="1782" width="10.7109375" style="10" bestFit="1" customWidth="1"/>
    <col min="1783" max="1783" width="9.5703125" style="10" bestFit="1" customWidth="1"/>
    <col min="1784" max="1784" width="10.7109375" style="10" bestFit="1" customWidth="1"/>
    <col min="1785" max="1785" width="9.5703125" style="10" bestFit="1" customWidth="1"/>
    <col min="1786" max="1786" width="10.7109375" style="10" customWidth="1"/>
    <col min="1787" max="1787" width="10.85546875" style="10" customWidth="1"/>
    <col min="1788" max="1788" width="11" style="10" customWidth="1"/>
    <col min="1789" max="1789" width="12.28515625" style="10" customWidth="1"/>
    <col min="1790" max="2033" width="9.140625" style="10"/>
    <col min="2034" max="2034" width="3.85546875" style="10" customWidth="1"/>
    <col min="2035" max="2035" width="29.42578125" style="10" customWidth="1"/>
    <col min="2036" max="2036" width="10.7109375" style="10" bestFit="1" customWidth="1"/>
    <col min="2037" max="2037" width="9.5703125" style="10" bestFit="1" customWidth="1"/>
    <col min="2038" max="2038" width="10.7109375" style="10" bestFit="1" customWidth="1"/>
    <col min="2039" max="2039" width="9.5703125" style="10" bestFit="1" customWidth="1"/>
    <col min="2040" max="2040" width="10.7109375" style="10" bestFit="1" customWidth="1"/>
    <col min="2041" max="2041" width="9.5703125" style="10" bestFit="1" customWidth="1"/>
    <col min="2042" max="2042" width="10.7109375" style="10" customWidth="1"/>
    <col min="2043" max="2043" width="10.85546875" style="10" customWidth="1"/>
    <col min="2044" max="2044" width="11" style="10" customWidth="1"/>
    <col min="2045" max="2045" width="12.28515625" style="10" customWidth="1"/>
    <col min="2046" max="2289" width="9.140625" style="10"/>
    <col min="2290" max="2290" width="3.85546875" style="10" customWidth="1"/>
    <col min="2291" max="2291" width="29.42578125" style="10" customWidth="1"/>
    <col min="2292" max="2292" width="10.7109375" style="10" bestFit="1" customWidth="1"/>
    <col min="2293" max="2293" width="9.5703125" style="10" bestFit="1" customWidth="1"/>
    <col min="2294" max="2294" width="10.7109375" style="10" bestFit="1" customWidth="1"/>
    <col min="2295" max="2295" width="9.5703125" style="10" bestFit="1" customWidth="1"/>
    <col min="2296" max="2296" width="10.7109375" style="10" bestFit="1" customWidth="1"/>
    <col min="2297" max="2297" width="9.5703125" style="10" bestFit="1" customWidth="1"/>
    <col min="2298" max="2298" width="10.7109375" style="10" customWidth="1"/>
    <col min="2299" max="2299" width="10.85546875" style="10" customWidth="1"/>
    <col min="2300" max="2300" width="11" style="10" customWidth="1"/>
    <col min="2301" max="2301" width="12.28515625" style="10" customWidth="1"/>
    <col min="2302" max="2545" width="9.140625" style="10"/>
    <col min="2546" max="2546" width="3.85546875" style="10" customWidth="1"/>
    <col min="2547" max="2547" width="29.42578125" style="10" customWidth="1"/>
    <col min="2548" max="2548" width="10.7109375" style="10" bestFit="1" customWidth="1"/>
    <col min="2549" max="2549" width="9.5703125" style="10" bestFit="1" customWidth="1"/>
    <col min="2550" max="2550" width="10.7109375" style="10" bestFit="1" customWidth="1"/>
    <col min="2551" max="2551" width="9.5703125" style="10" bestFit="1" customWidth="1"/>
    <col min="2552" max="2552" width="10.7109375" style="10" bestFit="1" customWidth="1"/>
    <col min="2553" max="2553" width="9.5703125" style="10" bestFit="1" customWidth="1"/>
    <col min="2554" max="2554" width="10.7109375" style="10" customWidth="1"/>
    <col min="2555" max="2555" width="10.85546875" style="10" customWidth="1"/>
    <col min="2556" max="2556" width="11" style="10" customWidth="1"/>
    <col min="2557" max="2557" width="12.28515625" style="10" customWidth="1"/>
    <col min="2558" max="2801" width="9.140625" style="10"/>
    <col min="2802" max="2802" width="3.85546875" style="10" customWidth="1"/>
    <col min="2803" max="2803" width="29.42578125" style="10" customWidth="1"/>
    <col min="2804" max="2804" width="10.7109375" style="10" bestFit="1" customWidth="1"/>
    <col min="2805" max="2805" width="9.5703125" style="10" bestFit="1" customWidth="1"/>
    <col min="2806" max="2806" width="10.7109375" style="10" bestFit="1" customWidth="1"/>
    <col min="2807" max="2807" width="9.5703125" style="10" bestFit="1" customWidth="1"/>
    <col min="2808" max="2808" width="10.7109375" style="10" bestFit="1" customWidth="1"/>
    <col min="2809" max="2809" width="9.5703125" style="10" bestFit="1" customWidth="1"/>
    <col min="2810" max="2810" width="10.7109375" style="10" customWidth="1"/>
    <col min="2811" max="2811" width="10.85546875" style="10" customWidth="1"/>
    <col min="2812" max="2812" width="11" style="10" customWidth="1"/>
    <col min="2813" max="2813" width="12.28515625" style="10" customWidth="1"/>
    <col min="2814" max="3057" width="9.140625" style="10"/>
    <col min="3058" max="3058" width="3.85546875" style="10" customWidth="1"/>
    <col min="3059" max="3059" width="29.42578125" style="10" customWidth="1"/>
    <col min="3060" max="3060" width="10.7109375" style="10" bestFit="1" customWidth="1"/>
    <col min="3061" max="3061" width="9.5703125" style="10" bestFit="1" customWidth="1"/>
    <col min="3062" max="3062" width="10.7109375" style="10" bestFit="1" customWidth="1"/>
    <col min="3063" max="3063" width="9.5703125" style="10" bestFit="1" customWidth="1"/>
    <col min="3064" max="3064" width="10.7109375" style="10" bestFit="1" customWidth="1"/>
    <col min="3065" max="3065" width="9.5703125" style="10" bestFit="1" customWidth="1"/>
    <col min="3066" max="3066" width="10.7109375" style="10" customWidth="1"/>
    <col min="3067" max="3067" width="10.85546875" style="10" customWidth="1"/>
    <col min="3068" max="3068" width="11" style="10" customWidth="1"/>
    <col min="3069" max="3069" width="12.28515625" style="10" customWidth="1"/>
    <col min="3070" max="3313" width="9.140625" style="10"/>
    <col min="3314" max="3314" width="3.85546875" style="10" customWidth="1"/>
    <col min="3315" max="3315" width="29.42578125" style="10" customWidth="1"/>
    <col min="3316" max="3316" width="10.7109375" style="10" bestFit="1" customWidth="1"/>
    <col min="3317" max="3317" width="9.5703125" style="10" bestFit="1" customWidth="1"/>
    <col min="3318" max="3318" width="10.7109375" style="10" bestFit="1" customWidth="1"/>
    <col min="3319" max="3319" width="9.5703125" style="10" bestFit="1" customWidth="1"/>
    <col min="3320" max="3320" width="10.7109375" style="10" bestFit="1" customWidth="1"/>
    <col min="3321" max="3321" width="9.5703125" style="10" bestFit="1" customWidth="1"/>
    <col min="3322" max="3322" width="10.7109375" style="10" customWidth="1"/>
    <col min="3323" max="3323" width="10.85546875" style="10" customWidth="1"/>
    <col min="3324" max="3324" width="11" style="10" customWidth="1"/>
    <col min="3325" max="3325" width="12.28515625" style="10" customWidth="1"/>
    <col min="3326" max="3569" width="9.140625" style="10"/>
    <col min="3570" max="3570" width="3.85546875" style="10" customWidth="1"/>
    <col min="3571" max="3571" width="29.42578125" style="10" customWidth="1"/>
    <col min="3572" max="3572" width="10.7109375" style="10" bestFit="1" customWidth="1"/>
    <col min="3573" max="3573" width="9.5703125" style="10" bestFit="1" customWidth="1"/>
    <col min="3574" max="3574" width="10.7109375" style="10" bestFit="1" customWidth="1"/>
    <col min="3575" max="3575" width="9.5703125" style="10" bestFit="1" customWidth="1"/>
    <col min="3576" max="3576" width="10.7109375" style="10" bestFit="1" customWidth="1"/>
    <col min="3577" max="3577" width="9.5703125" style="10" bestFit="1" customWidth="1"/>
    <col min="3578" max="3578" width="10.7109375" style="10" customWidth="1"/>
    <col min="3579" max="3579" width="10.85546875" style="10" customWidth="1"/>
    <col min="3580" max="3580" width="11" style="10" customWidth="1"/>
    <col min="3581" max="3581" width="12.28515625" style="10" customWidth="1"/>
    <col min="3582" max="3825" width="9.140625" style="10"/>
    <col min="3826" max="3826" width="3.85546875" style="10" customWidth="1"/>
    <col min="3827" max="3827" width="29.42578125" style="10" customWidth="1"/>
    <col min="3828" max="3828" width="10.7109375" style="10" bestFit="1" customWidth="1"/>
    <col min="3829" max="3829" width="9.5703125" style="10" bestFit="1" customWidth="1"/>
    <col min="3830" max="3830" width="10.7109375" style="10" bestFit="1" customWidth="1"/>
    <col min="3831" max="3831" width="9.5703125" style="10" bestFit="1" customWidth="1"/>
    <col min="3832" max="3832" width="10.7109375" style="10" bestFit="1" customWidth="1"/>
    <col min="3833" max="3833" width="9.5703125" style="10" bestFit="1" customWidth="1"/>
    <col min="3834" max="3834" width="10.7109375" style="10" customWidth="1"/>
    <col min="3835" max="3835" width="10.85546875" style="10" customWidth="1"/>
    <col min="3836" max="3836" width="11" style="10" customWidth="1"/>
    <col min="3837" max="3837" width="12.28515625" style="10" customWidth="1"/>
    <col min="3838" max="4081" width="9.140625" style="10"/>
    <col min="4082" max="4082" width="3.85546875" style="10" customWidth="1"/>
    <col min="4083" max="4083" width="29.42578125" style="10" customWidth="1"/>
    <col min="4084" max="4084" width="10.7109375" style="10" bestFit="1" customWidth="1"/>
    <col min="4085" max="4085" width="9.5703125" style="10" bestFit="1" customWidth="1"/>
    <col min="4086" max="4086" width="10.7109375" style="10" bestFit="1" customWidth="1"/>
    <col min="4087" max="4087" width="9.5703125" style="10" bestFit="1" customWidth="1"/>
    <col min="4088" max="4088" width="10.7109375" style="10" bestFit="1" customWidth="1"/>
    <col min="4089" max="4089" width="9.5703125" style="10" bestFit="1" customWidth="1"/>
    <col min="4090" max="4090" width="10.7109375" style="10" customWidth="1"/>
    <col min="4091" max="4091" width="10.85546875" style="10" customWidth="1"/>
    <col min="4092" max="4092" width="11" style="10" customWidth="1"/>
    <col min="4093" max="4093" width="12.28515625" style="10" customWidth="1"/>
    <col min="4094" max="4337" width="9.140625" style="10"/>
    <col min="4338" max="4338" width="3.85546875" style="10" customWidth="1"/>
    <col min="4339" max="4339" width="29.42578125" style="10" customWidth="1"/>
    <col min="4340" max="4340" width="10.7109375" style="10" bestFit="1" customWidth="1"/>
    <col min="4341" max="4341" width="9.5703125" style="10" bestFit="1" customWidth="1"/>
    <col min="4342" max="4342" width="10.7109375" style="10" bestFit="1" customWidth="1"/>
    <col min="4343" max="4343" width="9.5703125" style="10" bestFit="1" customWidth="1"/>
    <col min="4344" max="4344" width="10.7109375" style="10" bestFit="1" customWidth="1"/>
    <col min="4345" max="4345" width="9.5703125" style="10" bestFit="1" customWidth="1"/>
    <col min="4346" max="4346" width="10.7109375" style="10" customWidth="1"/>
    <col min="4347" max="4347" width="10.85546875" style="10" customWidth="1"/>
    <col min="4348" max="4348" width="11" style="10" customWidth="1"/>
    <col min="4349" max="4349" width="12.28515625" style="10" customWidth="1"/>
    <col min="4350" max="4593" width="9.140625" style="10"/>
    <col min="4594" max="4594" width="3.85546875" style="10" customWidth="1"/>
    <col min="4595" max="4595" width="29.42578125" style="10" customWidth="1"/>
    <col min="4596" max="4596" width="10.7109375" style="10" bestFit="1" customWidth="1"/>
    <col min="4597" max="4597" width="9.5703125" style="10" bestFit="1" customWidth="1"/>
    <col min="4598" max="4598" width="10.7109375" style="10" bestFit="1" customWidth="1"/>
    <col min="4599" max="4599" width="9.5703125" style="10" bestFit="1" customWidth="1"/>
    <col min="4600" max="4600" width="10.7109375" style="10" bestFit="1" customWidth="1"/>
    <col min="4601" max="4601" width="9.5703125" style="10" bestFit="1" customWidth="1"/>
    <col min="4602" max="4602" width="10.7109375" style="10" customWidth="1"/>
    <col min="4603" max="4603" width="10.85546875" style="10" customWidth="1"/>
    <col min="4604" max="4604" width="11" style="10" customWidth="1"/>
    <col min="4605" max="4605" width="12.28515625" style="10" customWidth="1"/>
    <col min="4606" max="4849" width="9.140625" style="10"/>
    <col min="4850" max="4850" width="3.85546875" style="10" customWidth="1"/>
    <col min="4851" max="4851" width="29.42578125" style="10" customWidth="1"/>
    <col min="4852" max="4852" width="10.7109375" style="10" bestFit="1" customWidth="1"/>
    <col min="4853" max="4853" width="9.5703125" style="10" bestFit="1" customWidth="1"/>
    <col min="4854" max="4854" width="10.7109375" style="10" bestFit="1" customWidth="1"/>
    <col min="4855" max="4855" width="9.5703125" style="10" bestFit="1" customWidth="1"/>
    <col min="4856" max="4856" width="10.7109375" style="10" bestFit="1" customWidth="1"/>
    <col min="4857" max="4857" width="9.5703125" style="10" bestFit="1" customWidth="1"/>
    <col min="4858" max="4858" width="10.7109375" style="10" customWidth="1"/>
    <col min="4859" max="4859" width="10.85546875" style="10" customWidth="1"/>
    <col min="4860" max="4860" width="11" style="10" customWidth="1"/>
    <col min="4861" max="4861" width="12.28515625" style="10" customWidth="1"/>
    <col min="4862" max="5105" width="9.140625" style="10"/>
    <col min="5106" max="5106" width="3.85546875" style="10" customWidth="1"/>
    <col min="5107" max="5107" width="29.42578125" style="10" customWidth="1"/>
    <col min="5108" max="5108" width="10.7109375" style="10" bestFit="1" customWidth="1"/>
    <col min="5109" max="5109" width="9.5703125" style="10" bestFit="1" customWidth="1"/>
    <col min="5110" max="5110" width="10.7109375" style="10" bestFit="1" customWidth="1"/>
    <col min="5111" max="5111" width="9.5703125" style="10" bestFit="1" customWidth="1"/>
    <col min="5112" max="5112" width="10.7109375" style="10" bestFit="1" customWidth="1"/>
    <col min="5113" max="5113" width="9.5703125" style="10" bestFit="1" customWidth="1"/>
    <col min="5114" max="5114" width="10.7109375" style="10" customWidth="1"/>
    <col min="5115" max="5115" width="10.85546875" style="10" customWidth="1"/>
    <col min="5116" max="5116" width="11" style="10" customWidth="1"/>
    <col min="5117" max="5117" width="12.28515625" style="10" customWidth="1"/>
    <col min="5118" max="5361" width="9.140625" style="10"/>
    <col min="5362" max="5362" width="3.85546875" style="10" customWidth="1"/>
    <col min="5363" max="5363" width="29.42578125" style="10" customWidth="1"/>
    <col min="5364" max="5364" width="10.7109375" style="10" bestFit="1" customWidth="1"/>
    <col min="5365" max="5365" width="9.5703125" style="10" bestFit="1" customWidth="1"/>
    <col min="5366" max="5366" width="10.7109375" style="10" bestFit="1" customWidth="1"/>
    <col min="5367" max="5367" width="9.5703125" style="10" bestFit="1" customWidth="1"/>
    <col min="5368" max="5368" width="10.7109375" style="10" bestFit="1" customWidth="1"/>
    <col min="5369" max="5369" width="9.5703125" style="10" bestFit="1" customWidth="1"/>
    <col min="5370" max="5370" width="10.7109375" style="10" customWidth="1"/>
    <col min="5371" max="5371" width="10.85546875" style="10" customWidth="1"/>
    <col min="5372" max="5372" width="11" style="10" customWidth="1"/>
    <col min="5373" max="5373" width="12.28515625" style="10" customWidth="1"/>
    <col min="5374" max="5617" width="9.140625" style="10"/>
    <col min="5618" max="5618" width="3.85546875" style="10" customWidth="1"/>
    <col min="5619" max="5619" width="29.42578125" style="10" customWidth="1"/>
    <col min="5620" max="5620" width="10.7109375" style="10" bestFit="1" customWidth="1"/>
    <col min="5621" max="5621" width="9.5703125" style="10" bestFit="1" customWidth="1"/>
    <col min="5622" max="5622" width="10.7109375" style="10" bestFit="1" customWidth="1"/>
    <col min="5623" max="5623" width="9.5703125" style="10" bestFit="1" customWidth="1"/>
    <col min="5624" max="5624" width="10.7109375" style="10" bestFit="1" customWidth="1"/>
    <col min="5625" max="5625" width="9.5703125" style="10" bestFit="1" customWidth="1"/>
    <col min="5626" max="5626" width="10.7109375" style="10" customWidth="1"/>
    <col min="5627" max="5627" width="10.85546875" style="10" customWidth="1"/>
    <col min="5628" max="5628" width="11" style="10" customWidth="1"/>
    <col min="5629" max="5629" width="12.28515625" style="10" customWidth="1"/>
    <col min="5630" max="5873" width="9.140625" style="10"/>
    <col min="5874" max="5874" width="3.85546875" style="10" customWidth="1"/>
    <col min="5875" max="5875" width="29.42578125" style="10" customWidth="1"/>
    <col min="5876" max="5876" width="10.7109375" style="10" bestFit="1" customWidth="1"/>
    <col min="5877" max="5877" width="9.5703125" style="10" bestFit="1" customWidth="1"/>
    <col min="5878" max="5878" width="10.7109375" style="10" bestFit="1" customWidth="1"/>
    <col min="5879" max="5879" width="9.5703125" style="10" bestFit="1" customWidth="1"/>
    <col min="5880" max="5880" width="10.7109375" style="10" bestFit="1" customWidth="1"/>
    <col min="5881" max="5881" width="9.5703125" style="10" bestFit="1" customWidth="1"/>
    <col min="5882" max="5882" width="10.7109375" style="10" customWidth="1"/>
    <col min="5883" max="5883" width="10.85546875" style="10" customWidth="1"/>
    <col min="5884" max="5884" width="11" style="10" customWidth="1"/>
    <col min="5885" max="5885" width="12.28515625" style="10" customWidth="1"/>
    <col min="5886" max="6129" width="9.140625" style="10"/>
    <col min="6130" max="6130" width="3.85546875" style="10" customWidth="1"/>
    <col min="6131" max="6131" width="29.42578125" style="10" customWidth="1"/>
    <col min="6132" max="6132" width="10.7109375" style="10" bestFit="1" customWidth="1"/>
    <col min="6133" max="6133" width="9.5703125" style="10" bestFit="1" customWidth="1"/>
    <col min="6134" max="6134" width="10.7109375" style="10" bestFit="1" customWidth="1"/>
    <col min="6135" max="6135" width="9.5703125" style="10" bestFit="1" customWidth="1"/>
    <col min="6136" max="6136" width="10.7109375" style="10" bestFit="1" customWidth="1"/>
    <col min="6137" max="6137" width="9.5703125" style="10" bestFit="1" customWidth="1"/>
    <col min="6138" max="6138" width="10.7109375" style="10" customWidth="1"/>
    <col min="6139" max="6139" width="10.85546875" style="10" customWidth="1"/>
    <col min="6140" max="6140" width="11" style="10" customWidth="1"/>
    <col min="6141" max="6141" width="12.28515625" style="10" customWidth="1"/>
    <col min="6142" max="6385" width="9.140625" style="10"/>
    <col min="6386" max="6386" width="3.85546875" style="10" customWidth="1"/>
    <col min="6387" max="6387" width="29.42578125" style="10" customWidth="1"/>
    <col min="6388" max="6388" width="10.7109375" style="10" bestFit="1" customWidth="1"/>
    <col min="6389" max="6389" width="9.5703125" style="10" bestFit="1" customWidth="1"/>
    <col min="6390" max="6390" width="10.7109375" style="10" bestFit="1" customWidth="1"/>
    <col min="6391" max="6391" width="9.5703125" style="10" bestFit="1" customWidth="1"/>
    <col min="6392" max="6392" width="10.7109375" style="10" bestFit="1" customWidth="1"/>
    <col min="6393" max="6393" width="9.5703125" style="10" bestFit="1" customWidth="1"/>
    <col min="6394" max="6394" width="10.7109375" style="10" customWidth="1"/>
    <col min="6395" max="6395" width="10.85546875" style="10" customWidth="1"/>
    <col min="6396" max="6396" width="11" style="10" customWidth="1"/>
    <col min="6397" max="6397" width="12.28515625" style="10" customWidth="1"/>
    <col min="6398" max="6641" width="9.140625" style="10"/>
    <col min="6642" max="6642" width="3.85546875" style="10" customWidth="1"/>
    <col min="6643" max="6643" width="29.42578125" style="10" customWidth="1"/>
    <col min="6644" max="6644" width="10.7109375" style="10" bestFit="1" customWidth="1"/>
    <col min="6645" max="6645" width="9.5703125" style="10" bestFit="1" customWidth="1"/>
    <col min="6646" max="6646" width="10.7109375" style="10" bestFit="1" customWidth="1"/>
    <col min="6647" max="6647" width="9.5703125" style="10" bestFit="1" customWidth="1"/>
    <col min="6648" max="6648" width="10.7109375" style="10" bestFit="1" customWidth="1"/>
    <col min="6649" max="6649" width="9.5703125" style="10" bestFit="1" customWidth="1"/>
    <col min="6650" max="6650" width="10.7109375" style="10" customWidth="1"/>
    <col min="6651" max="6651" width="10.85546875" style="10" customWidth="1"/>
    <col min="6652" max="6652" width="11" style="10" customWidth="1"/>
    <col min="6653" max="6653" width="12.28515625" style="10" customWidth="1"/>
    <col min="6654" max="6897" width="9.140625" style="10"/>
    <col min="6898" max="6898" width="3.85546875" style="10" customWidth="1"/>
    <col min="6899" max="6899" width="29.42578125" style="10" customWidth="1"/>
    <col min="6900" max="6900" width="10.7109375" style="10" bestFit="1" customWidth="1"/>
    <col min="6901" max="6901" width="9.5703125" style="10" bestFit="1" customWidth="1"/>
    <col min="6902" max="6902" width="10.7109375" style="10" bestFit="1" customWidth="1"/>
    <col min="6903" max="6903" width="9.5703125" style="10" bestFit="1" customWidth="1"/>
    <col min="6904" max="6904" width="10.7109375" style="10" bestFit="1" customWidth="1"/>
    <col min="6905" max="6905" width="9.5703125" style="10" bestFit="1" customWidth="1"/>
    <col min="6906" max="6906" width="10.7109375" style="10" customWidth="1"/>
    <col min="6907" max="6907" width="10.85546875" style="10" customWidth="1"/>
    <col min="6908" max="6908" width="11" style="10" customWidth="1"/>
    <col min="6909" max="6909" width="12.28515625" style="10" customWidth="1"/>
    <col min="6910" max="7153" width="9.140625" style="10"/>
    <col min="7154" max="7154" width="3.85546875" style="10" customWidth="1"/>
    <col min="7155" max="7155" width="29.42578125" style="10" customWidth="1"/>
    <col min="7156" max="7156" width="10.7109375" style="10" bestFit="1" customWidth="1"/>
    <col min="7157" max="7157" width="9.5703125" style="10" bestFit="1" customWidth="1"/>
    <col min="7158" max="7158" width="10.7109375" style="10" bestFit="1" customWidth="1"/>
    <col min="7159" max="7159" width="9.5703125" style="10" bestFit="1" customWidth="1"/>
    <col min="7160" max="7160" width="10.7109375" style="10" bestFit="1" customWidth="1"/>
    <col min="7161" max="7161" width="9.5703125" style="10" bestFit="1" customWidth="1"/>
    <col min="7162" max="7162" width="10.7109375" style="10" customWidth="1"/>
    <col min="7163" max="7163" width="10.85546875" style="10" customWidth="1"/>
    <col min="7164" max="7164" width="11" style="10" customWidth="1"/>
    <col min="7165" max="7165" width="12.28515625" style="10" customWidth="1"/>
    <col min="7166" max="7409" width="9.140625" style="10"/>
    <col min="7410" max="7410" width="3.85546875" style="10" customWidth="1"/>
    <col min="7411" max="7411" width="29.42578125" style="10" customWidth="1"/>
    <col min="7412" max="7412" width="10.7109375" style="10" bestFit="1" customWidth="1"/>
    <col min="7413" max="7413" width="9.5703125" style="10" bestFit="1" customWidth="1"/>
    <col min="7414" max="7414" width="10.7109375" style="10" bestFit="1" customWidth="1"/>
    <col min="7415" max="7415" width="9.5703125" style="10" bestFit="1" customWidth="1"/>
    <col min="7416" max="7416" width="10.7109375" style="10" bestFit="1" customWidth="1"/>
    <col min="7417" max="7417" width="9.5703125" style="10" bestFit="1" customWidth="1"/>
    <col min="7418" max="7418" width="10.7109375" style="10" customWidth="1"/>
    <col min="7419" max="7419" width="10.85546875" style="10" customWidth="1"/>
    <col min="7420" max="7420" width="11" style="10" customWidth="1"/>
    <col min="7421" max="7421" width="12.28515625" style="10" customWidth="1"/>
    <col min="7422" max="7665" width="9.140625" style="10"/>
    <col min="7666" max="7666" width="3.85546875" style="10" customWidth="1"/>
    <col min="7667" max="7667" width="29.42578125" style="10" customWidth="1"/>
    <col min="7668" max="7668" width="10.7109375" style="10" bestFit="1" customWidth="1"/>
    <col min="7669" max="7669" width="9.5703125" style="10" bestFit="1" customWidth="1"/>
    <col min="7670" max="7670" width="10.7109375" style="10" bestFit="1" customWidth="1"/>
    <col min="7671" max="7671" width="9.5703125" style="10" bestFit="1" customWidth="1"/>
    <col min="7672" max="7672" width="10.7109375" style="10" bestFit="1" customWidth="1"/>
    <col min="7673" max="7673" width="9.5703125" style="10" bestFit="1" customWidth="1"/>
    <col min="7674" max="7674" width="10.7109375" style="10" customWidth="1"/>
    <col min="7675" max="7675" width="10.85546875" style="10" customWidth="1"/>
    <col min="7676" max="7676" width="11" style="10" customWidth="1"/>
    <col min="7677" max="7677" width="12.28515625" style="10" customWidth="1"/>
    <col min="7678" max="7921" width="9.140625" style="10"/>
    <col min="7922" max="7922" width="3.85546875" style="10" customWidth="1"/>
    <col min="7923" max="7923" width="29.42578125" style="10" customWidth="1"/>
    <col min="7924" max="7924" width="10.7109375" style="10" bestFit="1" customWidth="1"/>
    <col min="7925" max="7925" width="9.5703125" style="10" bestFit="1" customWidth="1"/>
    <col min="7926" max="7926" width="10.7109375" style="10" bestFit="1" customWidth="1"/>
    <col min="7927" max="7927" width="9.5703125" style="10" bestFit="1" customWidth="1"/>
    <col min="7928" max="7928" width="10.7109375" style="10" bestFit="1" customWidth="1"/>
    <col min="7929" max="7929" width="9.5703125" style="10" bestFit="1" customWidth="1"/>
    <col min="7930" max="7930" width="10.7109375" style="10" customWidth="1"/>
    <col min="7931" max="7931" width="10.85546875" style="10" customWidth="1"/>
    <col min="7932" max="7932" width="11" style="10" customWidth="1"/>
    <col min="7933" max="7933" width="12.28515625" style="10" customWidth="1"/>
    <col min="7934" max="8177" width="9.140625" style="10"/>
    <col min="8178" max="8178" width="3.85546875" style="10" customWidth="1"/>
    <col min="8179" max="8179" width="29.42578125" style="10" customWidth="1"/>
    <col min="8180" max="8180" width="10.7109375" style="10" bestFit="1" customWidth="1"/>
    <col min="8181" max="8181" width="9.5703125" style="10" bestFit="1" customWidth="1"/>
    <col min="8182" max="8182" width="10.7109375" style="10" bestFit="1" customWidth="1"/>
    <col min="8183" max="8183" width="9.5703125" style="10" bestFit="1" customWidth="1"/>
    <col min="8184" max="8184" width="10.7109375" style="10" bestFit="1" customWidth="1"/>
    <col min="8185" max="8185" width="9.5703125" style="10" bestFit="1" customWidth="1"/>
    <col min="8186" max="8186" width="10.7109375" style="10" customWidth="1"/>
    <col min="8187" max="8187" width="10.85546875" style="10" customWidth="1"/>
    <col min="8188" max="8188" width="11" style="10" customWidth="1"/>
    <col min="8189" max="8189" width="12.28515625" style="10" customWidth="1"/>
    <col min="8190" max="8433" width="9.140625" style="10"/>
    <col min="8434" max="8434" width="3.85546875" style="10" customWidth="1"/>
    <col min="8435" max="8435" width="29.42578125" style="10" customWidth="1"/>
    <col min="8436" max="8436" width="10.7109375" style="10" bestFit="1" customWidth="1"/>
    <col min="8437" max="8437" width="9.5703125" style="10" bestFit="1" customWidth="1"/>
    <col min="8438" max="8438" width="10.7109375" style="10" bestFit="1" customWidth="1"/>
    <col min="8439" max="8439" width="9.5703125" style="10" bestFit="1" customWidth="1"/>
    <col min="8440" max="8440" width="10.7109375" style="10" bestFit="1" customWidth="1"/>
    <col min="8441" max="8441" width="9.5703125" style="10" bestFit="1" customWidth="1"/>
    <col min="8442" max="8442" width="10.7109375" style="10" customWidth="1"/>
    <col min="8443" max="8443" width="10.85546875" style="10" customWidth="1"/>
    <col min="8444" max="8444" width="11" style="10" customWidth="1"/>
    <col min="8445" max="8445" width="12.28515625" style="10" customWidth="1"/>
    <col min="8446" max="8689" width="9.140625" style="10"/>
    <col min="8690" max="8690" width="3.85546875" style="10" customWidth="1"/>
    <col min="8691" max="8691" width="29.42578125" style="10" customWidth="1"/>
    <col min="8692" max="8692" width="10.7109375" style="10" bestFit="1" customWidth="1"/>
    <col min="8693" max="8693" width="9.5703125" style="10" bestFit="1" customWidth="1"/>
    <col min="8694" max="8694" width="10.7109375" style="10" bestFit="1" customWidth="1"/>
    <col min="8695" max="8695" width="9.5703125" style="10" bestFit="1" customWidth="1"/>
    <col min="8696" max="8696" width="10.7109375" style="10" bestFit="1" customWidth="1"/>
    <col min="8697" max="8697" width="9.5703125" style="10" bestFit="1" customWidth="1"/>
    <col min="8698" max="8698" width="10.7109375" style="10" customWidth="1"/>
    <col min="8699" max="8699" width="10.85546875" style="10" customWidth="1"/>
    <col min="8700" max="8700" width="11" style="10" customWidth="1"/>
    <col min="8701" max="8701" width="12.28515625" style="10" customWidth="1"/>
    <col min="8702" max="8945" width="9.140625" style="10"/>
    <col min="8946" max="8946" width="3.85546875" style="10" customWidth="1"/>
    <col min="8947" max="8947" width="29.42578125" style="10" customWidth="1"/>
    <col min="8948" max="8948" width="10.7109375" style="10" bestFit="1" customWidth="1"/>
    <col min="8949" max="8949" width="9.5703125" style="10" bestFit="1" customWidth="1"/>
    <col min="8950" max="8950" width="10.7109375" style="10" bestFit="1" customWidth="1"/>
    <col min="8951" max="8951" width="9.5703125" style="10" bestFit="1" customWidth="1"/>
    <col min="8952" max="8952" width="10.7109375" style="10" bestFit="1" customWidth="1"/>
    <col min="8953" max="8953" width="9.5703125" style="10" bestFit="1" customWidth="1"/>
    <col min="8954" max="8954" width="10.7109375" style="10" customWidth="1"/>
    <col min="8955" max="8955" width="10.85546875" style="10" customWidth="1"/>
    <col min="8956" max="8956" width="11" style="10" customWidth="1"/>
    <col min="8957" max="8957" width="12.28515625" style="10" customWidth="1"/>
    <col min="8958" max="9201" width="9.140625" style="10"/>
    <col min="9202" max="9202" width="3.85546875" style="10" customWidth="1"/>
    <col min="9203" max="9203" width="29.42578125" style="10" customWidth="1"/>
    <col min="9204" max="9204" width="10.7109375" style="10" bestFit="1" customWidth="1"/>
    <col min="9205" max="9205" width="9.5703125" style="10" bestFit="1" customWidth="1"/>
    <col min="9206" max="9206" width="10.7109375" style="10" bestFit="1" customWidth="1"/>
    <col min="9207" max="9207" width="9.5703125" style="10" bestFit="1" customWidth="1"/>
    <col min="9208" max="9208" width="10.7109375" style="10" bestFit="1" customWidth="1"/>
    <col min="9209" max="9209" width="9.5703125" style="10" bestFit="1" customWidth="1"/>
    <col min="9210" max="9210" width="10.7109375" style="10" customWidth="1"/>
    <col min="9211" max="9211" width="10.85546875" style="10" customWidth="1"/>
    <col min="9212" max="9212" width="11" style="10" customWidth="1"/>
    <col min="9213" max="9213" width="12.28515625" style="10" customWidth="1"/>
    <col min="9214" max="9457" width="9.140625" style="10"/>
    <col min="9458" max="9458" width="3.85546875" style="10" customWidth="1"/>
    <col min="9459" max="9459" width="29.42578125" style="10" customWidth="1"/>
    <col min="9460" max="9460" width="10.7109375" style="10" bestFit="1" customWidth="1"/>
    <col min="9461" max="9461" width="9.5703125" style="10" bestFit="1" customWidth="1"/>
    <col min="9462" max="9462" width="10.7109375" style="10" bestFit="1" customWidth="1"/>
    <col min="9463" max="9463" width="9.5703125" style="10" bestFit="1" customWidth="1"/>
    <col min="9464" max="9464" width="10.7109375" style="10" bestFit="1" customWidth="1"/>
    <col min="9465" max="9465" width="9.5703125" style="10" bestFit="1" customWidth="1"/>
    <col min="9466" max="9466" width="10.7109375" style="10" customWidth="1"/>
    <col min="9467" max="9467" width="10.85546875" style="10" customWidth="1"/>
    <col min="9468" max="9468" width="11" style="10" customWidth="1"/>
    <col min="9469" max="9469" width="12.28515625" style="10" customWidth="1"/>
    <col min="9470" max="9713" width="9.140625" style="10"/>
    <col min="9714" max="9714" width="3.85546875" style="10" customWidth="1"/>
    <col min="9715" max="9715" width="29.42578125" style="10" customWidth="1"/>
    <col min="9716" max="9716" width="10.7109375" style="10" bestFit="1" customWidth="1"/>
    <col min="9717" max="9717" width="9.5703125" style="10" bestFit="1" customWidth="1"/>
    <col min="9718" max="9718" width="10.7109375" style="10" bestFit="1" customWidth="1"/>
    <col min="9719" max="9719" width="9.5703125" style="10" bestFit="1" customWidth="1"/>
    <col min="9720" max="9720" width="10.7109375" style="10" bestFit="1" customWidth="1"/>
    <col min="9721" max="9721" width="9.5703125" style="10" bestFit="1" customWidth="1"/>
    <col min="9722" max="9722" width="10.7109375" style="10" customWidth="1"/>
    <col min="9723" max="9723" width="10.85546875" style="10" customWidth="1"/>
    <col min="9724" max="9724" width="11" style="10" customWidth="1"/>
    <col min="9725" max="9725" width="12.28515625" style="10" customWidth="1"/>
    <col min="9726" max="9969" width="9.140625" style="10"/>
    <col min="9970" max="9970" width="3.85546875" style="10" customWidth="1"/>
    <col min="9971" max="9971" width="29.42578125" style="10" customWidth="1"/>
    <col min="9972" max="9972" width="10.7109375" style="10" bestFit="1" customWidth="1"/>
    <col min="9973" max="9973" width="9.5703125" style="10" bestFit="1" customWidth="1"/>
    <col min="9974" max="9974" width="10.7109375" style="10" bestFit="1" customWidth="1"/>
    <col min="9975" max="9975" width="9.5703125" style="10" bestFit="1" customWidth="1"/>
    <col min="9976" max="9976" width="10.7109375" style="10" bestFit="1" customWidth="1"/>
    <col min="9977" max="9977" width="9.5703125" style="10" bestFit="1" customWidth="1"/>
    <col min="9978" max="9978" width="10.7109375" style="10" customWidth="1"/>
    <col min="9979" max="9979" width="10.85546875" style="10" customWidth="1"/>
    <col min="9980" max="9980" width="11" style="10" customWidth="1"/>
    <col min="9981" max="9981" width="12.28515625" style="10" customWidth="1"/>
    <col min="9982" max="10225" width="9.140625" style="10"/>
    <col min="10226" max="10226" width="3.85546875" style="10" customWidth="1"/>
    <col min="10227" max="10227" width="29.42578125" style="10" customWidth="1"/>
    <col min="10228" max="10228" width="10.7109375" style="10" bestFit="1" customWidth="1"/>
    <col min="10229" max="10229" width="9.5703125" style="10" bestFit="1" customWidth="1"/>
    <col min="10230" max="10230" width="10.7109375" style="10" bestFit="1" customWidth="1"/>
    <col min="10231" max="10231" width="9.5703125" style="10" bestFit="1" customWidth="1"/>
    <col min="10232" max="10232" width="10.7109375" style="10" bestFit="1" customWidth="1"/>
    <col min="10233" max="10233" width="9.5703125" style="10" bestFit="1" customWidth="1"/>
    <col min="10234" max="10234" width="10.7109375" style="10" customWidth="1"/>
    <col min="10235" max="10235" width="10.85546875" style="10" customWidth="1"/>
    <col min="10236" max="10236" width="11" style="10" customWidth="1"/>
    <col min="10237" max="10237" width="12.28515625" style="10" customWidth="1"/>
    <col min="10238" max="10481" width="9.140625" style="10"/>
    <col min="10482" max="10482" width="3.85546875" style="10" customWidth="1"/>
    <col min="10483" max="10483" width="29.42578125" style="10" customWidth="1"/>
    <col min="10484" max="10484" width="10.7109375" style="10" bestFit="1" customWidth="1"/>
    <col min="10485" max="10485" width="9.5703125" style="10" bestFit="1" customWidth="1"/>
    <col min="10486" max="10486" width="10.7109375" style="10" bestFit="1" customWidth="1"/>
    <col min="10487" max="10487" width="9.5703125" style="10" bestFit="1" customWidth="1"/>
    <col min="10488" max="10488" width="10.7109375" style="10" bestFit="1" customWidth="1"/>
    <col min="10489" max="10489" width="9.5703125" style="10" bestFit="1" customWidth="1"/>
    <col min="10490" max="10490" width="10.7109375" style="10" customWidth="1"/>
    <col min="10491" max="10491" width="10.85546875" style="10" customWidth="1"/>
    <col min="10492" max="10492" width="11" style="10" customWidth="1"/>
    <col min="10493" max="10493" width="12.28515625" style="10" customWidth="1"/>
    <col min="10494" max="10737" width="9.140625" style="10"/>
    <col min="10738" max="10738" width="3.85546875" style="10" customWidth="1"/>
    <col min="10739" max="10739" width="29.42578125" style="10" customWidth="1"/>
    <col min="10740" max="10740" width="10.7109375" style="10" bestFit="1" customWidth="1"/>
    <col min="10741" max="10741" width="9.5703125" style="10" bestFit="1" customWidth="1"/>
    <col min="10742" max="10742" width="10.7109375" style="10" bestFit="1" customWidth="1"/>
    <col min="10743" max="10743" width="9.5703125" style="10" bestFit="1" customWidth="1"/>
    <col min="10744" max="10744" width="10.7109375" style="10" bestFit="1" customWidth="1"/>
    <col min="10745" max="10745" width="9.5703125" style="10" bestFit="1" customWidth="1"/>
    <col min="10746" max="10746" width="10.7109375" style="10" customWidth="1"/>
    <col min="10747" max="10747" width="10.85546875" style="10" customWidth="1"/>
    <col min="10748" max="10748" width="11" style="10" customWidth="1"/>
    <col min="10749" max="10749" width="12.28515625" style="10" customWidth="1"/>
    <col min="10750" max="10993" width="9.140625" style="10"/>
    <col min="10994" max="10994" width="3.85546875" style="10" customWidth="1"/>
    <col min="10995" max="10995" width="29.42578125" style="10" customWidth="1"/>
    <col min="10996" max="10996" width="10.7109375" style="10" bestFit="1" customWidth="1"/>
    <col min="10997" max="10997" width="9.5703125" style="10" bestFit="1" customWidth="1"/>
    <col min="10998" max="10998" width="10.7109375" style="10" bestFit="1" customWidth="1"/>
    <col min="10999" max="10999" width="9.5703125" style="10" bestFit="1" customWidth="1"/>
    <col min="11000" max="11000" width="10.7109375" style="10" bestFit="1" customWidth="1"/>
    <col min="11001" max="11001" width="9.5703125" style="10" bestFit="1" customWidth="1"/>
    <col min="11002" max="11002" width="10.7109375" style="10" customWidth="1"/>
    <col min="11003" max="11003" width="10.85546875" style="10" customWidth="1"/>
    <col min="11004" max="11004" width="11" style="10" customWidth="1"/>
    <col min="11005" max="11005" width="12.28515625" style="10" customWidth="1"/>
    <col min="11006" max="11249" width="9.140625" style="10"/>
    <col min="11250" max="11250" width="3.85546875" style="10" customWidth="1"/>
    <col min="11251" max="11251" width="29.42578125" style="10" customWidth="1"/>
    <col min="11252" max="11252" width="10.7109375" style="10" bestFit="1" customWidth="1"/>
    <col min="11253" max="11253" width="9.5703125" style="10" bestFit="1" customWidth="1"/>
    <col min="11254" max="11254" width="10.7109375" style="10" bestFit="1" customWidth="1"/>
    <col min="11255" max="11255" width="9.5703125" style="10" bestFit="1" customWidth="1"/>
    <col min="11256" max="11256" width="10.7109375" style="10" bestFit="1" customWidth="1"/>
    <col min="11257" max="11257" width="9.5703125" style="10" bestFit="1" customWidth="1"/>
    <col min="11258" max="11258" width="10.7109375" style="10" customWidth="1"/>
    <col min="11259" max="11259" width="10.85546875" style="10" customWidth="1"/>
    <col min="11260" max="11260" width="11" style="10" customWidth="1"/>
    <col min="11261" max="11261" width="12.28515625" style="10" customWidth="1"/>
    <col min="11262" max="11505" width="9.140625" style="10"/>
    <col min="11506" max="11506" width="3.85546875" style="10" customWidth="1"/>
    <col min="11507" max="11507" width="29.42578125" style="10" customWidth="1"/>
    <col min="11508" max="11508" width="10.7109375" style="10" bestFit="1" customWidth="1"/>
    <col min="11509" max="11509" width="9.5703125" style="10" bestFit="1" customWidth="1"/>
    <col min="11510" max="11510" width="10.7109375" style="10" bestFit="1" customWidth="1"/>
    <col min="11511" max="11511" width="9.5703125" style="10" bestFit="1" customWidth="1"/>
    <col min="11512" max="11512" width="10.7109375" style="10" bestFit="1" customWidth="1"/>
    <col min="11513" max="11513" width="9.5703125" style="10" bestFit="1" customWidth="1"/>
    <col min="11514" max="11514" width="10.7109375" style="10" customWidth="1"/>
    <col min="11515" max="11515" width="10.85546875" style="10" customWidth="1"/>
    <col min="11516" max="11516" width="11" style="10" customWidth="1"/>
    <col min="11517" max="11517" width="12.28515625" style="10" customWidth="1"/>
    <col min="11518" max="11761" width="9.140625" style="10"/>
    <col min="11762" max="11762" width="3.85546875" style="10" customWidth="1"/>
    <col min="11763" max="11763" width="29.42578125" style="10" customWidth="1"/>
    <col min="11764" max="11764" width="10.7109375" style="10" bestFit="1" customWidth="1"/>
    <col min="11765" max="11765" width="9.5703125" style="10" bestFit="1" customWidth="1"/>
    <col min="11766" max="11766" width="10.7109375" style="10" bestFit="1" customWidth="1"/>
    <col min="11767" max="11767" width="9.5703125" style="10" bestFit="1" customWidth="1"/>
    <col min="11768" max="11768" width="10.7109375" style="10" bestFit="1" customWidth="1"/>
    <col min="11769" max="11769" width="9.5703125" style="10" bestFit="1" customWidth="1"/>
    <col min="11770" max="11770" width="10.7109375" style="10" customWidth="1"/>
    <col min="11771" max="11771" width="10.85546875" style="10" customWidth="1"/>
    <col min="11772" max="11772" width="11" style="10" customWidth="1"/>
    <col min="11773" max="11773" width="12.28515625" style="10" customWidth="1"/>
    <col min="11774" max="12017" width="9.140625" style="10"/>
    <col min="12018" max="12018" width="3.85546875" style="10" customWidth="1"/>
    <col min="12019" max="12019" width="29.42578125" style="10" customWidth="1"/>
    <col min="12020" max="12020" width="10.7109375" style="10" bestFit="1" customWidth="1"/>
    <col min="12021" max="12021" width="9.5703125" style="10" bestFit="1" customWidth="1"/>
    <col min="12022" max="12022" width="10.7109375" style="10" bestFit="1" customWidth="1"/>
    <col min="12023" max="12023" width="9.5703125" style="10" bestFit="1" customWidth="1"/>
    <col min="12024" max="12024" width="10.7109375" style="10" bestFit="1" customWidth="1"/>
    <col min="12025" max="12025" width="9.5703125" style="10" bestFit="1" customWidth="1"/>
    <col min="12026" max="12026" width="10.7109375" style="10" customWidth="1"/>
    <col min="12027" max="12027" width="10.85546875" style="10" customWidth="1"/>
    <col min="12028" max="12028" width="11" style="10" customWidth="1"/>
    <col min="12029" max="12029" width="12.28515625" style="10" customWidth="1"/>
    <col min="12030" max="12273" width="9.140625" style="10"/>
    <col min="12274" max="12274" width="3.85546875" style="10" customWidth="1"/>
    <col min="12275" max="12275" width="29.42578125" style="10" customWidth="1"/>
    <col min="12276" max="12276" width="10.7109375" style="10" bestFit="1" customWidth="1"/>
    <col min="12277" max="12277" width="9.5703125" style="10" bestFit="1" customWidth="1"/>
    <col min="12278" max="12278" width="10.7109375" style="10" bestFit="1" customWidth="1"/>
    <col min="12279" max="12279" width="9.5703125" style="10" bestFit="1" customWidth="1"/>
    <col min="12280" max="12280" width="10.7109375" style="10" bestFit="1" customWidth="1"/>
    <col min="12281" max="12281" width="9.5703125" style="10" bestFit="1" customWidth="1"/>
    <col min="12282" max="12282" width="10.7109375" style="10" customWidth="1"/>
    <col min="12283" max="12283" width="10.85546875" style="10" customWidth="1"/>
    <col min="12284" max="12284" width="11" style="10" customWidth="1"/>
    <col min="12285" max="12285" width="12.28515625" style="10" customWidth="1"/>
    <col min="12286" max="12529" width="9.140625" style="10"/>
    <col min="12530" max="12530" width="3.85546875" style="10" customWidth="1"/>
    <col min="12531" max="12531" width="29.42578125" style="10" customWidth="1"/>
    <col min="12532" max="12532" width="10.7109375" style="10" bestFit="1" customWidth="1"/>
    <col min="12533" max="12533" width="9.5703125" style="10" bestFit="1" customWidth="1"/>
    <col min="12534" max="12534" width="10.7109375" style="10" bestFit="1" customWidth="1"/>
    <col min="12535" max="12535" width="9.5703125" style="10" bestFit="1" customWidth="1"/>
    <col min="12536" max="12536" width="10.7109375" style="10" bestFit="1" customWidth="1"/>
    <col min="12537" max="12537" width="9.5703125" style="10" bestFit="1" customWidth="1"/>
    <col min="12538" max="12538" width="10.7109375" style="10" customWidth="1"/>
    <col min="12539" max="12539" width="10.85546875" style="10" customWidth="1"/>
    <col min="12540" max="12540" width="11" style="10" customWidth="1"/>
    <col min="12541" max="12541" width="12.28515625" style="10" customWidth="1"/>
    <col min="12542" max="12785" width="9.140625" style="10"/>
    <col min="12786" max="12786" width="3.85546875" style="10" customWidth="1"/>
    <col min="12787" max="12787" width="29.42578125" style="10" customWidth="1"/>
    <col min="12788" max="12788" width="10.7109375" style="10" bestFit="1" customWidth="1"/>
    <col min="12789" max="12789" width="9.5703125" style="10" bestFit="1" customWidth="1"/>
    <col min="12790" max="12790" width="10.7109375" style="10" bestFit="1" customWidth="1"/>
    <col min="12791" max="12791" width="9.5703125" style="10" bestFit="1" customWidth="1"/>
    <col min="12792" max="12792" width="10.7109375" style="10" bestFit="1" customWidth="1"/>
    <col min="12793" max="12793" width="9.5703125" style="10" bestFit="1" customWidth="1"/>
    <col min="12794" max="12794" width="10.7109375" style="10" customWidth="1"/>
    <col min="12795" max="12795" width="10.85546875" style="10" customWidth="1"/>
    <col min="12796" max="12796" width="11" style="10" customWidth="1"/>
    <col min="12797" max="12797" width="12.28515625" style="10" customWidth="1"/>
    <col min="12798" max="13041" width="9.140625" style="10"/>
    <col min="13042" max="13042" width="3.85546875" style="10" customWidth="1"/>
    <col min="13043" max="13043" width="29.42578125" style="10" customWidth="1"/>
    <col min="13044" max="13044" width="10.7109375" style="10" bestFit="1" customWidth="1"/>
    <col min="13045" max="13045" width="9.5703125" style="10" bestFit="1" customWidth="1"/>
    <col min="13046" max="13046" width="10.7109375" style="10" bestFit="1" customWidth="1"/>
    <col min="13047" max="13047" width="9.5703125" style="10" bestFit="1" customWidth="1"/>
    <col min="13048" max="13048" width="10.7109375" style="10" bestFit="1" customWidth="1"/>
    <col min="13049" max="13049" width="9.5703125" style="10" bestFit="1" customWidth="1"/>
    <col min="13050" max="13050" width="10.7109375" style="10" customWidth="1"/>
    <col min="13051" max="13051" width="10.85546875" style="10" customWidth="1"/>
    <col min="13052" max="13052" width="11" style="10" customWidth="1"/>
    <col min="13053" max="13053" width="12.28515625" style="10" customWidth="1"/>
    <col min="13054" max="13297" width="9.140625" style="10"/>
    <col min="13298" max="13298" width="3.85546875" style="10" customWidth="1"/>
    <col min="13299" max="13299" width="29.42578125" style="10" customWidth="1"/>
    <col min="13300" max="13300" width="10.7109375" style="10" bestFit="1" customWidth="1"/>
    <col min="13301" max="13301" width="9.5703125" style="10" bestFit="1" customWidth="1"/>
    <col min="13302" max="13302" width="10.7109375" style="10" bestFit="1" customWidth="1"/>
    <col min="13303" max="13303" width="9.5703125" style="10" bestFit="1" customWidth="1"/>
    <col min="13304" max="13304" width="10.7109375" style="10" bestFit="1" customWidth="1"/>
    <col min="13305" max="13305" width="9.5703125" style="10" bestFit="1" customWidth="1"/>
    <col min="13306" max="13306" width="10.7109375" style="10" customWidth="1"/>
    <col min="13307" max="13307" width="10.85546875" style="10" customWidth="1"/>
    <col min="13308" max="13308" width="11" style="10" customWidth="1"/>
    <col min="13309" max="13309" width="12.28515625" style="10" customWidth="1"/>
    <col min="13310" max="13553" width="9.140625" style="10"/>
    <col min="13554" max="13554" width="3.85546875" style="10" customWidth="1"/>
    <col min="13555" max="13555" width="29.42578125" style="10" customWidth="1"/>
    <col min="13556" max="13556" width="10.7109375" style="10" bestFit="1" customWidth="1"/>
    <col min="13557" max="13557" width="9.5703125" style="10" bestFit="1" customWidth="1"/>
    <col min="13558" max="13558" width="10.7109375" style="10" bestFit="1" customWidth="1"/>
    <col min="13559" max="13559" width="9.5703125" style="10" bestFit="1" customWidth="1"/>
    <col min="13560" max="13560" width="10.7109375" style="10" bestFit="1" customWidth="1"/>
    <col min="13561" max="13561" width="9.5703125" style="10" bestFit="1" customWidth="1"/>
    <col min="13562" max="13562" width="10.7109375" style="10" customWidth="1"/>
    <col min="13563" max="13563" width="10.85546875" style="10" customWidth="1"/>
    <col min="13564" max="13564" width="11" style="10" customWidth="1"/>
    <col min="13565" max="13565" width="12.28515625" style="10" customWidth="1"/>
    <col min="13566" max="13809" width="9.140625" style="10"/>
    <col min="13810" max="13810" width="3.85546875" style="10" customWidth="1"/>
    <col min="13811" max="13811" width="29.42578125" style="10" customWidth="1"/>
    <col min="13812" max="13812" width="10.7109375" style="10" bestFit="1" customWidth="1"/>
    <col min="13813" max="13813" width="9.5703125" style="10" bestFit="1" customWidth="1"/>
    <col min="13814" max="13814" width="10.7109375" style="10" bestFit="1" customWidth="1"/>
    <col min="13815" max="13815" width="9.5703125" style="10" bestFit="1" customWidth="1"/>
    <col min="13816" max="13816" width="10.7109375" style="10" bestFit="1" customWidth="1"/>
    <col min="13817" max="13817" width="9.5703125" style="10" bestFit="1" customWidth="1"/>
    <col min="13818" max="13818" width="10.7109375" style="10" customWidth="1"/>
    <col min="13819" max="13819" width="10.85546875" style="10" customWidth="1"/>
    <col min="13820" max="13820" width="11" style="10" customWidth="1"/>
    <col min="13821" max="13821" width="12.28515625" style="10" customWidth="1"/>
    <col min="13822" max="14065" width="9.140625" style="10"/>
    <col min="14066" max="14066" width="3.85546875" style="10" customWidth="1"/>
    <col min="14067" max="14067" width="29.42578125" style="10" customWidth="1"/>
    <col min="14068" max="14068" width="10.7109375" style="10" bestFit="1" customWidth="1"/>
    <col min="14069" max="14069" width="9.5703125" style="10" bestFit="1" customWidth="1"/>
    <col min="14070" max="14070" width="10.7109375" style="10" bestFit="1" customWidth="1"/>
    <col min="14071" max="14071" width="9.5703125" style="10" bestFit="1" customWidth="1"/>
    <col min="14072" max="14072" width="10.7109375" style="10" bestFit="1" customWidth="1"/>
    <col min="14073" max="14073" width="9.5703125" style="10" bestFit="1" customWidth="1"/>
    <col min="14074" max="14074" width="10.7109375" style="10" customWidth="1"/>
    <col min="14075" max="14075" width="10.85546875" style="10" customWidth="1"/>
    <col min="14076" max="14076" width="11" style="10" customWidth="1"/>
    <col min="14077" max="14077" width="12.28515625" style="10" customWidth="1"/>
    <col min="14078" max="14321" width="9.140625" style="10"/>
    <col min="14322" max="14322" width="3.85546875" style="10" customWidth="1"/>
    <col min="14323" max="14323" width="29.42578125" style="10" customWidth="1"/>
    <col min="14324" max="14324" width="10.7109375" style="10" bestFit="1" customWidth="1"/>
    <col min="14325" max="14325" width="9.5703125" style="10" bestFit="1" customWidth="1"/>
    <col min="14326" max="14326" width="10.7109375" style="10" bestFit="1" customWidth="1"/>
    <col min="14327" max="14327" width="9.5703125" style="10" bestFit="1" customWidth="1"/>
    <col min="14328" max="14328" width="10.7109375" style="10" bestFit="1" customWidth="1"/>
    <col min="14329" max="14329" width="9.5703125" style="10" bestFit="1" customWidth="1"/>
    <col min="14330" max="14330" width="10.7109375" style="10" customWidth="1"/>
    <col min="14331" max="14331" width="10.85546875" style="10" customWidth="1"/>
    <col min="14332" max="14332" width="11" style="10" customWidth="1"/>
    <col min="14333" max="14333" width="12.28515625" style="10" customWidth="1"/>
    <col min="14334" max="14577" width="9.140625" style="10"/>
    <col min="14578" max="14578" width="3.85546875" style="10" customWidth="1"/>
    <col min="14579" max="14579" width="29.42578125" style="10" customWidth="1"/>
    <col min="14580" max="14580" width="10.7109375" style="10" bestFit="1" customWidth="1"/>
    <col min="14581" max="14581" width="9.5703125" style="10" bestFit="1" customWidth="1"/>
    <col min="14582" max="14582" width="10.7109375" style="10" bestFit="1" customWidth="1"/>
    <col min="14583" max="14583" width="9.5703125" style="10" bestFit="1" customWidth="1"/>
    <col min="14584" max="14584" width="10.7109375" style="10" bestFit="1" customWidth="1"/>
    <col min="14585" max="14585" width="9.5703125" style="10" bestFit="1" customWidth="1"/>
    <col min="14586" max="14586" width="10.7109375" style="10" customWidth="1"/>
    <col min="14587" max="14587" width="10.85546875" style="10" customWidth="1"/>
    <col min="14588" max="14588" width="11" style="10" customWidth="1"/>
    <col min="14589" max="14589" width="12.28515625" style="10" customWidth="1"/>
    <col min="14590" max="14833" width="9.140625" style="10"/>
    <col min="14834" max="14834" width="3.85546875" style="10" customWidth="1"/>
    <col min="14835" max="14835" width="29.42578125" style="10" customWidth="1"/>
    <col min="14836" max="14836" width="10.7109375" style="10" bestFit="1" customWidth="1"/>
    <col min="14837" max="14837" width="9.5703125" style="10" bestFit="1" customWidth="1"/>
    <col min="14838" max="14838" width="10.7109375" style="10" bestFit="1" customWidth="1"/>
    <col min="14839" max="14839" width="9.5703125" style="10" bestFit="1" customWidth="1"/>
    <col min="14840" max="14840" width="10.7109375" style="10" bestFit="1" customWidth="1"/>
    <col min="14841" max="14841" width="9.5703125" style="10" bestFit="1" customWidth="1"/>
    <col min="14842" max="14842" width="10.7109375" style="10" customWidth="1"/>
    <col min="14843" max="14843" width="10.85546875" style="10" customWidth="1"/>
    <col min="14844" max="14844" width="11" style="10" customWidth="1"/>
    <col min="14845" max="14845" width="12.28515625" style="10" customWidth="1"/>
    <col min="14846" max="15089" width="9.140625" style="10"/>
    <col min="15090" max="15090" width="3.85546875" style="10" customWidth="1"/>
    <col min="15091" max="15091" width="29.42578125" style="10" customWidth="1"/>
    <col min="15092" max="15092" width="10.7109375" style="10" bestFit="1" customWidth="1"/>
    <col min="15093" max="15093" width="9.5703125" style="10" bestFit="1" customWidth="1"/>
    <col min="15094" max="15094" width="10.7109375" style="10" bestFit="1" customWidth="1"/>
    <col min="15095" max="15095" width="9.5703125" style="10" bestFit="1" customWidth="1"/>
    <col min="15096" max="15096" width="10.7109375" style="10" bestFit="1" customWidth="1"/>
    <col min="15097" max="15097" width="9.5703125" style="10" bestFit="1" customWidth="1"/>
    <col min="15098" max="15098" width="10.7109375" style="10" customWidth="1"/>
    <col min="15099" max="15099" width="10.85546875" style="10" customWidth="1"/>
    <col min="15100" max="15100" width="11" style="10" customWidth="1"/>
    <col min="15101" max="15101" width="12.28515625" style="10" customWidth="1"/>
    <col min="15102" max="15345" width="9.140625" style="10"/>
    <col min="15346" max="15346" width="3.85546875" style="10" customWidth="1"/>
    <col min="15347" max="15347" width="29.42578125" style="10" customWidth="1"/>
    <col min="15348" max="15348" width="10.7109375" style="10" bestFit="1" customWidth="1"/>
    <col min="15349" max="15349" width="9.5703125" style="10" bestFit="1" customWidth="1"/>
    <col min="15350" max="15350" width="10.7109375" style="10" bestFit="1" customWidth="1"/>
    <col min="15351" max="15351" width="9.5703125" style="10" bestFit="1" customWidth="1"/>
    <col min="15352" max="15352" width="10.7109375" style="10" bestFit="1" customWidth="1"/>
    <col min="15353" max="15353" width="9.5703125" style="10" bestFit="1" customWidth="1"/>
    <col min="15354" max="15354" width="10.7109375" style="10" customWidth="1"/>
    <col min="15355" max="15355" width="10.85546875" style="10" customWidth="1"/>
    <col min="15356" max="15356" width="11" style="10" customWidth="1"/>
    <col min="15357" max="15357" width="12.28515625" style="10" customWidth="1"/>
    <col min="15358" max="15601" width="9.140625" style="10"/>
    <col min="15602" max="15602" width="3.85546875" style="10" customWidth="1"/>
    <col min="15603" max="15603" width="29.42578125" style="10" customWidth="1"/>
    <col min="15604" max="15604" width="10.7109375" style="10" bestFit="1" customWidth="1"/>
    <col min="15605" max="15605" width="9.5703125" style="10" bestFit="1" customWidth="1"/>
    <col min="15606" max="15606" width="10.7109375" style="10" bestFit="1" customWidth="1"/>
    <col min="15607" max="15607" width="9.5703125" style="10" bestFit="1" customWidth="1"/>
    <col min="15608" max="15608" width="10.7109375" style="10" bestFit="1" customWidth="1"/>
    <col min="15609" max="15609" width="9.5703125" style="10" bestFit="1" customWidth="1"/>
    <col min="15610" max="15610" width="10.7109375" style="10" customWidth="1"/>
    <col min="15611" max="15611" width="10.85546875" style="10" customWidth="1"/>
    <col min="15612" max="15612" width="11" style="10" customWidth="1"/>
    <col min="15613" max="15613" width="12.28515625" style="10" customWidth="1"/>
    <col min="15614" max="15857" width="9.140625" style="10"/>
    <col min="15858" max="15858" width="3.85546875" style="10" customWidth="1"/>
    <col min="15859" max="15859" width="29.42578125" style="10" customWidth="1"/>
    <col min="15860" max="15860" width="10.7109375" style="10" bestFit="1" customWidth="1"/>
    <col min="15861" max="15861" width="9.5703125" style="10" bestFit="1" customWidth="1"/>
    <col min="15862" max="15862" width="10.7109375" style="10" bestFit="1" customWidth="1"/>
    <col min="15863" max="15863" width="9.5703125" style="10" bestFit="1" customWidth="1"/>
    <col min="15864" max="15864" width="10.7109375" style="10" bestFit="1" customWidth="1"/>
    <col min="15865" max="15865" width="9.5703125" style="10" bestFit="1" customWidth="1"/>
    <col min="15866" max="15866" width="10.7109375" style="10" customWidth="1"/>
    <col min="15867" max="15867" width="10.85546875" style="10" customWidth="1"/>
    <col min="15868" max="15868" width="11" style="10" customWidth="1"/>
    <col min="15869" max="15869" width="12.28515625" style="10" customWidth="1"/>
    <col min="15870" max="16113" width="9.140625" style="10"/>
    <col min="16114" max="16114" width="3.85546875" style="10" customWidth="1"/>
    <col min="16115" max="16115" width="29.42578125" style="10" customWidth="1"/>
    <col min="16116" max="16116" width="10.7109375" style="10" bestFit="1" customWidth="1"/>
    <col min="16117" max="16117" width="9.5703125" style="10" bestFit="1" customWidth="1"/>
    <col min="16118" max="16118" width="10.7109375" style="10" bestFit="1" customWidth="1"/>
    <col min="16119" max="16119" width="9.5703125" style="10" bestFit="1" customWidth="1"/>
    <col min="16120" max="16120" width="10.7109375" style="10" bestFit="1" customWidth="1"/>
    <col min="16121" max="16121" width="9.5703125" style="10" bestFit="1" customWidth="1"/>
    <col min="16122" max="16122" width="10.7109375" style="10" customWidth="1"/>
    <col min="16123" max="16123" width="10.85546875" style="10" customWidth="1"/>
    <col min="16124" max="16124" width="11" style="10" customWidth="1"/>
    <col min="16125" max="16125" width="12.28515625" style="10" customWidth="1"/>
    <col min="16126" max="16384" width="9.140625" style="10"/>
  </cols>
  <sheetData>
    <row r="1" spans="1:13" ht="16.5" x14ac:dyDescent="0.25">
      <c r="F1" s="1034" t="s">
        <v>1345</v>
      </c>
      <c r="G1" s="1034"/>
      <c r="H1" s="1034"/>
      <c r="I1" s="1034"/>
      <c r="J1" s="1034"/>
      <c r="K1" s="1034"/>
    </row>
    <row r="2" spans="1:13" ht="16.5" x14ac:dyDescent="0.25">
      <c r="F2" s="1"/>
      <c r="G2" s="950"/>
      <c r="H2" s="950"/>
      <c r="I2" s="950"/>
      <c r="J2" s="950"/>
      <c r="K2" s="951" t="s">
        <v>1184</v>
      </c>
    </row>
    <row r="3" spans="1:13" ht="16.5" x14ac:dyDescent="0.25">
      <c r="F3" s="1"/>
      <c r="G3" s="950"/>
      <c r="H3" s="950"/>
      <c r="I3" s="950"/>
      <c r="J3" s="950"/>
      <c r="K3" s="951" t="s">
        <v>1185</v>
      </c>
    </row>
    <row r="5" spans="1:13" x14ac:dyDescent="0.25">
      <c r="M5" s="10"/>
    </row>
    <row r="6" spans="1:13" ht="15.75" x14ac:dyDescent="0.25">
      <c r="A6" s="67" t="s">
        <v>1339</v>
      </c>
      <c r="B6" s="68"/>
      <c r="C6" s="1244"/>
      <c r="D6" s="1244"/>
      <c r="E6" s="1244"/>
      <c r="F6" s="1244"/>
      <c r="G6" s="1244"/>
      <c r="H6" s="1244"/>
      <c r="I6" s="1244"/>
      <c r="J6" s="1244"/>
      <c r="K6" s="1244"/>
      <c r="M6" s="10"/>
    </row>
    <row r="7" spans="1:13" x14ac:dyDescent="0.25">
      <c r="A7" s="1245" t="s">
        <v>1340</v>
      </c>
      <c r="B7" s="1245"/>
      <c r="C7" s="69"/>
      <c r="D7" s="69"/>
      <c r="E7" s="69"/>
      <c r="F7" s="69"/>
      <c r="G7" s="69"/>
      <c r="H7" s="69"/>
      <c r="I7" s="69"/>
      <c r="J7" s="634"/>
      <c r="K7" s="69"/>
      <c r="M7" s="10"/>
    </row>
    <row r="8" spans="1:13" ht="15.75" x14ac:dyDescent="0.25">
      <c r="A8" s="1246" t="s">
        <v>1341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</row>
    <row r="9" spans="1:13" ht="15.75" x14ac:dyDescent="0.25">
      <c r="A9" s="987"/>
      <c r="B9" s="987"/>
      <c r="C9" s="987"/>
      <c r="D9" s="987"/>
      <c r="E9" s="987"/>
      <c r="F9" s="987"/>
      <c r="G9" s="987"/>
      <c r="H9" s="987"/>
      <c r="I9" s="987"/>
      <c r="J9" s="987"/>
      <c r="K9" s="987"/>
    </row>
    <row r="10" spans="1:13" ht="15.75" x14ac:dyDescent="0.25">
      <c r="A10" s="1247" t="s">
        <v>1342</v>
      </c>
      <c r="B10" s="1247"/>
      <c r="C10" s="1248"/>
      <c r="D10" s="1248"/>
      <c r="E10" s="1248"/>
      <c r="F10" s="1248"/>
      <c r="G10" s="1248"/>
      <c r="H10" s="1248"/>
      <c r="I10" s="1248"/>
      <c r="J10" s="1248"/>
      <c r="K10" s="1248"/>
    </row>
    <row r="11" spans="1:13" x14ac:dyDescent="0.25">
      <c r="A11" s="1245" t="s">
        <v>1343</v>
      </c>
      <c r="B11" s="1245"/>
      <c r="C11" s="1249"/>
      <c r="D11" s="1249"/>
      <c r="E11" s="1249"/>
      <c r="F11" s="1249"/>
      <c r="G11" s="1249"/>
      <c r="H11" s="1249"/>
      <c r="I11" s="1249"/>
      <c r="J11" s="1249"/>
      <c r="K11" s="1249"/>
    </row>
    <row r="12" spans="1:13" x14ac:dyDescent="0.25">
      <c r="A12" s="1250" t="s">
        <v>1280</v>
      </c>
      <c r="B12" s="1250"/>
      <c r="C12" s="1251"/>
      <c r="D12" s="1251"/>
      <c r="E12" s="1251"/>
      <c r="F12" s="1251"/>
      <c r="G12" s="1251"/>
      <c r="H12" s="1251"/>
      <c r="I12" s="1251"/>
      <c r="J12" s="1251"/>
      <c r="K12" s="1251"/>
    </row>
    <row r="13" spans="1:13" x14ac:dyDescent="0.25">
      <c r="A13" s="1252" t="s">
        <v>1</v>
      </c>
      <c r="B13" s="1252" t="s">
        <v>2</v>
      </c>
      <c r="C13" s="1252" t="s">
        <v>223</v>
      </c>
      <c r="D13" s="1252"/>
      <c r="E13" s="1252" t="s">
        <v>224</v>
      </c>
      <c r="F13" s="1252"/>
      <c r="G13" s="1252" t="s">
        <v>225</v>
      </c>
      <c r="H13" s="1252"/>
      <c r="I13" s="1252" t="s">
        <v>6</v>
      </c>
      <c r="J13" s="1252" t="s">
        <v>1344</v>
      </c>
      <c r="K13" s="1252"/>
    </row>
    <row r="14" spans="1:13" ht="24.75" x14ac:dyDescent="0.25">
      <c r="A14" s="1253"/>
      <c r="B14" s="1253"/>
      <c r="C14" s="618" t="s">
        <v>7</v>
      </c>
      <c r="D14" s="618" t="s">
        <v>8</v>
      </c>
      <c r="E14" s="618" t="s">
        <v>7</v>
      </c>
      <c r="F14" s="618" t="s">
        <v>8</v>
      </c>
      <c r="G14" s="618" t="s">
        <v>7</v>
      </c>
      <c r="H14" s="618" t="s">
        <v>8</v>
      </c>
      <c r="I14" s="1253"/>
      <c r="J14" s="618" t="s">
        <v>7</v>
      </c>
      <c r="K14" s="618" t="s">
        <v>8</v>
      </c>
    </row>
    <row r="15" spans="1:13" x14ac:dyDescent="0.25">
      <c r="A15" s="1255" t="s">
        <v>300</v>
      </c>
      <c r="B15" s="1255"/>
      <c r="C15" s="27" t="e">
        <f>SUM(C16,C40,C63,C102,C188,#REF!,C204,C216)</f>
        <v>#REF!</v>
      </c>
      <c r="D15" s="27" t="e">
        <f>SUM(D16,D40,D63,D102,D188,#REF!,D204,D216)</f>
        <v>#REF!</v>
      </c>
      <c r="E15" s="27" t="e">
        <f>SUM(E16,E40,E63,E102,E188,#REF!,E204,E216)</f>
        <v>#REF!</v>
      </c>
      <c r="F15" s="27" t="e">
        <f>SUM(F16,F40,F63,F102,F188,#REF!,F204,F216)</f>
        <v>#REF!</v>
      </c>
      <c r="G15" s="27" t="e">
        <f>SUM(G16,G40,G63,G102,G188,G194,#REF!,G204,G216)</f>
        <v>#REF!</v>
      </c>
      <c r="H15" s="27" t="e">
        <f>SUM(H16,H40,H63,H102,H188,#REF!,H204,H216)</f>
        <v>#REF!</v>
      </c>
      <c r="I15" s="27"/>
      <c r="J15" s="27">
        <f>SUM(J16,J40,J63,J102,J188,J204,J216,J194)</f>
        <v>495473</v>
      </c>
      <c r="K15" s="27">
        <f>SUM(K16,K40,K63,K102,K188,K204,K216)</f>
        <v>16150</v>
      </c>
    </row>
    <row r="16" spans="1:13" x14ac:dyDescent="0.25">
      <c r="A16" s="619"/>
      <c r="B16" s="620" t="s">
        <v>226</v>
      </c>
      <c r="C16" s="614">
        <f>SUM(C17,C20,C23,C26,C30,C35)</f>
        <v>27483</v>
      </c>
      <c r="D16" s="614">
        <f t="shared" ref="D16:K16" si="0">SUM(D17,D20,D23,D26,D30,D35)</f>
        <v>0</v>
      </c>
      <c r="E16" s="614">
        <f t="shared" si="0"/>
        <v>27481.91</v>
      </c>
      <c r="F16" s="614">
        <f t="shared" si="0"/>
        <v>0</v>
      </c>
      <c r="G16" s="614">
        <f>SUM(G17,G20,G23,G26,G30,G35)</f>
        <v>31342</v>
      </c>
      <c r="H16" s="614">
        <f t="shared" si="0"/>
        <v>0</v>
      </c>
      <c r="I16" s="614"/>
      <c r="J16" s="614">
        <f>SUM(J17,J20,J23,J26,J30,J35)</f>
        <v>30515</v>
      </c>
      <c r="K16" s="614">
        <f t="shared" si="0"/>
        <v>0</v>
      </c>
    </row>
    <row r="17" spans="1:13" s="71" customFormat="1" ht="12" customHeight="1" x14ac:dyDescent="0.2">
      <c r="A17" s="1253">
        <v>1</v>
      </c>
      <c r="B17" s="1254" t="s">
        <v>227</v>
      </c>
      <c r="C17" s="27">
        <f t="shared" ref="C17:K17" si="1">SUM(C18:C19)</f>
        <v>229</v>
      </c>
      <c r="D17" s="27">
        <f t="shared" si="1"/>
        <v>0</v>
      </c>
      <c r="E17" s="27">
        <f t="shared" si="1"/>
        <v>228.74</v>
      </c>
      <c r="F17" s="27">
        <f t="shared" si="1"/>
        <v>0</v>
      </c>
      <c r="G17" s="27">
        <f t="shared" si="1"/>
        <v>316</v>
      </c>
      <c r="H17" s="27">
        <f t="shared" si="1"/>
        <v>0</v>
      </c>
      <c r="I17" s="517"/>
      <c r="J17" s="27">
        <f>SUM(J18:J19)</f>
        <v>229</v>
      </c>
      <c r="K17" s="27">
        <f t="shared" si="1"/>
        <v>0</v>
      </c>
      <c r="M17" s="75"/>
    </row>
    <row r="18" spans="1:13" x14ac:dyDescent="0.25">
      <c r="A18" s="1253"/>
      <c r="B18" s="1254"/>
      <c r="C18" s="517">
        <v>143</v>
      </c>
      <c r="D18" s="517"/>
      <c r="E18" s="517">
        <v>143</v>
      </c>
      <c r="F18" s="517"/>
      <c r="G18" s="621">
        <v>230</v>
      </c>
      <c r="H18" s="517"/>
      <c r="I18" s="27">
        <v>1150</v>
      </c>
      <c r="J18" s="517">
        <v>143</v>
      </c>
      <c r="K18" s="613"/>
    </row>
    <row r="19" spans="1:13" x14ac:dyDescent="0.25">
      <c r="A19" s="1253"/>
      <c r="B19" s="1254"/>
      <c r="C19" s="517">
        <v>86</v>
      </c>
      <c r="D19" s="517"/>
      <c r="E19" s="517">
        <v>85.74</v>
      </c>
      <c r="F19" s="517"/>
      <c r="G19" s="621">
        <v>86</v>
      </c>
      <c r="H19" s="517"/>
      <c r="I19" s="27">
        <v>2314</v>
      </c>
      <c r="J19" s="517">
        <v>86</v>
      </c>
      <c r="K19" s="613"/>
    </row>
    <row r="20" spans="1:13" ht="15" customHeight="1" x14ac:dyDescent="0.25">
      <c r="A20" s="1253">
        <v>2</v>
      </c>
      <c r="B20" s="1254" t="s">
        <v>228</v>
      </c>
      <c r="C20" s="27">
        <f t="shared" ref="C20:H20" si="2">SUM(C21:C22)</f>
        <v>470</v>
      </c>
      <c r="D20" s="27">
        <f t="shared" si="2"/>
        <v>0</v>
      </c>
      <c r="E20" s="27">
        <f t="shared" si="2"/>
        <v>470</v>
      </c>
      <c r="F20" s="27">
        <f t="shared" si="2"/>
        <v>0</v>
      </c>
      <c r="G20" s="27">
        <f t="shared" si="2"/>
        <v>490</v>
      </c>
      <c r="H20" s="27">
        <f t="shared" si="2"/>
        <v>0</v>
      </c>
      <c r="I20" s="27"/>
      <c r="J20" s="27">
        <f>SUM(J21:J22)</f>
        <v>470</v>
      </c>
      <c r="K20" s="27">
        <f>SUM(K21:K22)</f>
        <v>0</v>
      </c>
    </row>
    <row r="21" spans="1:13" x14ac:dyDescent="0.25">
      <c r="A21" s="1253"/>
      <c r="B21" s="1254"/>
      <c r="C21" s="517">
        <v>100</v>
      </c>
      <c r="D21" s="517"/>
      <c r="E21" s="517">
        <v>100</v>
      </c>
      <c r="F21" s="517"/>
      <c r="G21" s="621">
        <v>100</v>
      </c>
      <c r="H21" s="517"/>
      <c r="I21" s="27">
        <v>2262</v>
      </c>
      <c r="J21" s="517">
        <v>100</v>
      </c>
      <c r="K21" s="613"/>
    </row>
    <row r="22" spans="1:13" ht="15" customHeight="1" x14ac:dyDescent="0.25">
      <c r="A22" s="1253"/>
      <c r="B22" s="1254"/>
      <c r="C22" s="517">
        <v>370</v>
      </c>
      <c r="D22" s="517"/>
      <c r="E22" s="517">
        <v>370</v>
      </c>
      <c r="F22" s="517"/>
      <c r="G22" s="621">
        <v>390</v>
      </c>
      <c r="H22" s="517"/>
      <c r="I22" s="27">
        <v>2314</v>
      </c>
      <c r="J22" s="517">
        <v>370</v>
      </c>
      <c r="K22" s="613"/>
    </row>
    <row r="23" spans="1:13" ht="15" customHeight="1" x14ac:dyDescent="0.25">
      <c r="A23" s="1253">
        <v>3</v>
      </c>
      <c r="B23" s="1254" t="s">
        <v>229</v>
      </c>
      <c r="C23" s="27">
        <f t="shared" ref="C23:H23" si="3">SUM(C24:C25)</f>
        <v>570</v>
      </c>
      <c r="D23" s="27">
        <f t="shared" si="3"/>
        <v>0</v>
      </c>
      <c r="E23" s="27">
        <f t="shared" si="3"/>
        <v>569.77</v>
      </c>
      <c r="F23" s="27">
        <f t="shared" si="3"/>
        <v>0</v>
      </c>
      <c r="G23" s="27">
        <f t="shared" si="3"/>
        <v>843</v>
      </c>
      <c r="H23" s="27">
        <f t="shared" si="3"/>
        <v>0</v>
      </c>
      <c r="I23" s="27"/>
      <c r="J23" s="27">
        <f>SUM(J24:J25)</f>
        <v>570</v>
      </c>
      <c r="K23" s="27">
        <f>SUM(K24:K25)</f>
        <v>0</v>
      </c>
    </row>
    <row r="24" spans="1:13" ht="15" customHeight="1" x14ac:dyDescent="0.25">
      <c r="A24" s="1253"/>
      <c r="B24" s="1254"/>
      <c r="C24" s="517">
        <v>427</v>
      </c>
      <c r="D24" s="517"/>
      <c r="E24" s="517">
        <v>427</v>
      </c>
      <c r="F24" s="517"/>
      <c r="G24" s="621">
        <v>700</v>
      </c>
      <c r="H24" s="517"/>
      <c r="I24" s="27">
        <v>1150</v>
      </c>
      <c r="J24" s="517">
        <v>427</v>
      </c>
      <c r="K24" s="613"/>
    </row>
    <row r="25" spans="1:13" ht="15" customHeight="1" x14ac:dyDescent="0.25">
      <c r="A25" s="1253"/>
      <c r="B25" s="1254"/>
      <c r="C25" s="517">
        <v>143</v>
      </c>
      <c r="D25" s="517"/>
      <c r="E25" s="517">
        <v>142.77000000000001</v>
      </c>
      <c r="F25" s="517"/>
      <c r="G25" s="621">
        <v>143</v>
      </c>
      <c r="H25" s="517"/>
      <c r="I25" s="27">
        <v>2314</v>
      </c>
      <c r="J25" s="517">
        <v>143</v>
      </c>
      <c r="K25" s="613"/>
    </row>
    <row r="26" spans="1:13" x14ac:dyDescent="0.25">
      <c r="A26" s="1253">
        <v>4</v>
      </c>
      <c r="B26" s="1254" t="s">
        <v>230</v>
      </c>
      <c r="C26" s="27">
        <f t="shared" ref="C26:K26" si="4">SUM(C27:C29)</f>
        <v>656</v>
      </c>
      <c r="D26" s="27">
        <f t="shared" si="4"/>
        <v>0</v>
      </c>
      <c r="E26" s="27">
        <f t="shared" si="4"/>
        <v>655.4</v>
      </c>
      <c r="F26" s="27">
        <f t="shared" si="4"/>
        <v>0</v>
      </c>
      <c r="G26" s="27">
        <f t="shared" si="4"/>
        <v>1103</v>
      </c>
      <c r="H26" s="27">
        <f t="shared" si="4"/>
        <v>0</v>
      </c>
      <c r="I26" s="27"/>
      <c r="J26" s="27">
        <f>SUM(J27:J29)</f>
        <v>656</v>
      </c>
      <c r="K26" s="27">
        <f t="shared" si="4"/>
        <v>0</v>
      </c>
    </row>
    <row r="27" spans="1:13" ht="12" customHeight="1" x14ac:dyDescent="0.25">
      <c r="A27" s="1253"/>
      <c r="B27" s="1254"/>
      <c r="C27" s="517">
        <v>356</v>
      </c>
      <c r="D27" s="517"/>
      <c r="E27" s="517">
        <v>356</v>
      </c>
      <c r="F27" s="517"/>
      <c r="G27" s="517">
        <v>700</v>
      </c>
      <c r="H27" s="517"/>
      <c r="I27" s="27">
        <v>1150</v>
      </c>
      <c r="J27" s="613">
        <v>356</v>
      </c>
      <c r="K27" s="613"/>
    </row>
    <row r="28" spans="1:13" x14ac:dyDescent="0.25">
      <c r="A28" s="1253"/>
      <c r="B28" s="1254"/>
      <c r="C28" s="517">
        <v>43</v>
      </c>
      <c r="D28" s="517"/>
      <c r="E28" s="517">
        <v>42.4</v>
      </c>
      <c r="F28" s="517"/>
      <c r="G28" s="517">
        <v>43</v>
      </c>
      <c r="H28" s="613"/>
      <c r="I28" s="27">
        <v>2269</v>
      </c>
      <c r="J28" s="613">
        <v>43</v>
      </c>
      <c r="K28" s="613"/>
    </row>
    <row r="29" spans="1:13" x14ac:dyDescent="0.25">
      <c r="A29" s="1253"/>
      <c r="B29" s="1254"/>
      <c r="C29" s="517">
        <v>257</v>
      </c>
      <c r="D29" s="517"/>
      <c r="E29" s="517">
        <v>257</v>
      </c>
      <c r="F29" s="517"/>
      <c r="G29" s="621">
        <v>360</v>
      </c>
      <c r="H29" s="517"/>
      <c r="I29" s="27">
        <v>2314</v>
      </c>
      <c r="J29" s="517">
        <v>257</v>
      </c>
      <c r="K29" s="613"/>
    </row>
    <row r="30" spans="1:13" ht="12.75" customHeight="1" x14ac:dyDescent="0.25">
      <c r="A30" s="1253">
        <v>5</v>
      </c>
      <c r="B30" s="1254" t="s">
        <v>231</v>
      </c>
      <c r="C30" s="27">
        <f>SUM(C31:C34)</f>
        <v>5693</v>
      </c>
      <c r="D30" s="27">
        <f t="shared" ref="D30:K30" si="5">SUM(D31:D34)</f>
        <v>0</v>
      </c>
      <c r="E30" s="27">
        <f t="shared" si="5"/>
        <v>5693</v>
      </c>
      <c r="F30" s="27">
        <f t="shared" si="5"/>
        <v>0</v>
      </c>
      <c r="G30" s="27">
        <f t="shared" si="5"/>
        <v>5690</v>
      </c>
      <c r="H30" s="27">
        <f t="shared" si="5"/>
        <v>0</v>
      </c>
      <c r="I30" s="27"/>
      <c r="J30" s="27">
        <f>SUM(J31:J34)</f>
        <v>5690</v>
      </c>
      <c r="K30" s="27">
        <f t="shared" si="5"/>
        <v>0</v>
      </c>
    </row>
    <row r="31" spans="1:13" x14ac:dyDescent="0.25">
      <c r="A31" s="1253"/>
      <c r="B31" s="1254"/>
      <c r="C31" s="517">
        <v>1423</v>
      </c>
      <c r="D31" s="27"/>
      <c r="E31" s="517">
        <v>1423</v>
      </c>
      <c r="F31" s="27"/>
      <c r="G31" s="517">
        <v>1420</v>
      </c>
      <c r="H31" s="27"/>
      <c r="I31" s="27">
        <v>1150</v>
      </c>
      <c r="J31" s="517">
        <v>1420</v>
      </c>
      <c r="K31" s="27"/>
    </row>
    <row r="32" spans="1:13" x14ac:dyDescent="0.25">
      <c r="A32" s="1253"/>
      <c r="B32" s="1254"/>
      <c r="C32" s="517">
        <v>2846</v>
      </c>
      <c r="D32" s="27"/>
      <c r="E32" s="517">
        <v>2846</v>
      </c>
      <c r="F32" s="27"/>
      <c r="G32" s="517">
        <v>2850</v>
      </c>
      <c r="H32" s="27"/>
      <c r="I32" s="27">
        <v>2264</v>
      </c>
      <c r="J32" s="517">
        <v>2850</v>
      </c>
      <c r="K32" s="27"/>
    </row>
    <row r="33" spans="1:11" x14ac:dyDescent="0.25">
      <c r="A33" s="1253"/>
      <c r="B33" s="1254"/>
      <c r="C33" s="517">
        <v>712</v>
      </c>
      <c r="D33" s="517"/>
      <c r="E33" s="517">
        <v>712</v>
      </c>
      <c r="F33" s="517"/>
      <c r="G33" s="621">
        <v>710</v>
      </c>
      <c r="H33" s="517"/>
      <c r="I33" s="27">
        <v>2279</v>
      </c>
      <c r="J33" s="517">
        <v>710</v>
      </c>
      <c r="K33" s="613"/>
    </row>
    <row r="34" spans="1:11" x14ac:dyDescent="0.25">
      <c r="A34" s="1253"/>
      <c r="B34" s="1254"/>
      <c r="C34" s="517">
        <v>712</v>
      </c>
      <c r="D34" s="517"/>
      <c r="E34" s="517">
        <v>712</v>
      </c>
      <c r="F34" s="517"/>
      <c r="G34" s="621">
        <v>710</v>
      </c>
      <c r="H34" s="517"/>
      <c r="I34" s="27">
        <v>2314</v>
      </c>
      <c r="J34" s="517">
        <v>710</v>
      </c>
      <c r="K34" s="613"/>
    </row>
    <row r="35" spans="1:11" x14ac:dyDescent="0.25">
      <c r="A35" s="1253">
        <v>6</v>
      </c>
      <c r="B35" s="1254" t="s">
        <v>1045</v>
      </c>
      <c r="C35" s="27">
        <f t="shared" ref="C35:K35" si="6">SUM(C36:C39)</f>
        <v>19865</v>
      </c>
      <c r="D35" s="27">
        <f t="shared" si="6"/>
        <v>0</v>
      </c>
      <c r="E35" s="27">
        <f t="shared" si="6"/>
        <v>19865</v>
      </c>
      <c r="F35" s="27">
        <f t="shared" si="6"/>
        <v>0</v>
      </c>
      <c r="G35" s="27">
        <f t="shared" si="6"/>
        <v>22900</v>
      </c>
      <c r="H35" s="27">
        <f t="shared" si="6"/>
        <v>0</v>
      </c>
      <c r="I35" s="27"/>
      <c r="J35" s="27">
        <f>SUM(J36:J39)</f>
        <v>22900</v>
      </c>
      <c r="K35" s="27">
        <f t="shared" si="6"/>
        <v>0</v>
      </c>
    </row>
    <row r="36" spans="1:11" x14ac:dyDescent="0.25">
      <c r="A36" s="1253"/>
      <c r="B36" s="1254"/>
      <c r="C36" s="621">
        <v>4269</v>
      </c>
      <c r="D36" s="517"/>
      <c r="E36" s="517">
        <v>4269</v>
      </c>
      <c r="F36" s="517"/>
      <c r="G36" s="621">
        <v>4000</v>
      </c>
      <c r="H36" s="517"/>
      <c r="I36" s="27">
        <v>1150</v>
      </c>
      <c r="J36" s="517">
        <v>4000</v>
      </c>
      <c r="K36" s="613"/>
    </row>
    <row r="37" spans="1:11" x14ac:dyDescent="0.25">
      <c r="A37" s="1253"/>
      <c r="B37" s="1254"/>
      <c r="C37" s="621">
        <v>7969</v>
      </c>
      <c r="D37" s="517"/>
      <c r="E37" s="517">
        <v>7969</v>
      </c>
      <c r="F37" s="517"/>
      <c r="G37" s="621">
        <v>8000</v>
      </c>
      <c r="H37" s="517"/>
      <c r="I37" s="27">
        <v>2264</v>
      </c>
      <c r="J37" s="517">
        <v>8000</v>
      </c>
      <c r="K37" s="613"/>
    </row>
    <row r="38" spans="1:11" x14ac:dyDescent="0.25">
      <c r="A38" s="1253"/>
      <c r="B38" s="1254"/>
      <c r="C38" s="621">
        <v>1722</v>
      </c>
      <c r="D38" s="517"/>
      <c r="E38" s="517">
        <v>1722</v>
      </c>
      <c r="F38" s="517"/>
      <c r="G38" s="621">
        <v>5000</v>
      </c>
      <c r="H38" s="517"/>
      <c r="I38" s="27">
        <v>2279</v>
      </c>
      <c r="J38" s="517">
        <v>5000</v>
      </c>
      <c r="K38" s="613"/>
    </row>
    <row r="39" spans="1:11" x14ac:dyDescent="0.25">
      <c r="A39" s="1253"/>
      <c r="B39" s="1254"/>
      <c r="C39" s="621">
        <v>5905</v>
      </c>
      <c r="D39" s="517"/>
      <c r="E39" s="517">
        <v>5905</v>
      </c>
      <c r="F39" s="517"/>
      <c r="G39" s="621">
        <v>5900</v>
      </c>
      <c r="H39" s="517"/>
      <c r="I39" s="27">
        <v>2314</v>
      </c>
      <c r="J39" s="517">
        <v>5900</v>
      </c>
      <c r="K39" s="613"/>
    </row>
    <row r="40" spans="1:11" x14ac:dyDescent="0.25">
      <c r="A40" s="517"/>
      <c r="B40" s="622" t="s">
        <v>232</v>
      </c>
      <c r="C40" s="27" t="e">
        <f>SUM(#REF!,C46,#REF!,C51,C53,C58)</f>
        <v>#REF!</v>
      </c>
      <c r="D40" s="27" t="e">
        <f>SUM(#REF!,D46,#REF!,D51,D53,D58)</f>
        <v>#REF!</v>
      </c>
      <c r="E40" s="27" t="e">
        <f>SUM(#REF!,E46,#REF!,E51,E53,E58)</f>
        <v>#REF!</v>
      </c>
      <c r="F40" s="27" t="e">
        <f>SUM(#REF!,F46,#REF!,F51,F53,F58)</f>
        <v>#REF!</v>
      </c>
      <c r="G40" s="27" t="e">
        <f>SUM(#REF!,G46,#REF!,G51,G53,G58)</f>
        <v>#REF!</v>
      </c>
      <c r="H40" s="27" t="e">
        <f>SUM(#REF!,H46,#REF!,H51,H53,H58)</f>
        <v>#REF!</v>
      </c>
      <c r="I40" s="27"/>
      <c r="J40" s="27">
        <f>SUM(J41,J46,J51,J53,J58)</f>
        <v>38602</v>
      </c>
      <c r="K40" s="27">
        <f>SUM(K41,K46,K51,K53,K58)</f>
        <v>0</v>
      </c>
    </row>
    <row r="41" spans="1:11" ht="12.75" customHeight="1" x14ac:dyDescent="0.25">
      <c r="A41" s="1253">
        <v>7</v>
      </c>
      <c r="B41" s="1254" t="s">
        <v>233</v>
      </c>
      <c r="C41" s="27">
        <f t="shared" ref="C41:K41" si="7">SUM(C42:C45)</f>
        <v>3374</v>
      </c>
      <c r="D41" s="27">
        <f t="shared" si="7"/>
        <v>0</v>
      </c>
      <c r="E41" s="27">
        <f t="shared" si="7"/>
        <v>3373.99</v>
      </c>
      <c r="F41" s="27">
        <f t="shared" si="7"/>
        <v>0</v>
      </c>
      <c r="G41" s="27">
        <f t="shared" si="7"/>
        <v>3446</v>
      </c>
      <c r="H41" s="27">
        <f t="shared" si="7"/>
        <v>0</v>
      </c>
      <c r="I41" s="27"/>
      <c r="J41" s="27">
        <f>SUM(J42:J45)</f>
        <v>3446</v>
      </c>
      <c r="K41" s="27">
        <f t="shared" si="7"/>
        <v>0</v>
      </c>
    </row>
    <row r="42" spans="1:11" x14ac:dyDescent="0.25">
      <c r="A42" s="1253"/>
      <c r="B42" s="1254"/>
      <c r="C42" s="517">
        <v>327</v>
      </c>
      <c r="D42" s="517"/>
      <c r="E42" s="517">
        <v>327</v>
      </c>
      <c r="F42" s="517"/>
      <c r="G42" s="621">
        <v>366</v>
      </c>
      <c r="H42" s="517"/>
      <c r="I42" s="27">
        <v>1150</v>
      </c>
      <c r="J42" s="517">
        <v>366</v>
      </c>
      <c r="K42" s="613"/>
    </row>
    <row r="43" spans="1:11" x14ac:dyDescent="0.25">
      <c r="A43" s="1253"/>
      <c r="B43" s="1254"/>
      <c r="C43" s="517">
        <v>1985</v>
      </c>
      <c r="D43" s="517"/>
      <c r="E43" s="517">
        <v>1984.99</v>
      </c>
      <c r="F43" s="517"/>
      <c r="G43" s="621">
        <v>2000</v>
      </c>
      <c r="H43" s="517"/>
      <c r="I43" s="27">
        <v>2264</v>
      </c>
      <c r="J43" s="517">
        <v>2000</v>
      </c>
      <c r="K43" s="613"/>
    </row>
    <row r="44" spans="1:11" x14ac:dyDescent="0.25">
      <c r="A44" s="1253"/>
      <c r="B44" s="1254"/>
      <c r="C44" s="517">
        <v>632</v>
      </c>
      <c r="D44" s="517"/>
      <c r="E44" s="517">
        <v>632</v>
      </c>
      <c r="F44" s="517"/>
      <c r="G44" s="621">
        <v>650</v>
      </c>
      <c r="H44" s="517"/>
      <c r="I44" s="27">
        <v>2279</v>
      </c>
      <c r="J44" s="517">
        <v>650</v>
      </c>
      <c r="K44" s="613"/>
    </row>
    <row r="45" spans="1:11" x14ac:dyDescent="0.25">
      <c r="A45" s="1253"/>
      <c r="B45" s="1254"/>
      <c r="C45" s="517">
        <v>430</v>
      </c>
      <c r="D45" s="517"/>
      <c r="E45" s="517">
        <v>430</v>
      </c>
      <c r="F45" s="517"/>
      <c r="G45" s="621">
        <v>430</v>
      </c>
      <c r="H45" s="517"/>
      <c r="I45" s="27">
        <v>2314</v>
      </c>
      <c r="J45" s="517">
        <v>430</v>
      </c>
      <c r="K45" s="613"/>
    </row>
    <row r="46" spans="1:11" ht="12" customHeight="1" x14ac:dyDescent="0.25">
      <c r="A46" s="1253">
        <v>8</v>
      </c>
      <c r="B46" s="1254" t="s">
        <v>234</v>
      </c>
      <c r="C46" s="27">
        <f>SUM(C47:C50)</f>
        <v>11813</v>
      </c>
      <c r="D46" s="27">
        <f t="shared" ref="D46:K46" si="8">SUM(D47:D50)</f>
        <v>0</v>
      </c>
      <c r="E46" s="27">
        <f t="shared" si="8"/>
        <v>11753.39</v>
      </c>
      <c r="F46" s="27">
        <f t="shared" si="8"/>
        <v>0</v>
      </c>
      <c r="G46" s="27">
        <f t="shared" si="8"/>
        <v>14700</v>
      </c>
      <c r="H46" s="27">
        <f t="shared" si="8"/>
        <v>0</v>
      </c>
      <c r="I46" s="27"/>
      <c r="J46" s="27">
        <f>SUM(J47:J50)</f>
        <v>14700</v>
      </c>
      <c r="K46" s="27">
        <f t="shared" si="8"/>
        <v>0</v>
      </c>
    </row>
    <row r="47" spans="1:11" x14ac:dyDescent="0.25">
      <c r="A47" s="1253"/>
      <c r="B47" s="1254"/>
      <c r="C47" s="517">
        <v>7655</v>
      </c>
      <c r="D47" s="517"/>
      <c r="E47" s="517">
        <v>7600</v>
      </c>
      <c r="F47" s="517"/>
      <c r="G47" s="621">
        <v>7000</v>
      </c>
      <c r="H47" s="517"/>
      <c r="I47" s="27">
        <v>1150</v>
      </c>
      <c r="J47" s="517">
        <v>7000</v>
      </c>
      <c r="K47" s="613"/>
    </row>
    <row r="48" spans="1:11" x14ac:dyDescent="0.25">
      <c r="A48" s="1253"/>
      <c r="B48" s="1254"/>
      <c r="C48" s="517">
        <v>3471</v>
      </c>
      <c r="D48" s="517"/>
      <c r="E48" s="517">
        <v>3467.16</v>
      </c>
      <c r="F48" s="517"/>
      <c r="G48" s="621">
        <v>7000</v>
      </c>
      <c r="H48" s="517"/>
      <c r="I48" s="27">
        <v>2264</v>
      </c>
      <c r="J48" s="517">
        <v>7000</v>
      </c>
      <c r="K48" s="613"/>
    </row>
    <row r="49" spans="1:11" x14ac:dyDescent="0.25">
      <c r="A49" s="1253"/>
      <c r="B49" s="1254"/>
      <c r="C49" s="517">
        <v>505</v>
      </c>
      <c r="D49" s="517"/>
      <c r="E49" s="517">
        <v>504.23</v>
      </c>
      <c r="F49" s="517"/>
      <c r="G49" s="621">
        <v>500</v>
      </c>
      <c r="H49" s="517"/>
      <c r="I49" s="27">
        <v>2279</v>
      </c>
      <c r="J49" s="517">
        <v>500</v>
      </c>
      <c r="K49" s="613"/>
    </row>
    <row r="50" spans="1:11" x14ac:dyDescent="0.25">
      <c r="A50" s="1253"/>
      <c r="B50" s="1254"/>
      <c r="C50" s="517">
        <v>182</v>
      </c>
      <c r="D50" s="517"/>
      <c r="E50" s="517">
        <v>182</v>
      </c>
      <c r="F50" s="517"/>
      <c r="G50" s="621">
        <v>200</v>
      </c>
      <c r="H50" s="517"/>
      <c r="I50" s="27">
        <v>2314</v>
      </c>
      <c r="J50" s="517">
        <v>200</v>
      </c>
      <c r="K50" s="613"/>
    </row>
    <row r="51" spans="1:11" ht="12.75" customHeight="1" x14ac:dyDescent="0.25">
      <c r="A51" s="1253">
        <v>9</v>
      </c>
      <c r="B51" s="1254" t="s">
        <v>235</v>
      </c>
      <c r="C51" s="27">
        <f t="shared" ref="C51:H51" si="9">SUM(C52:C52)</f>
        <v>876</v>
      </c>
      <c r="D51" s="27">
        <f t="shared" si="9"/>
        <v>0</v>
      </c>
      <c r="E51" s="27">
        <f t="shared" si="9"/>
        <v>875.47</v>
      </c>
      <c r="F51" s="27">
        <f t="shared" si="9"/>
        <v>0</v>
      </c>
      <c r="G51" s="27">
        <f t="shared" si="9"/>
        <v>600</v>
      </c>
      <c r="H51" s="27">
        <f t="shared" si="9"/>
        <v>0</v>
      </c>
      <c r="I51" s="27"/>
      <c r="J51" s="27">
        <f>SUM(J52:J52)</f>
        <v>876</v>
      </c>
      <c r="K51" s="27">
        <f>SUM(K52:K52)</f>
        <v>0</v>
      </c>
    </row>
    <row r="52" spans="1:11" ht="12.75" customHeight="1" x14ac:dyDescent="0.25">
      <c r="A52" s="1253"/>
      <c r="B52" s="1254"/>
      <c r="C52" s="517">
        <v>876</v>
      </c>
      <c r="D52" s="517"/>
      <c r="E52" s="517">
        <v>875.47</v>
      </c>
      <c r="F52" s="517"/>
      <c r="G52" s="621">
        <v>600</v>
      </c>
      <c r="H52" s="517"/>
      <c r="I52" s="27">
        <v>2279</v>
      </c>
      <c r="J52" s="517">
        <v>876</v>
      </c>
      <c r="K52" s="613"/>
    </row>
    <row r="53" spans="1:11" ht="12" customHeight="1" x14ac:dyDescent="0.25">
      <c r="A53" s="1253">
        <v>10</v>
      </c>
      <c r="B53" s="1254" t="s">
        <v>236</v>
      </c>
      <c r="C53" s="27">
        <f t="shared" ref="C53:G53" si="10">SUM(C54:C57)</f>
        <v>14160</v>
      </c>
      <c r="D53" s="27">
        <f t="shared" si="10"/>
        <v>0</v>
      </c>
      <c r="E53" s="27">
        <f t="shared" si="10"/>
        <v>14160</v>
      </c>
      <c r="F53" s="27">
        <f t="shared" si="10"/>
        <v>0</v>
      </c>
      <c r="G53" s="27">
        <f t="shared" si="10"/>
        <v>14800</v>
      </c>
      <c r="H53" s="27">
        <f>SUM(H54:H57)</f>
        <v>0</v>
      </c>
      <c r="I53" s="27"/>
      <c r="J53" s="27">
        <f>SUM(J54:J57)</f>
        <v>13160</v>
      </c>
      <c r="K53" s="613"/>
    </row>
    <row r="54" spans="1:11" ht="12" customHeight="1" x14ac:dyDescent="0.25">
      <c r="A54" s="1253"/>
      <c r="B54" s="1254"/>
      <c r="C54" s="517">
        <v>3558</v>
      </c>
      <c r="D54" s="517"/>
      <c r="E54" s="517">
        <v>3558</v>
      </c>
      <c r="F54" s="517"/>
      <c r="G54" s="621">
        <v>3500</v>
      </c>
      <c r="H54" s="517"/>
      <c r="I54" s="27">
        <v>1150</v>
      </c>
      <c r="J54" s="517">
        <v>3500</v>
      </c>
      <c r="K54" s="613"/>
    </row>
    <row r="55" spans="1:11" ht="12" customHeight="1" x14ac:dyDescent="0.25">
      <c r="A55" s="1253"/>
      <c r="B55" s="1254"/>
      <c r="C55" s="517">
        <v>5977</v>
      </c>
      <c r="D55" s="517"/>
      <c r="E55" s="517">
        <v>5977</v>
      </c>
      <c r="F55" s="517"/>
      <c r="G55" s="621">
        <v>6000</v>
      </c>
      <c r="H55" s="517"/>
      <c r="I55" s="27">
        <v>2264</v>
      </c>
      <c r="J55" s="517">
        <v>5000</v>
      </c>
      <c r="K55" s="613"/>
    </row>
    <row r="56" spans="1:11" ht="12" customHeight="1" x14ac:dyDescent="0.25">
      <c r="A56" s="1253"/>
      <c r="B56" s="1254"/>
      <c r="C56" s="517">
        <v>2419</v>
      </c>
      <c r="D56" s="517"/>
      <c r="E56" s="517">
        <v>2419</v>
      </c>
      <c r="F56" s="517"/>
      <c r="G56" s="621">
        <v>3100</v>
      </c>
      <c r="H56" s="517"/>
      <c r="I56" s="27">
        <v>2279</v>
      </c>
      <c r="J56" s="517">
        <v>2460</v>
      </c>
      <c r="K56" s="613"/>
    </row>
    <row r="57" spans="1:11" ht="12" customHeight="1" x14ac:dyDescent="0.25">
      <c r="A57" s="1253"/>
      <c r="B57" s="1254"/>
      <c r="C57" s="517">
        <v>2206</v>
      </c>
      <c r="D57" s="517"/>
      <c r="E57" s="517">
        <v>2206</v>
      </c>
      <c r="F57" s="517"/>
      <c r="G57" s="621">
        <v>2200</v>
      </c>
      <c r="H57" s="517"/>
      <c r="I57" s="27">
        <v>2314</v>
      </c>
      <c r="J57" s="517">
        <v>2200</v>
      </c>
      <c r="K57" s="613"/>
    </row>
    <row r="58" spans="1:11" ht="12" customHeight="1" x14ac:dyDescent="0.25">
      <c r="A58" s="1253">
        <v>11</v>
      </c>
      <c r="B58" s="1254" t="s">
        <v>237</v>
      </c>
      <c r="C58" s="615">
        <f t="shared" ref="C58:H58" si="11">SUM(C59:C62)</f>
        <v>5020</v>
      </c>
      <c r="D58" s="615">
        <f t="shared" si="11"/>
        <v>0</v>
      </c>
      <c r="E58" s="615">
        <f t="shared" si="11"/>
        <v>5020</v>
      </c>
      <c r="F58" s="615">
        <f t="shared" si="11"/>
        <v>0</v>
      </c>
      <c r="G58" s="615">
        <f t="shared" si="11"/>
        <v>5020</v>
      </c>
      <c r="H58" s="615">
        <f t="shared" si="11"/>
        <v>0</v>
      </c>
      <c r="I58" s="615"/>
      <c r="J58" s="615">
        <f>SUM(J59:J62)</f>
        <v>6420</v>
      </c>
      <c r="K58" s="615">
        <f>SUM(K59:K62)</f>
        <v>0</v>
      </c>
    </row>
    <row r="59" spans="1:11" ht="12" customHeight="1" x14ac:dyDescent="0.25">
      <c r="A59" s="1253"/>
      <c r="B59" s="1254"/>
      <c r="C59" s="517">
        <v>2135</v>
      </c>
      <c r="D59" s="623"/>
      <c r="E59" s="517">
        <v>2135</v>
      </c>
      <c r="F59" s="623"/>
      <c r="G59" s="623">
        <v>2135</v>
      </c>
      <c r="H59" s="624"/>
      <c r="I59" s="615">
        <v>2264</v>
      </c>
      <c r="J59" s="517">
        <v>3724</v>
      </c>
      <c r="K59" s="613"/>
    </row>
    <row r="60" spans="1:11" ht="12" customHeight="1" x14ac:dyDescent="0.25">
      <c r="A60" s="1253"/>
      <c r="B60" s="1254"/>
      <c r="C60" s="517">
        <v>0</v>
      </c>
      <c r="D60" s="623"/>
      <c r="E60" s="517">
        <v>0</v>
      </c>
      <c r="F60" s="623"/>
      <c r="G60" s="623">
        <v>0</v>
      </c>
      <c r="H60" s="624"/>
      <c r="I60" s="615">
        <v>2269</v>
      </c>
      <c r="J60" s="517">
        <v>78</v>
      </c>
      <c r="K60" s="613"/>
    </row>
    <row r="61" spans="1:11" ht="12" customHeight="1" x14ac:dyDescent="0.25">
      <c r="A61" s="1253"/>
      <c r="B61" s="1254"/>
      <c r="C61" s="517">
        <v>2671</v>
      </c>
      <c r="D61" s="623"/>
      <c r="E61" s="517">
        <v>2671</v>
      </c>
      <c r="F61" s="623"/>
      <c r="G61" s="623">
        <v>2670</v>
      </c>
      <c r="H61" s="624"/>
      <c r="I61" s="615">
        <v>2279</v>
      </c>
      <c r="J61" s="517">
        <v>2438</v>
      </c>
      <c r="K61" s="613"/>
    </row>
    <row r="62" spans="1:11" ht="12" customHeight="1" x14ac:dyDescent="0.25">
      <c r="A62" s="1253"/>
      <c r="B62" s="1254"/>
      <c r="C62" s="517">
        <v>214</v>
      </c>
      <c r="D62" s="623"/>
      <c r="E62" s="623">
        <v>214</v>
      </c>
      <c r="F62" s="615"/>
      <c r="G62" s="623">
        <v>215</v>
      </c>
      <c r="H62" s="624"/>
      <c r="I62" s="615">
        <v>2314</v>
      </c>
      <c r="J62" s="517">
        <v>180</v>
      </c>
      <c r="K62" s="613"/>
    </row>
    <row r="63" spans="1:11" x14ac:dyDescent="0.25">
      <c r="A63" s="517"/>
      <c r="B63" s="620" t="s">
        <v>238</v>
      </c>
      <c r="C63" s="614">
        <f t="shared" ref="C63:H63" si="12">SUM(C64,C70,C77,C84,C90,C96)</f>
        <v>169618</v>
      </c>
      <c r="D63" s="614">
        <f t="shared" si="12"/>
        <v>0</v>
      </c>
      <c r="E63" s="614">
        <f t="shared" si="12"/>
        <v>163992.5</v>
      </c>
      <c r="F63" s="614">
        <f t="shared" si="12"/>
        <v>0</v>
      </c>
      <c r="G63" s="614">
        <f t="shared" si="12"/>
        <v>174259</v>
      </c>
      <c r="H63" s="614">
        <f t="shared" si="12"/>
        <v>0</v>
      </c>
      <c r="I63" s="614"/>
      <c r="J63" s="614">
        <f>SUM(J64,J70,J77,J84,J90,J96)</f>
        <v>161359</v>
      </c>
      <c r="K63" s="614">
        <f>SUM(K64,K70,K77,K84,K90,K96)</f>
        <v>0</v>
      </c>
    </row>
    <row r="64" spans="1:11" ht="12" customHeight="1" x14ac:dyDescent="0.25">
      <c r="A64" s="1253">
        <v>13</v>
      </c>
      <c r="B64" s="1254" t="s">
        <v>239</v>
      </c>
      <c r="C64" s="27">
        <f t="shared" ref="C64:K64" si="13">SUM(C65:C69)</f>
        <v>22748</v>
      </c>
      <c r="D64" s="27">
        <f t="shared" si="13"/>
        <v>0</v>
      </c>
      <c r="E64" s="27">
        <f t="shared" si="13"/>
        <v>22748</v>
      </c>
      <c r="F64" s="27">
        <f t="shared" si="13"/>
        <v>0</v>
      </c>
      <c r="G64" s="27">
        <f t="shared" si="13"/>
        <v>30700</v>
      </c>
      <c r="H64" s="27">
        <f t="shared" si="13"/>
        <v>0</v>
      </c>
      <c r="I64" s="27"/>
      <c r="J64" s="27">
        <f>SUM(J65:J69)</f>
        <v>30700</v>
      </c>
      <c r="K64" s="27">
        <f t="shared" si="13"/>
        <v>0</v>
      </c>
    </row>
    <row r="65" spans="1:11" x14ac:dyDescent="0.25">
      <c r="A65" s="1253"/>
      <c r="B65" s="1254"/>
      <c r="C65" s="517">
        <v>5973</v>
      </c>
      <c r="D65" s="517"/>
      <c r="E65" s="517">
        <v>5973</v>
      </c>
      <c r="F65" s="517"/>
      <c r="G65" s="621">
        <v>8000</v>
      </c>
      <c r="H65" s="517"/>
      <c r="I65" s="27">
        <v>1150</v>
      </c>
      <c r="J65" s="517">
        <v>8000</v>
      </c>
      <c r="K65" s="613"/>
    </row>
    <row r="66" spans="1:11" ht="12" customHeight="1" x14ac:dyDescent="0.25">
      <c r="A66" s="1253"/>
      <c r="B66" s="1254"/>
      <c r="C66" s="517">
        <v>8287</v>
      </c>
      <c r="D66" s="517"/>
      <c r="E66" s="517">
        <v>8287</v>
      </c>
      <c r="F66" s="517"/>
      <c r="G66" s="613">
        <v>13500</v>
      </c>
      <c r="H66" s="517"/>
      <c r="I66" s="27">
        <v>2264</v>
      </c>
      <c r="J66" s="517">
        <v>13500</v>
      </c>
      <c r="K66" s="613"/>
    </row>
    <row r="67" spans="1:11" x14ac:dyDescent="0.25">
      <c r="A67" s="1253"/>
      <c r="B67" s="1254"/>
      <c r="C67" s="517">
        <v>8244</v>
      </c>
      <c r="D67" s="517"/>
      <c r="E67" s="517">
        <v>8244</v>
      </c>
      <c r="F67" s="517"/>
      <c r="G67" s="621">
        <v>8700</v>
      </c>
      <c r="H67" s="517"/>
      <c r="I67" s="27">
        <v>2279</v>
      </c>
      <c r="J67" s="517">
        <v>8700</v>
      </c>
      <c r="K67" s="613"/>
    </row>
    <row r="68" spans="1:11" x14ac:dyDescent="0.25">
      <c r="A68" s="1253"/>
      <c r="B68" s="1254"/>
      <c r="C68" s="517"/>
      <c r="D68" s="517"/>
      <c r="E68" s="517"/>
      <c r="F68" s="517"/>
      <c r="G68" s="621"/>
      <c r="H68" s="517"/>
      <c r="I68" s="27">
        <v>2231</v>
      </c>
      <c r="J68" s="517">
        <v>200</v>
      </c>
      <c r="K68" s="613"/>
    </row>
    <row r="69" spans="1:11" x14ac:dyDescent="0.25">
      <c r="A69" s="1253"/>
      <c r="B69" s="1254"/>
      <c r="C69" s="517">
        <v>244</v>
      </c>
      <c r="D69" s="517"/>
      <c r="E69" s="517">
        <v>244</v>
      </c>
      <c r="F69" s="517"/>
      <c r="G69" s="621">
        <v>500</v>
      </c>
      <c r="H69" s="517"/>
      <c r="I69" s="27">
        <v>2314</v>
      </c>
      <c r="J69" s="517">
        <f>500-200</f>
        <v>300</v>
      </c>
      <c r="K69" s="613"/>
    </row>
    <row r="70" spans="1:11" ht="12.75" customHeight="1" x14ac:dyDescent="0.25">
      <c r="A70" s="1253">
        <v>14</v>
      </c>
      <c r="B70" s="1254" t="s">
        <v>1046</v>
      </c>
      <c r="C70" s="27">
        <f t="shared" ref="C70:H70" si="14">SUM(C71:C76)</f>
        <v>40888</v>
      </c>
      <c r="D70" s="27">
        <f t="shared" si="14"/>
        <v>0</v>
      </c>
      <c r="E70" s="27">
        <f t="shared" si="14"/>
        <v>39170.019999999997</v>
      </c>
      <c r="F70" s="27">
        <f t="shared" si="14"/>
        <v>0</v>
      </c>
      <c r="G70" s="27">
        <f t="shared" si="14"/>
        <v>37520</v>
      </c>
      <c r="H70" s="27">
        <f t="shared" si="14"/>
        <v>0</v>
      </c>
      <c r="I70" s="27"/>
      <c r="J70" s="27">
        <f>SUM(J71:J76)</f>
        <v>37520</v>
      </c>
      <c r="K70" s="27">
        <f>SUM(K71:K76)</f>
        <v>0</v>
      </c>
    </row>
    <row r="71" spans="1:11" x14ac:dyDescent="0.25">
      <c r="A71" s="1253"/>
      <c r="B71" s="1254"/>
      <c r="C71" s="517">
        <v>11565</v>
      </c>
      <c r="D71" s="517"/>
      <c r="E71" s="517">
        <v>11565</v>
      </c>
      <c r="F71" s="517"/>
      <c r="G71" s="621">
        <v>12000</v>
      </c>
      <c r="H71" s="517"/>
      <c r="I71" s="27">
        <v>1150</v>
      </c>
      <c r="J71" s="517">
        <v>12000</v>
      </c>
      <c r="K71" s="613"/>
    </row>
    <row r="72" spans="1:11" x14ac:dyDescent="0.25">
      <c r="A72" s="1253"/>
      <c r="B72" s="1254"/>
      <c r="C72" s="517">
        <v>18708</v>
      </c>
      <c r="D72" s="517"/>
      <c r="E72" s="517">
        <v>18708</v>
      </c>
      <c r="F72" s="517"/>
      <c r="G72" s="621">
        <v>16000</v>
      </c>
      <c r="H72" s="517"/>
      <c r="I72" s="27">
        <v>2264</v>
      </c>
      <c r="J72" s="517">
        <v>16000</v>
      </c>
      <c r="K72" s="613"/>
    </row>
    <row r="73" spans="1:11" x14ac:dyDescent="0.25">
      <c r="A73" s="1253"/>
      <c r="B73" s="1254"/>
      <c r="C73" s="517">
        <v>388</v>
      </c>
      <c r="D73" s="517"/>
      <c r="E73" s="517">
        <v>387.2</v>
      </c>
      <c r="F73" s="517"/>
      <c r="G73" s="621">
        <v>400</v>
      </c>
      <c r="H73" s="517"/>
      <c r="I73" s="27">
        <v>2269</v>
      </c>
      <c r="J73" s="517">
        <v>400</v>
      </c>
      <c r="K73" s="613"/>
    </row>
    <row r="74" spans="1:11" x14ac:dyDescent="0.25">
      <c r="A74" s="1253"/>
      <c r="B74" s="1254"/>
      <c r="C74" s="517">
        <v>8667</v>
      </c>
      <c r="D74" s="517"/>
      <c r="E74" s="517">
        <v>7173.37</v>
      </c>
      <c r="F74" s="517"/>
      <c r="G74" s="621">
        <v>7800</v>
      </c>
      <c r="H74" s="517"/>
      <c r="I74" s="27">
        <v>2279</v>
      </c>
      <c r="J74" s="517">
        <v>7800</v>
      </c>
      <c r="K74" s="613"/>
    </row>
    <row r="75" spans="1:11" x14ac:dyDescent="0.25">
      <c r="A75" s="1253"/>
      <c r="B75" s="1254"/>
      <c r="C75" s="517"/>
      <c r="D75" s="517"/>
      <c r="E75" s="517"/>
      <c r="F75" s="517"/>
      <c r="G75" s="621"/>
      <c r="H75" s="517"/>
      <c r="I75" s="27">
        <v>2231</v>
      </c>
      <c r="J75" s="517">
        <v>250</v>
      </c>
      <c r="K75" s="613"/>
    </row>
    <row r="76" spans="1:11" x14ac:dyDescent="0.25">
      <c r="A76" s="1253"/>
      <c r="B76" s="1254"/>
      <c r="C76" s="517">
        <v>1560</v>
      </c>
      <c r="D76" s="517"/>
      <c r="E76" s="517">
        <v>1336.45</v>
      </c>
      <c r="F76" s="517"/>
      <c r="G76" s="621">
        <v>1320</v>
      </c>
      <c r="H76" s="517"/>
      <c r="I76" s="27">
        <v>2314</v>
      </c>
      <c r="J76" s="517">
        <f>1320-250</f>
        <v>1070</v>
      </c>
      <c r="K76" s="613"/>
    </row>
    <row r="77" spans="1:11" ht="12.75" customHeight="1" x14ac:dyDescent="0.25">
      <c r="A77" s="1253">
        <v>15</v>
      </c>
      <c r="B77" s="1254" t="s">
        <v>240</v>
      </c>
      <c r="C77" s="27">
        <f t="shared" ref="C77:H77" si="15">SUM(C78:C83)</f>
        <v>27847</v>
      </c>
      <c r="D77" s="27">
        <f t="shared" si="15"/>
        <v>0</v>
      </c>
      <c r="E77" s="27">
        <f t="shared" si="15"/>
        <v>23943.48</v>
      </c>
      <c r="F77" s="27">
        <f t="shared" si="15"/>
        <v>0</v>
      </c>
      <c r="G77" s="27">
        <f t="shared" si="15"/>
        <v>24950</v>
      </c>
      <c r="H77" s="27">
        <f t="shared" si="15"/>
        <v>0</v>
      </c>
      <c r="I77" s="27"/>
      <c r="J77" s="27">
        <f>SUM(J78:J83)</f>
        <v>24050</v>
      </c>
      <c r="K77" s="27">
        <f>SUM(K78:K83)</f>
        <v>0</v>
      </c>
    </row>
    <row r="78" spans="1:11" ht="12.75" customHeight="1" x14ac:dyDescent="0.25">
      <c r="A78" s="1253"/>
      <c r="B78" s="1254"/>
      <c r="C78" s="517">
        <v>4324</v>
      </c>
      <c r="D78" s="517"/>
      <c r="E78" s="517">
        <v>4318</v>
      </c>
      <c r="F78" s="517"/>
      <c r="G78" s="621">
        <v>4300</v>
      </c>
      <c r="H78" s="517"/>
      <c r="I78" s="27">
        <v>1150</v>
      </c>
      <c r="J78" s="517">
        <v>4300</v>
      </c>
      <c r="K78" s="613"/>
    </row>
    <row r="79" spans="1:11" ht="12.75" customHeight="1" x14ac:dyDescent="0.25">
      <c r="A79" s="1253"/>
      <c r="B79" s="1254"/>
      <c r="C79" s="517">
        <v>143</v>
      </c>
      <c r="D79" s="517"/>
      <c r="E79" s="517">
        <v>101.64</v>
      </c>
      <c r="F79" s="517"/>
      <c r="G79" s="621">
        <v>250</v>
      </c>
      <c r="H79" s="517"/>
      <c r="I79" s="27">
        <v>2262</v>
      </c>
      <c r="J79" s="517">
        <v>250</v>
      </c>
      <c r="K79" s="613"/>
    </row>
    <row r="80" spans="1:11" ht="12.75" customHeight="1" x14ac:dyDescent="0.25">
      <c r="A80" s="1253"/>
      <c r="B80" s="1254"/>
      <c r="C80" s="517">
        <v>14612</v>
      </c>
      <c r="D80" s="517"/>
      <c r="E80" s="517">
        <v>11548.75</v>
      </c>
      <c r="F80" s="517"/>
      <c r="G80" s="621">
        <v>12000</v>
      </c>
      <c r="H80" s="517"/>
      <c r="I80" s="27">
        <v>2264</v>
      </c>
      <c r="J80" s="517">
        <v>11600</v>
      </c>
      <c r="K80" s="613"/>
    </row>
    <row r="81" spans="1:11" ht="12.75" customHeight="1" x14ac:dyDescent="0.25">
      <c r="A81" s="1253"/>
      <c r="B81" s="1254"/>
      <c r="C81" s="517">
        <v>4981</v>
      </c>
      <c r="D81" s="517"/>
      <c r="E81" s="517">
        <v>4188.09</v>
      </c>
      <c r="F81" s="517"/>
      <c r="G81" s="621">
        <v>4600</v>
      </c>
      <c r="H81" s="517"/>
      <c r="I81" s="27">
        <v>2279</v>
      </c>
      <c r="J81" s="517">
        <v>4100</v>
      </c>
      <c r="K81" s="613"/>
    </row>
    <row r="82" spans="1:11" ht="12.75" customHeight="1" x14ac:dyDescent="0.25">
      <c r="A82" s="1253"/>
      <c r="B82" s="1254"/>
      <c r="C82" s="517"/>
      <c r="D82" s="517"/>
      <c r="E82" s="517"/>
      <c r="F82" s="517"/>
      <c r="G82" s="621"/>
      <c r="H82" s="517"/>
      <c r="I82" s="27">
        <v>2231</v>
      </c>
      <c r="J82" s="517">
        <v>200</v>
      </c>
      <c r="K82" s="613"/>
    </row>
    <row r="83" spans="1:11" ht="12.75" customHeight="1" x14ac:dyDescent="0.25">
      <c r="A83" s="1253"/>
      <c r="B83" s="1254"/>
      <c r="C83" s="517">
        <v>3787</v>
      </c>
      <c r="D83" s="517"/>
      <c r="E83" s="517">
        <v>3787</v>
      </c>
      <c r="F83" s="517"/>
      <c r="G83" s="621">
        <v>3800</v>
      </c>
      <c r="H83" s="517"/>
      <c r="I83" s="27">
        <v>2314</v>
      </c>
      <c r="J83" s="517">
        <f>3800-200</f>
        <v>3600</v>
      </c>
      <c r="K83" s="613"/>
    </row>
    <row r="84" spans="1:11" ht="12.75" customHeight="1" x14ac:dyDescent="0.25">
      <c r="A84" s="1253">
        <v>16</v>
      </c>
      <c r="B84" s="1254" t="s">
        <v>241</v>
      </c>
      <c r="C84" s="27">
        <f t="shared" ref="C84:K84" si="16">SUM(C85:C89)</f>
        <v>29768</v>
      </c>
      <c r="D84" s="27">
        <f t="shared" si="16"/>
        <v>0</v>
      </c>
      <c r="E84" s="27">
        <f t="shared" si="16"/>
        <v>29764</v>
      </c>
      <c r="F84" s="27">
        <f t="shared" si="16"/>
        <v>0</v>
      </c>
      <c r="G84" s="27">
        <f t="shared" si="16"/>
        <v>29963</v>
      </c>
      <c r="H84" s="27">
        <f t="shared" si="16"/>
        <v>0</v>
      </c>
      <c r="I84" s="27"/>
      <c r="J84" s="27">
        <f>SUM(J85:J89)</f>
        <v>29963</v>
      </c>
      <c r="K84" s="27">
        <f t="shared" si="16"/>
        <v>0</v>
      </c>
    </row>
    <row r="85" spans="1:11" ht="12.75" customHeight="1" x14ac:dyDescent="0.25">
      <c r="A85" s="1253"/>
      <c r="B85" s="1254"/>
      <c r="C85" s="517">
        <v>5812</v>
      </c>
      <c r="D85" s="517"/>
      <c r="E85" s="517">
        <v>5808</v>
      </c>
      <c r="F85" s="517"/>
      <c r="G85" s="621">
        <v>5800</v>
      </c>
      <c r="H85" s="517"/>
      <c r="I85" s="27">
        <v>1150</v>
      </c>
      <c r="J85" s="517">
        <v>5800</v>
      </c>
      <c r="K85" s="613"/>
    </row>
    <row r="86" spans="1:11" ht="12.75" customHeight="1" x14ac:dyDescent="0.25">
      <c r="A86" s="1253"/>
      <c r="B86" s="1254"/>
      <c r="C86" s="517">
        <v>23024</v>
      </c>
      <c r="D86" s="517"/>
      <c r="E86" s="517">
        <v>23024</v>
      </c>
      <c r="F86" s="517"/>
      <c r="G86" s="621">
        <v>23200</v>
      </c>
      <c r="H86" s="517"/>
      <c r="I86" s="27">
        <v>2264</v>
      </c>
      <c r="J86" s="517">
        <v>23200</v>
      </c>
      <c r="K86" s="613"/>
    </row>
    <row r="87" spans="1:11" ht="12.75" customHeight="1" x14ac:dyDescent="0.25">
      <c r="A87" s="1253"/>
      <c r="B87" s="1254"/>
      <c r="C87" s="517">
        <v>569</v>
      </c>
      <c r="D87" s="517"/>
      <c r="E87" s="517">
        <v>569</v>
      </c>
      <c r="F87" s="517"/>
      <c r="G87" s="621">
        <v>600</v>
      </c>
      <c r="H87" s="517"/>
      <c r="I87" s="27">
        <v>2279</v>
      </c>
      <c r="J87" s="517">
        <v>600</v>
      </c>
      <c r="K87" s="613"/>
    </row>
    <row r="88" spans="1:11" ht="12.75" customHeight="1" x14ac:dyDescent="0.25">
      <c r="A88" s="1253"/>
      <c r="B88" s="1254"/>
      <c r="C88" s="517"/>
      <c r="D88" s="517"/>
      <c r="E88" s="517"/>
      <c r="F88" s="517"/>
      <c r="G88" s="621"/>
      <c r="H88" s="517"/>
      <c r="I88" s="27">
        <v>2231</v>
      </c>
      <c r="J88" s="517">
        <v>200</v>
      </c>
      <c r="K88" s="613"/>
    </row>
    <row r="89" spans="1:11" ht="12.75" customHeight="1" x14ac:dyDescent="0.25">
      <c r="A89" s="1253"/>
      <c r="B89" s="1254"/>
      <c r="C89" s="517">
        <v>363</v>
      </c>
      <c r="D89" s="517"/>
      <c r="E89" s="517">
        <v>363</v>
      </c>
      <c r="F89" s="517"/>
      <c r="G89" s="621">
        <v>363</v>
      </c>
      <c r="H89" s="517"/>
      <c r="I89" s="27">
        <v>2314</v>
      </c>
      <c r="J89" s="517">
        <f>363-200</f>
        <v>163</v>
      </c>
      <c r="K89" s="613"/>
    </row>
    <row r="90" spans="1:11" ht="12.75" customHeight="1" x14ac:dyDescent="0.25">
      <c r="A90" s="1253">
        <v>17</v>
      </c>
      <c r="B90" s="1254" t="s">
        <v>242</v>
      </c>
      <c r="C90" s="27">
        <f>SUM(C91:C95)</f>
        <v>25147</v>
      </c>
      <c r="D90" s="27">
        <f t="shared" ref="D90:K90" si="17">SUM(D91:D95)</f>
        <v>0</v>
      </c>
      <c r="E90" s="27">
        <f t="shared" si="17"/>
        <v>25147</v>
      </c>
      <c r="F90" s="27">
        <f t="shared" si="17"/>
        <v>0</v>
      </c>
      <c r="G90" s="27">
        <f t="shared" si="17"/>
        <v>25563</v>
      </c>
      <c r="H90" s="27">
        <f t="shared" si="17"/>
        <v>0</v>
      </c>
      <c r="I90" s="27"/>
      <c r="J90" s="27">
        <f>SUM(J91:J95)</f>
        <v>25563</v>
      </c>
      <c r="K90" s="27">
        <f t="shared" si="17"/>
        <v>0</v>
      </c>
    </row>
    <row r="91" spans="1:11" ht="12.75" customHeight="1" x14ac:dyDescent="0.25">
      <c r="A91" s="1253"/>
      <c r="B91" s="1254"/>
      <c r="C91" s="517">
        <v>550</v>
      </c>
      <c r="D91" s="517"/>
      <c r="E91" s="517">
        <v>550</v>
      </c>
      <c r="F91" s="517"/>
      <c r="G91" s="621">
        <v>4000</v>
      </c>
      <c r="H91" s="517"/>
      <c r="I91" s="27">
        <v>1150</v>
      </c>
      <c r="J91" s="517">
        <v>4000</v>
      </c>
      <c r="K91" s="613"/>
    </row>
    <row r="92" spans="1:11" ht="12.75" customHeight="1" x14ac:dyDescent="0.25">
      <c r="A92" s="1253"/>
      <c r="B92" s="1254"/>
      <c r="C92" s="517">
        <v>15844</v>
      </c>
      <c r="D92" s="517"/>
      <c r="E92" s="517">
        <v>15844</v>
      </c>
      <c r="F92" s="517"/>
      <c r="G92" s="621">
        <v>16200</v>
      </c>
      <c r="H92" s="517"/>
      <c r="I92" s="27">
        <v>2264</v>
      </c>
      <c r="J92" s="517">
        <v>16200</v>
      </c>
      <c r="K92" s="613"/>
    </row>
    <row r="93" spans="1:11" ht="12.75" customHeight="1" x14ac:dyDescent="0.25">
      <c r="A93" s="1253"/>
      <c r="B93" s="1254"/>
      <c r="C93" s="517">
        <v>8390</v>
      </c>
      <c r="D93" s="517"/>
      <c r="E93" s="517">
        <v>8390</v>
      </c>
      <c r="F93" s="517"/>
      <c r="G93" s="621">
        <v>5000</v>
      </c>
      <c r="H93" s="517"/>
      <c r="I93" s="27">
        <v>2279</v>
      </c>
      <c r="J93" s="517">
        <v>5000</v>
      </c>
      <c r="K93" s="613"/>
    </row>
    <row r="94" spans="1:11" ht="12.75" customHeight="1" x14ac:dyDescent="0.25">
      <c r="A94" s="1253"/>
      <c r="B94" s="1254"/>
      <c r="C94" s="517"/>
      <c r="D94" s="517"/>
      <c r="E94" s="517"/>
      <c r="F94" s="517"/>
      <c r="G94" s="621"/>
      <c r="H94" s="517"/>
      <c r="I94" s="27">
        <v>2231</v>
      </c>
      <c r="J94" s="517">
        <v>200</v>
      </c>
      <c r="K94" s="613"/>
    </row>
    <row r="95" spans="1:11" ht="12.75" customHeight="1" x14ac:dyDescent="0.25">
      <c r="A95" s="1253"/>
      <c r="B95" s="1254"/>
      <c r="C95" s="517">
        <v>363</v>
      </c>
      <c r="D95" s="517"/>
      <c r="E95" s="517">
        <v>363</v>
      </c>
      <c r="F95" s="517"/>
      <c r="G95" s="621">
        <v>363</v>
      </c>
      <c r="H95" s="517"/>
      <c r="I95" s="27">
        <v>2314</v>
      </c>
      <c r="J95" s="517">
        <f>363-200</f>
        <v>163</v>
      </c>
      <c r="K95" s="613"/>
    </row>
    <row r="96" spans="1:11" ht="12" customHeight="1" x14ac:dyDescent="0.25">
      <c r="A96" s="1253">
        <v>18</v>
      </c>
      <c r="B96" s="1254" t="s">
        <v>1047</v>
      </c>
      <c r="C96" s="27">
        <f t="shared" ref="C96:K96" si="18">SUM(C97:C101)</f>
        <v>23220</v>
      </c>
      <c r="D96" s="27">
        <f t="shared" si="18"/>
        <v>0</v>
      </c>
      <c r="E96" s="27">
        <f t="shared" si="18"/>
        <v>23220</v>
      </c>
      <c r="F96" s="27">
        <f t="shared" si="18"/>
        <v>0</v>
      </c>
      <c r="G96" s="27">
        <f t="shared" si="18"/>
        <v>25563</v>
      </c>
      <c r="H96" s="27">
        <f t="shared" si="18"/>
        <v>0</v>
      </c>
      <c r="I96" s="27"/>
      <c r="J96" s="27">
        <f>SUM(J97:J101)</f>
        <v>13563</v>
      </c>
      <c r="K96" s="27">
        <f t="shared" si="18"/>
        <v>0</v>
      </c>
    </row>
    <row r="97" spans="1:13" ht="12" customHeight="1" x14ac:dyDescent="0.25">
      <c r="A97" s="1253"/>
      <c r="B97" s="1254"/>
      <c r="C97" s="613">
        <v>550</v>
      </c>
      <c r="D97" s="613"/>
      <c r="E97" s="613">
        <v>550</v>
      </c>
      <c r="F97" s="613"/>
      <c r="G97" s="613">
        <v>4000</v>
      </c>
      <c r="H97" s="517"/>
      <c r="I97" s="612">
        <v>1150</v>
      </c>
      <c r="J97" s="517">
        <v>2000</v>
      </c>
      <c r="K97" s="613"/>
    </row>
    <row r="98" spans="1:13" ht="12" customHeight="1" x14ac:dyDescent="0.25">
      <c r="A98" s="1253"/>
      <c r="B98" s="1254"/>
      <c r="C98" s="517">
        <v>15239</v>
      </c>
      <c r="D98" s="517"/>
      <c r="E98" s="517">
        <v>15239</v>
      </c>
      <c r="F98" s="517"/>
      <c r="G98" s="621">
        <v>16200</v>
      </c>
      <c r="H98" s="517"/>
      <c r="I98" s="27">
        <v>2264</v>
      </c>
      <c r="J98" s="517">
        <v>6200</v>
      </c>
      <c r="K98" s="613"/>
    </row>
    <row r="99" spans="1:13" ht="12" customHeight="1" x14ac:dyDescent="0.25">
      <c r="A99" s="1253"/>
      <c r="B99" s="1254"/>
      <c r="C99" s="517">
        <v>7068</v>
      </c>
      <c r="D99" s="517"/>
      <c r="E99" s="517">
        <v>7068</v>
      </c>
      <c r="F99" s="517"/>
      <c r="G99" s="621">
        <v>5000</v>
      </c>
      <c r="H99" s="517"/>
      <c r="I99" s="27">
        <v>2279</v>
      </c>
      <c r="J99" s="517">
        <v>5000</v>
      </c>
      <c r="K99" s="613"/>
    </row>
    <row r="100" spans="1:13" ht="12" customHeight="1" x14ac:dyDescent="0.25">
      <c r="A100" s="1253"/>
      <c r="B100" s="1254"/>
      <c r="C100" s="517"/>
      <c r="D100" s="517"/>
      <c r="E100" s="517"/>
      <c r="F100" s="517"/>
      <c r="G100" s="621"/>
      <c r="H100" s="517"/>
      <c r="I100" s="27">
        <v>2231</v>
      </c>
      <c r="J100" s="517">
        <v>200</v>
      </c>
      <c r="K100" s="613"/>
    </row>
    <row r="101" spans="1:13" ht="12" customHeight="1" x14ac:dyDescent="0.25">
      <c r="A101" s="1253"/>
      <c r="B101" s="1254"/>
      <c r="C101" s="517">
        <v>363</v>
      </c>
      <c r="D101" s="517"/>
      <c r="E101" s="517">
        <v>363</v>
      </c>
      <c r="F101" s="517"/>
      <c r="G101" s="621">
        <v>363</v>
      </c>
      <c r="H101" s="517"/>
      <c r="I101" s="27">
        <v>2314</v>
      </c>
      <c r="J101" s="517">
        <f>363-200</f>
        <v>163</v>
      </c>
      <c r="K101" s="613"/>
    </row>
    <row r="102" spans="1:13" x14ac:dyDescent="0.25">
      <c r="A102" s="517"/>
      <c r="B102" s="625" t="s">
        <v>243</v>
      </c>
      <c r="C102" s="27" t="e">
        <f>SUM(C108,C114,C116,C119,C122,C125,C129,#REF!,#REF!,C133,C136,#REF!,C140,C144,C147,C149,C153,C157,C161,C166,C171,C175,C179,C184)</f>
        <v>#REF!</v>
      </c>
      <c r="D102" s="27" t="e">
        <f>SUM(D108,D114,D116,D119,D122,D125,D129,#REF!,#REF!,D133,D136,#REF!,D140,D144,D147,D149,D153,D157,D161,D166,D171,D175,D179,D184)</f>
        <v>#REF!</v>
      </c>
      <c r="E102" s="27" t="e">
        <f>SUM(E108,E114,E116,E119,E122,E125,E129,#REF!,#REF!,E133,E136,#REF!,E140,E144,E147,E149,E153,E157,E161,E166,E171,E175,E179,E184)</f>
        <v>#REF!</v>
      </c>
      <c r="F102" s="27" t="e">
        <f>SUM(F108,F114,F116,F119,F122,F125,F129,#REF!,#REF!,F133,F136,#REF!,F140,F144,F147,F149,F153,F157,F161,F166,F171,F175,F179,F184)</f>
        <v>#REF!</v>
      </c>
      <c r="G102" s="27" t="e">
        <f>SUM(G108,G114,G116,G119,G122,G125,G129,#REF!,#REF!,G133,G136,#REF!,G140,G144,G147,G149,G153,G157,G161,G166,G171,G175,G179,G184)</f>
        <v>#REF!</v>
      </c>
      <c r="H102" s="27" t="e">
        <f>SUM(H103,H108,H114,H116,H119,H122,H125,H129,#REF!,#REF!,H133,H136,#REF!,H140,H144,H147,H149,H153,H157,H161,H166,H171,H175,H179,H184)</f>
        <v>#REF!</v>
      </c>
      <c r="I102" s="27"/>
      <c r="J102" s="27">
        <f>SUM(J103,J108,J114,J116,J119,J122,J125,J129,J133,J136,J140,J144,J147,J149,J153,J157,J161,J166,J171,J175,J179,J184)</f>
        <v>164638</v>
      </c>
      <c r="K102" s="27">
        <f>SUM(K103,K108,K114,K116,K119,K122,K125,K129,K133,K136,K140,K144,K147,K149,K153,K157,K161,K166,K171,K175,K179,K184)</f>
        <v>10000</v>
      </c>
    </row>
    <row r="103" spans="1:13" s="31" customFormat="1" x14ac:dyDescent="0.25">
      <c r="A103" s="1253">
        <v>19</v>
      </c>
      <c r="B103" s="1254" t="s">
        <v>1033</v>
      </c>
      <c r="C103" s="27"/>
      <c r="D103" s="27"/>
      <c r="E103" s="27"/>
      <c r="F103" s="27"/>
      <c r="G103" s="27"/>
      <c r="H103" s="27"/>
      <c r="I103" s="27"/>
      <c r="J103" s="27">
        <f>SUM(J104:J107)</f>
        <v>12705</v>
      </c>
      <c r="K103" s="27"/>
      <c r="L103" s="537"/>
      <c r="M103" s="77"/>
    </row>
    <row r="104" spans="1:13" s="31" customFormat="1" x14ac:dyDescent="0.25">
      <c r="A104" s="1253"/>
      <c r="B104" s="1254"/>
      <c r="C104" s="27"/>
      <c r="D104" s="27"/>
      <c r="E104" s="27"/>
      <c r="F104" s="27"/>
      <c r="G104" s="27"/>
      <c r="H104" s="27"/>
      <c r="I104" s="27">
        <v>1150</v>
      </c>
      <c r="J104" s="517">
        <v>2057</v>
      </c>
      <c r="K104" s="27"/>
      <c r="L104" s="537"/>
      <c r="M104" s="77"/>
    </row>
    <row r="105" spans="1:13" s="31" customFormat="1" x14ac:dyDescent="0.25">
      <c r="A105" s="1253"/>
      <c r="B105" s="1254"/>
      <c r="C105" s="27"/>
      <c r="D105" s="27"/>
      <c r="E105" s="27"/>
      <c r="F105" s="27"/>
      <c r="G105" s="27"/>
      <c r="H105" s="27"/>
      <c r="I105" s="27">
        <v>2264</v>
      </c>
      <c r="J105" s="517">
        <v>1210</v>
      </c>
      <c r="K105" s="27"/>
      <c r="L105" s="537"/>
      <c r="M105" s="77"/>
    </row>
    <row r="106" spans="1:13" s="31" customFormat="1" x14ac:dyDescent="0.25">
      <c r="A106" s="1253"/>
      <c r="B106" s="1254"/>
      <c r="C106" s="27"/>
      <c r="D106" s="27"/>
      <c r="E106" s="27"/>
      <c r="F106" s="27"/>
      <c r="G106" s="27"/>
      <c r="H106" s="27"/>
      <c r="I106" s="27">
        <v>2279</v>
      </c>
      <c r="J106" s="517">
        <v>5082</v>
      </c>
      <c r="K106" s="27"/>
      <c r="L106" s="537"/>
      <c r="M106" s="77"/>
    </row>
    <row r="107" spans="1:13" s="31" customFormat="1" x14ac:dyDescent="0.25">
      <c r="A107" s="1253"/>
      <c r="B107" s="1254"/>
      <c r="C107" s="27"/>
      <c r="D107" s="27"/>
      <c r="E107" s="27"/>
      <c r="F107" s="27"/>
      <c r="G107" s="27"/>
      <c r="H107" s="27"/>
      <c r="I107" s="27">
        <v>2314</v>
      </c>
      <c r="J107" s="517">
        <v>4356</v>
      </c>
      <c r="K107" s="27"/>
      <c r="L107" s="537"/>
      <c r="M107" s="77"/>
    </row>
    <row r="108" spans="1:13" x14ac:dyDescent="0.25">
      <c r="A108" s="1253">
        <v>20</v>
      </c>
      <c r="B108" s="1254" t="s">
        <v>1048</v>
      </c>
      <c r="C108" s="27">
        <f t="shared" ref="C108:K108" si="19">SUM(C109:C113)</f>
        <v>4021</v>
      </c>
      <c r="D108" s="27">
        <f t="shared" si="19"/>
        <v>0</v>
      </c>
      <c r="E108" s="27">
        <f t="shared" si="19"/>
        <v>4018.42</v>
      </c>
      <c r="F108" s="27">
        <f t="shared" si="19"/>
        <v>0</v>
      </c>
      <c r="G108" s="27">
        <f t="shared" si="19"/>
        <v>4060</v>
      </c>
      <c r="H108" s="27">
        <f t="shared" si="19"/>
        <v>0</v>
      </c>
      <c r="I108" s="27"/>
      <c r="J108" s="27">
        <f>SUM(J109:J113)</f>
        <v>4019</v>
      </c>
      <c r="K108" s="27">
        <f t="shared" si="19"/>
        <v>0</v>
      </c>
      <c r="M108" s="76"/>
    </row>
    <row r="109" spans="1:13" x14ac:dyDescent="0.25">
      <c r="A109" s="1253"/>
      <c r="B109" s="1254"/>
      <c r="C109" s="517">
        <v>1471</v>
      </c>
      <c r="D109" s="517"/>
      <c r="E109" s="517">
        <v>1471</v>
      </c>
      <c r="F109" s="517"/>
      <c r="G109" s="617">
        <v>1500</v>
      </c>
      <c r="H109" s="517"/>
      <c r="I109" s="27">
        <v>1150</v>
      </c>
      <c r="J109" s="517">
        <v>1471</v>
      </c>
      <c r="K109" s="613"/>
      <c r="M109" s="76"/>
    </row>
    <row r="110" spans="1:13" x14ac:dyDescent="0.25">
      <c r="A110" s="1253"/>
      <c r="B110" s="1254"/>
      <c r="C110" s="517">
        <v>997</v>
      </c>
      <c r="D110" s="517"/>
      <c r="E110" s="517">
        <v>997</v>
      </c>
      <c r="F110" s="517"/>
      <c r="G110" s="613">
        <v>1000</v>
      </c>
      <c r="H110" s="517"/>
      <c r="I110" s="27">
        <v>2231</v>
      </c>
      <c r="J110" s="517">
        <v>998</v>
      </c>
      <c r="K110" s="613"/>
      <c r="M110" s="76"/>
    </row>
    <row r="111" spans="1:13" ht="11.25" customHeight="1" x14ac:dyDescent="0.25">
      <c r="A111" s="1253"/>
      <c r="B111" s="1254"/>
      <c r="C111" s="517">
        <v>430</v>
      </c>
      <c r="D111" s="517"/>
      <c r="E111" s="517">
        <v>427.94</v>
      </c>
      <c r="F111" s="517"/>
      <c r="G111" s="613">
        <v>430</v>
      </c>
      <c r="H111" s="517"/>
      <c r="I111" s="27">
        <v>2279</v>
      </c>
      <c r="J111" s="517">
        <v>430</v>
      </c>
      <c r="K111" s="613"/>
      <c r="M111" s="76"/>
    </row>
    <row r="112" spans="1:13" x14ac:dyDescent="0.25">
      <c r="A112" s="1253"/>
      <c r="B112" s="1254"/>
      <c r="C112" s="517">
        <v>333</v>
      </c>
      <c r="D112" s="517"/>
      <c r="E112" s="517">
        <v>333</v>
      </c>
      <c r="F112" s="517"/>
      <c r="G112" s="617">
        <v>330</v>
      </c>
      <c r="H112" s="517"/>
      <c r="I112" s="27">
        <v>2314</v>
      </c>
      <c r="J112" s="517">
        <v>330</v>
      </c>
      <c r="K112" s="613"/>
      <c r="M112" s="76"/>
    </row>
    <row r="113" spans="1:14" x14ac:dyDescent="0.25">
      <c r="A113" s="1253"/>
      <c r="B113" s="1254"/>
      <c r="C113" s="517">
        <v>790</v>
      </c>
      <c r="D113" s="517"/>
      <c r="E113" s="517">
        <v>789.48</v>
      </c>
      <c r="F113" s="517"/>
      <c r="G113" s="617">
        <v>800</v>
      </c>
      <c r="H113" s="517"/>
      <c r="I113" s="27">
        <v>6422</v>
      </c>
      <c r="J113" s="517">
        <v>790</v>
      </c>
      <c r="K113" s="613"/>
      <c r="M113" s="76"/>
    </row>
    <row r="114" spans="1:14" x14ac:dyDescent="0.25">
      <c r="A114" s="1253">
        <v>21</v>
      </c>
      <c r="B114" s="1254" t="s">
        <v>244</v>
      </c>
      <c r="C114" s="612">
        <f t="shared" ref="C114:H114" si="20">C115</f>
        <v>114</v>
      </c>
      <c r="D114" s="612">
        <f t="shared" si="20"/>
        <v>0</v>
      </c>
      <c r="E114" s="612">
        <f t="shared" si="20"/>
        <v>113.74</v>
      </c>
      <c r="F114" s="612">
        <f t="shared" si="20"/>
        <v>0</v>
      </c>
      <c r="G114" s="612">
        <f t="shared" si="20"/>
        <v>115</v>
      </c>
      <c r="H114" s="612">
        <f t="shared" si="20"/>
        <v>0</v>
      </c>
      <c r="I114" s="612"/>
      <c r="J114" s="612">
        <f>J115</f>
        <v>115</v>
      </c>
      <c r="K114" s="612">
        <f>K115</f>
        <v>0</v>
      </c>
      <c r="M114" s="76"/>
    </row>
    <row r="115" spans="1:14" x14ac:dyDescent="0.25">
      <c r="A115" s="1253"/>
      <c r="B115" s="1254"/>
      <c r="C115" s="613">
        <v>114</v>
      </c>
      <c r="D115" s="613"/>
      <c r="E115" s="613">
        <v>113.74</v>
      </c>
      <c r="F115" s="613"/>
      <c r="G115" s="613">
        <v>115</v>
      </c>
      <c r="H115" s="517"/>
      <c r="I115" s="27">
        <v>2314</v>
      </c>
      <c r="J115" s="517">
        <v>115</v>
      </c>
      <c r="K115" s="613"/>
      <c r="M115" s="76"/>
    </row>
    <row r="116" spans="1:14" ht="12.75" customHeight="1" x14ac:dyDescent="0.25">
      <c r="A116" s="1253">
        <v>22</v>
      </c>
      <c r="B116" s="1254" t="s">
        <v>1049</v>
      </c>
      <c r="C116" s="27">
        <f>SUM(C117:C118)</f>
        <v>524</v>
      </c>
      <c r="D116" s="27">
        <f t="shared" ref="D116:K116" si="21">SUM(D117:D118)</f>
        <v>0</v>
      </c>
      <c r="E116" s="27">
        <f t="shared" si="21"/>
        <v>524</v>
      </c>
      <c r="F116" s="27">
        <f t="shared" si="21"/>
        <v>0</v>
      </c>
      <c r="G116" s="27">
        <f t="shared" si="21"/>
        <v>540</v>
      </c>
      <c r="H116" s="27">
        <f t="shared" si="21"/>
        <v>0</v>
      </c>
      <c r="I116" s="27"/>
      <c r="J116" s="27">
        <f>SUM(J117:J118)</f>
        <v>521</v>
      </c>
      <c r="K116" s="27">
        <f t="shared" si="21"/>
        <v>0</v>
      </c>
      <c r="M116" s="76"/>
      <c r="N116" s="31"/>
    </row>
    <row r="117" spans="1:14" ht="12.75" customHeight="1" x14ac:dyDescent="0.25">
      <c r="A117" s="1253"/>
      <c r="B117" s="1254"/>
      <c r="C117" s="613">
        <v>381</v>
      </c>
      <c r="D117" s="613"/>
      <c r="E117" s="613">
        <v>381</v>
      </c>
      <c r="F117" s="613"/>
      <c r="G117" s="517">
        <v>400</v>
      </c>
      <c r="H117" s="613"/>
      <c r="I117" s="612">
        <v>1150</v>
      </c>
      <c r="J117" s="613">
        <v>381</v>
      </c>
      <c r="K117" s="613"/>
      <c r="M117" s="76"/>
      <c r="N117" s="31"/>
    </row>
    <row r="118" spans="1:14" x14ac:dyDescent="0.25">
      <c r="A118" s="1253"/>
      <c r="B118" s="1254"/>
      <c r="C118" s="517">
        <v>143</v>
      </c>
      <c r="D118" s="517"/>
      <c r="E118" s="517">
        <v>143</v>
      </c>
      <c r="F118" s="517"/>
      <c r="G118" s="621">
        <v>140</v>
      </c>
      <c r="H118" s="613"/>
      <c r="I118" s="27">
        <v>2314</v>
      </c>
      <c r="J118" s="613">
        <v>140</v>
      </c>
      <c r="K118" s="613"/>
      <c r="M118" s="78"/>
      <c r="N118" s="31"/>
    </row>
    <row r="119" spans="1:14" x14ac:dyDescent="0.25">
      <c r="A119" s="1253">
        <v>23</v>
      </c>
      <c r="B119" s="1254" t="s">
        <v>245</v>
      </c>
      <c r="C119" s="612">
        <f t="shared" ref="C119:H119" si="22">SUM(C120:C121)</f>
        <v>850</v>
      </c>
      <c r="D119" s="612">
        <f t="shared" si="22"/>
        <v>0</v>
      </c>
      <c r="E119" s="612">
        <f t="shared" si="22"/>
        <v>850</v>
      </c>
      <c r="F119" s="612">
        <f t="shared" si="22"/>
        <v>0</v>
      </c>
      <c r="G119" s="612">
        <f t="shared" si="22"/>
        <v>900</v>
      </c>
      <c r="H119" s="612">
        <f t="shared" si="22"/>
        <v>0</v>
      </c>
      <c r="I119" s="612"/>
      <c r="J119" s="612">
        <f>SUM(J120:J121)</f>
        <v>850</v>
      </c>
      <c r="K119" s="612">
        <f>SUM(K120:K121)</f>
        <v>0</v>
      </c>
      <c r="M119" s="78"/>
      <c r="N119" s="31"/>
    </row>
    <row r="120" spans="1:14" x14ac:dyDescent="0.25">
      <c r="A120" s="1253"/>
      <c r="B120" s="1254"/>
      <c r="C120" s="613">
        <v>600</v>
      </c>
      <c r="D120" s="613"/>
      <c r="E120" s="613">
        <v>600</v>
      </c>
      <c r="F120" s="613"/>
      <c r="G120" s="613">
        <v>650</v>
      </c>
      <c r="H120" s="517"/>
      <c r="I120" s="27">
        <v>2279</v>
      </c>
      <c r="J120" s="517">
        <v>600</v>
      </c>
      <c r="K120" s="613"/>
      <c r="M120" s="78"/>
      <c r="N120" s="31"/>
    </row>
    <row r="121" spans="1:14" x14ac:dyDescent="0.25">
      <c r="A121" s="1253"/>
      <c r="B121" s="1254"/>
      <c r="C121" s="613">
        <v>250</v>
      </c>
      <c r="D121" s="613"/>
      <c r="E121" s="613">
        <v>250</v>
      </c>
      <c r="F121" s="613"/>
      <c r="G121" s="613">
        <v>250</v>
      </c>
      <c r="H121" s="517"/>
      <c r="I121" s="27">
        <v>2314</v>
      </c>
      <c r="J121" s="517">
        <v>250</v>
      </c>
      <c r="K121" s="613"/>
      <c r="M121" s="78"/>
      <c r="N121" s="31"/>
    </row>
    <row r="122" spans="1:14" x14ac:dyDescent="0.25">
      <c r="A122" s="1253">
        <v>24</v>
      </c>
      <c r="B122" s="1254" t="s">
        <v>246</v>
      </c>
      <c r="C122" s="27">
        <f t="shared" ref="C122:H122" si="23">SUM(C123:C124)</f>
        <v>755</v>
      </c>
      <c r="D122" s="27">
        <f t="shared" si="23"/>
        <v>0</v>
      </c>
      <c r="E122" s="27">
        <f t="shared" si="23"/>
        <v>755</v>
      </c>
      <c r="F122" s="27">
        <f t="shared" si="23"/>
        <v>0</v>
      </c>
      <c r="G122" s="27">
        <f t="shared" si="23"/>
        <v>755</v>
      </c>
      <c r="H122" s="27">
        <f t="shared" si="23"/>
        <v>0</v>
      </c>
      <c r="I122" s="27"/>
      <c r="J122" s="27">
        <f>SUM(J123:J124)</f>
        <v>755</v>
      </c>
      <c r="K122" s="27">
        <f>SUM(K123:K124)</f>
        <v>0</v>
      </c>
      <c r="M122" s="78"/>
      <c r="N122" s="31"/>
    </row>
    <row r="123" spans="1:14" x14ac:dyDescent="0.25">
      <c r="A123" s="1253"/>
      <c r="B123" s="1254"/>
      <c r="C123" s="517">
        <v>342</v>
      </c>
      <c r="D123" s="517"/>
      <c r="E123" s="517">
        <v>342</v>
      </c>
      <c r="F123" s="517"/>
      <c r="G123" s="617">
        <v>340</v>
      </c>
      <c r="H123" s="517"/>
      <c r="I123" s="27">
        <v>1150</v>
      </c>
      <c r="J123" s="517">
        <v>340</v>
      </c>
      <c r="K123" s="613"/>
      <c r="M123" s="78"/>
      <c r="N123" s="31"/>
    </row>
    <row r="124" spans="1:14" x14ac:dyDescent="0.25">
      <c r="A124" s="1253"/>
      <c r="B124" s="1254"/>
      <c r="C124" s="517">
        <v>413</v>
      </c>
      <c r="D124" s="517"/>
      <c r="E124" s="517">
        <v>413</v>
      </c>
      <c r="F124" s="517"/>
      <c r="G124" s="617">
        <v>415</v>
      </c>
      <c r="H124" s="517"/>
      <c r="I124" s="27">
        <v>2314</v>
      </c>
      <c r="J124" s="517">
        <v>415</v>
      </c>
      <c r="K124" s="613"/>
      <c r="M124" s="78"/>
      <c r="N124" s="31"/>
    </row>
    <row r="125" spans="1:14" x14ac:dyDescent="0.25">
      <c r="A125" s="1253">
        <v>25</v>
      </c>
      <c r="B125" s="1254" t="s">
        <v>247</v>
      </c>
      <c r="C125" s="27">
        <f t="shared" ref="C125:H125" si="24">SUM(C126:C128)</f>
        <v>627</v>
      </c>
      <c r="D125" s="27">
        <f t="shared" si="24"/>
        <v>0</v>
      </c>
      <c r="E125" s="27">
        <f t="shared" si="24"/>
        <v>627</v>
      </c>
      <c r="F125" s="27">
        <f t="shared" si="24"/>
        <v>0</v>
      </c>
      <c r="G125" s="27">
        <f t="shared" si="24"/>
        <v>635</v>
      </c>
      <c r="H125" s="27">
        <f t="shared" si="24"/>
        <v>0</v>
      </c>
      <c r="I125" s="27"/>
      <c r="J125" s="27">
        <f>SUM(J126:J128)</f>
        <v>627</v>
      </c>
      <c r="K125" s="27">
        <f>SUM(K126:K128)</f>
        <v>0</v>
      </c>
      <c r="M125" s="78"/>
      <c r="N125" s="31"/>
    </row>
    <row r="126" spans="1:14" x14ac:dyDescent="0.25">
      <c r="A126" s="1253"/>
      <c r="B126" s="1254"/>
      <c r="C126" s="613">
        <v>427</v>
      </c>
      <c r="D126" s="613"/>
      <c r="E126" s="613">
        <v>427</v>
      </c>
      <c r="F126" s="613"/>
      <c r="G126" s="613">
        <v>430</v>
      </c>
      <c r="H126" s="517"/>
      <c r="I126" s="612">
        <v>1150</v>
      </c>
      <c r="J126" s="517">
        <v>427</v>
      </c>
      <c r="K126" s="613"/>
      <c r="M126" s="78"/>
      <c r="N126" s="31"/>
    </row>
    <row r="127" spans="1:14" x14ac:dyDescent="0.25">
      <c r="A127" s="1253"/>
      <c r="B127" s="1254"/>
      <c r="C127" s="613">
        <v>143</v>
      </c>
      <c r="D127" s="517"/>
      <c r="E127" s="613">
        <v>143</v>
      </c>
      <c r="F127" s="517"/>
      <c r="G127" s="621">
        <v>145</v>
      </c>
      <c r="H127" s="517"/>
      <c r="I127" s="27">
        <v>2231</v>
      </c>
      <c r="J127" s="517">
        <v>143</v>
      </c>
      <c r="K127" s="613"/>
      <c r="M127" s="78"/>
      <c r="N127" s="31"/>
    </row>
    <row r="128" spans="1:14" x14ac:dyDescent="0.25">
      <c r="A128" s="1253"/>
      <c r="B128" s="1254"/>
      <c r="C128" s="613">
        <v>57</v>
      </c>
      <c r="D128" s="517"/>
      <c r="E128" s="517">
        <v>57</v>
      </c>
      <c r="F128" s="517"/>
      <c r="G128" s="621">
        <v>60</v>
      </c>
      <c r="H128" s="517"/>
      <c r="I128" s="27">
        <v>2314</v>
      </c>
      <c r="J128" s="517">
        <v>57</v>
      </c>
      <c r="K128" s="613"/>
      <c r="M128" s="78"/>
      <c r="N128" s="31"/>
    </row>
    <row r="129" spans="1:14" x14ac:dyDescent="0.25">
      <c r="A129" s="1253">
        <v>26</v>
      </c>
      <c r="B129" s="1254" t="s">
        <v>248</v>
      </c>
      <c r="C129" s="27">
        <f t="shared" ref="C129:H129" si="25">SUM(C130:C132)</f>
        <v>3914</v>
      </c>
      <c r="D129" s="27">
        <f t="shared" si="25"/>
        <v>0</v>
      </c>
      <c r="E129" s="27">
        <f t="shared" si="25"/>
        <v>3914</v>
      </c>
      <c r="F129" s="27">
        <f t="shared" si="25"/>
        <v>0</v>
      </c>
      <c r="G129" s="27">
        <f t="shared" si="25"/>
        <v>3915</v>
      </c>
      <c r="H129" s="27">
        <f t="shared" si="25"/>
        <v>0</v>
      </c>
      <c r="I129" s="27"/>
      <c r="J129" s="27">
        <f>SUM(J130:J132)</f>
        <v>3914</v>
      </c>
      <c r="K129" s="27">
        <f>SUM(K130:K132)</f>
        <v>0</v>
      </c>
      <c r="M129" s="78"/>
      <c r="N129" s="31"/>
    </row>
    <row r="130" spans="1:14" x14ac:dyDescent="0.25">
      <c r="A130" s="1253"/>
      <c r="B130" s="1254"/>
      <c r="C130" s="517">
        <v>1779</v>
      </c>
      <c r="D130" s="517"/>
      <c r="E130" s="517">
        <v>1779</v>
      </c>
      <c r="F130" s="517"/>
      <c r="G130" s="517">
        <v>1780</v>
      </c>
      <c r="H130" s="613"/>
      <c r="I130" s="27">
        <v>1150</v>
      </c>
      <c r="J130" s="517">
        <v>1780</v>
      </c>
      <c r="K130" s="613"/>
      <c r="M130" s="78"/>
      <c r="N130" s="31"/>
    </row>
    <row r="131" spans="1:14" x14ac:dyDescent="0.25">
      <c r="A131" s="1253"/>
      <c r="B131" s="1254"/>
      <c r="C131" s="613">
        <v>1281</v>
      </c>
      <c r="D131" s="517"/>
      <c r="E131" s="517">
        <v>1281</v>
      </c>
      <c r="F131" s="517"/>
      <c r="G131" s="517">
        <v>1280</v>
      </c>
      <c r="H131" s="613"/>
      <c r="I131" s="612">
        <v>2264</v>
      </c>
      <c r="J131" s="517">
        <v>1280</v>
      </c>
      <c r="K131" s="613"/>
      <c r="M131" s="78"/>
      <c r="N131" s="31"/>
    </row>
    <row r="132" spans="1:14" x14ac:dyDescent="0.25">
      <c r="A132" s="1253"/>
      <c r="B132" s="1254"/>
      <c r="C132" s="517">
        <v>854</v>
      </c>
      <c r="D132" s="517"/>
      <c r="E132" s="517">
        <v>854</v>
      </c>
      <c r="F132" s="517"/>
      <c r="G132" s="517">
        <v>855</v>
      </c>
      <c r="H132" s="613"/>
      <c r="I132" s="27">
        <v>2314</v>
      </c>
      <c r="J132" s="517">
        <v>854</v>
      </c>
      <c r="K132" s="613"/>
      <c r="M132" s="78"/>
      <c r="N132" s="31"/>
    </row>
    <row r="133" spans="1:14" ht="12.75" customHeight="1" x14ac:dyDescent="0.25">
      <c r="A133" s="1256">
        <v>29</v>
      </c>
      <c r="B133" s="1254" t="s">
        <v>249</v>
      </c>
      <c r="C133" s="27">
        <f t="shared" ref="C133:H133" si="26">SUM(C134:C135)</f>
        <v>1140</v>
      </c>
      <c r="D133" s="27">
        <f t="shared" si="26"/>
        <v>0</v>
      </c>
      <c r="E133" s="27">
        <f t="shared" si="26"/>
        <v>1140</v>
      </c>
      <c r="F133" s="27">
        <f t="shared" si="26"/>
        <v>0</v>
      </c>
      <c r="G133" s="27">
        <f t="shared" si="26"/>
        <v>1190</v>
      </c>
      <c r="H133" s="27">
        <f t="shared" si="26"/>
        <v>0</v>
      </c>
      <c r="I133" s="27"/>
      <c r="J133" s="27">
        <f>SUM(J134:J135)</f>
        <v>1140</v>
      </c>
      <c r="K133" s="27">
        <f>SUM(K134:K135)</f>
        <v>0</v>
      </c>
    </row>
    <row r="134" spans="1:14" ht="12.75" customHeight="1" x14ac:dyDescent="0.25">
      <c r="A134" s="1256"/>
      <c r="B134" s="1254"/>
      <c r="C134" s="517">
        <v>548</v>
      </c>
      <c r="D134" s="613"/>
      <c r="E134" s="517">
        <v>548</v>
      </c>
      <c r="F134" s="613"/>
      <c r="G134" s="621">
        <v>600</v>
      </c>
      <c r="H134" s="517"/>
      <c r="I134" s="27">
        <v>1150</v>
      </c>
      <c r="J134" s="613">
        <v>550</v>
      </c>
      <c r="K134" s="613"/>
    </row>
    <row r="135" spans="1:14" ht="12.75" customHeight="1" x14ac:dyDescent="0.25">
      <c r="A135" s="1256"/>
      <c r="B135" s="1254"/>
      <c r="C135" s="517">
        <v>592</v>
      </c>
      <c r="D135" s="517"/>
      <c r="E135" s="517">
        <v>592</v>
      </c>
      <c r="F135" s="517"/>
      <c r="G135" s="613">
        <v>590</v>
      </c>
      <c r="H135" s="517"/>
      <c r="I135" s="27">
        <v>2314</v>
      </c>
      <c r="J135" s="517">
        <v>590</v>
      </c>
      <c r="K135" s="613"/>
    </row>
    <row r="136" spans="1:14" ht="12.75" customHeight="1" x14ac:dyDescent="0.25">
      <c r="A136" s="1256">
        <v>30</v>
      </c>
      <c r="B136" s="1257" t="s">
        <v>250</v>
      </c>
      <c r="C136" s="27">
        <f t="shared" ref="C136:H136" si="27">SUM(C137:C139)</f>
        <v>1353</v>
      </c>
      <c r="D136" s="27">
        <f t="shared" si="27"/>
        <v>0</v>
      </c>
      <c r="E136" s="27">
        <f t="shared" si="27"/>
        <v>1150.04</v>
      </c>
      <c r="F136" s="27">
        <f t="shared" si="27"/>
        <v>0</v>
      </c>
      <c r="G136" s="27">
        <f t="shared" si="27"/>
        <v>1335</v>
      </c>
      <c r="H136" s="27">
        <f t="shared" si="27"/>
        <v>0</v>
      </c>
      <c r="I136" s="27"/>
      <c r="J136" s="27">
        <f>SUM(J137:J139)</f>
        <v>1150</v>
      </c>
      <c r="K136" s="27">
        <f>SUM(K137:K139)</f>
        <v>0</v>
      </c>
    </row>
    <row r="137" spans="1:14" ht="12.75" customHeight="1" x14ac:dyDescent="0.25">
      <c r="A137" s="1256"/>
      <c r="B137" s="1258"/>
      <c r="C137" s="517">
        <v>712</v>
      </c>
      <c r="D137" s="613"/>
      <c r="E137" s="517">
        <v>712</v>
      </c>
      <c r="F137" s="613"/>
      <c r="G137" s="621">
        <v>700</v>
      </c>
      <c r="H137" s="27"/>
      <c r="I137" s="27">
        <v>1150</v>
      </c>
      <c r="J137" s="613">
        <v>700</v>
      </c>
      <c r="K137" s="613"/>
    </row>
    <row r="138" spans="1:14" ht="12.75" customHeight="1" x14ac:dyDescent="0.25">
      <c r="A138" s="1256"/>
      <c r="B138" s="1258"/>
      <c r="C138" s="613">
        <v>0</v>
      </c>
      <c r="D138" s="517"/>
      <c r="E138" s="613">
        <v>0</v>
      </c>
      <c r="F138" s="517"/>
      <c r="G138" s="613">
        <v>285</v>
      </c>
      <c r="H138" s="613"/>
      <c r="I138" s="612">
        <v>2279</v>
      </c>
      <c r="J138" s="517">
        <v>100</v>
      </c>
      <c r="K138" s="613"/>
    </row>
    <row r="139" spans="1:14" ht="12.75" customHeight="1" x14ac:dyDescent="0.25">
      <c r="A139" s="1256"/>
      <c r="B139" s="1259"/>
      <c r="C139" s="517">
        <v>641</v>
      </c>
      <c r="D139" s="517"/>
      <c r="E139" s="517">
        <v>438.04</v>
      </c>
      <c r="F139" s="517"/>
      <c r="G139" s="613">
        <v>350</v>
      </c>
      <c r="H139" s="517"/>
      <c r="I139" s="27">
        <v>2314</v>
      </c>
      <c r="J139" s="517">
        <v>350</v>
      </c>
      <c r="K139" s="613"/>
    </row>
    <row r="140" spans="1:14" ht="12.75" customHeight="1" x14ac:dyDescent="0.25">
      <c r="A140" s="1253">
        <v>32</v>
      </c>
      <c r="B140" s="1254" t="s">
        <v>251</v>
      </c>
      <c r="C140" s="612">
        <f t="shared" ref="C140:H140" si="28">SUM(C141:C143)</f>
        <v>4271</v>
      </c>
      <c r="D140" s="612">
        <f t="shared" si="28"/>
        <v>0</v>
      </c>
      <c r="E140" s="612">
        <f t="shared" si="28"/>
        <v>4271</v>
      </c>
      <c r="F140" s="612">
        <f t="shared" si="28"/>
        <v>0</v>
      </c>
      <c r="G140" s="612">
        <f t="shared" si="28"/>
        <v>4250</v>
      </c>
      <c r="H140" s="612">
        <f t="shared" si="28"/>
        <v>0</v>
      </c>
      <c r="I140" s="612"/>
      <c r="J140" s="612">
        <f>SUM(J141:J143)</f>
        <v>4250</v>
      </c>
      <c r="K140" s="612">
        <f>SUM(K141:K143)</f>
        <v>0</v>
      </c>
      <c r="M140" s="76"/>
      <c r="N140" s="31"/>
    </row>
    <row r="141" spans="1:14" ht="12.75" customHeight="1" x14ac:dyDescent="0.25">
      <c r="A141" s="1253"/>
      <c r="B141" s="1254"/>
      <c r="C141" s="517">
        <v>1210</v>
      </c>
      <c r="D141" s="517"/>
      <c r="E141" s="517">
        <v>1210</v>
      </c>
      <c r="F141" s="517"/>
      <c r="G141" s="517">
        <v>1200</v>
      </c>
      <c r="H141" s="613"/>
      <c r="I141" s="27">
        <v>1150</v>
      </c>
      <c r="J141" s="517">
        <v>1200</v>
      </c>
      <c r="K141" s="613"/>
      <c r="M141" s="76"/>
      <c r="N141" s="31"/>
    </row>
    <row r="142" spans="1:14" ht="12.75" customHeight="1" x14ac:dyDescent="0.25">
      <c r="A142" s="1253"/>
      <c r="B142" s="1254"/>
      <c r="C142" s="517">
        <v>1068</v>
      </c>
      <c r="D142" s="517"/>
      <c r="E142" s="517">
        <v>1068</v>
      </c>
      <c r="F142" s="517"/>
      <c r="G142" s="517">
        <v>1050</v>
      </c>
      <c r="H142" s="613"/>
      <c r="I142" s="27">
        <v>2314</v>
      </c>
      <c r="J142" s="517">
        <v>1050</v>
      </c>
      <c r="K142" s="613"/>
      <c r="M142" s="76"/>
      <c r="N142" s="31"/>
    </row>
    <row r="143" spans="1:14" ht="12.75" customHeight="1" x14ac:dyDescent="0.25">
      <c r="A143" s="1253"/>
      <c r="B143" s="1254"/>
      <c r="C143" s="517">
        <v>1993</v>
      </c>
      <c r="D143" s="517"/>
      <c r="E143" s="517">
        <v>1993</v>
      </c>
      <c r="F143" s="517"/>
      <c r="G143" s="517">
        <v>2000</v>
      </c>
      <c r="H143" s="613"/>
      <c r="I143" s="27">
        <v>6422</v>
      </c>
      <c r="J143" s="517">
        <v>2000</v>
      </c>
      <c r="K143" s="613"/>
      <c r="M143" s="76"/>
      <c r="N143" s="31"/>
    </row>
    <row r="144" spans="1:14" ht="12.75" customHeight="1" x14ac:dyDescent="0.25">
      <c r="A144" s="1253">
        <v>33</v>
      </c>
      <c r="B144" s="1254" t="s">
        <v>252</v>
      </c>
      <c r="C144" s="612">
        <f t="shared" ref="C144:H144" si="29">SUM(C145:C146)</f>
        <v>285</v>
      </c>
      <c r="D144" s="612">
        <f t="shared" si="29"/>
        <v>0</v>
      </c>
      <c r="E144" s="612">
        <f t="shared" si="29"/>
        <v>285</v>
      </c>
      <c r="F144" s="612">
        <f t="shared" si="29"/>
        <v>0</v>
      </c>
      <c r="G144" s="612">
        <f t="shared" si="29"/>
        <v>285</v>
      </c>
      <c r="H144" s="612">
        <f t="shared" si="29"/>
        <v>0</v>
      </c>
      <c r="I144" s="612"/>
      <c r="J144" s="612">
        <f>SUM(J145:J146)</f>
        <v>285</v>
      </c>
      <c r="K144" s="612">
        <f>SUM(K145:K146)</f>
        <v>0</v>
      </c>
      <c r="M144" s="76"/>
      <c r="N144" s="31"/>
    </row>
    <row r="145" spans="1:14" ht="12.75" customHeight="1" x14ac:dyDescent="0.25">
      <c r="A145" s="1253"/>
      <c r="B145" s="1254"/>
      <c r="C145" s="613">
        <v>114</v>
      </c>
      <c r="D145" s="613"/>
      <c r="E145" s="613">
        <v>114</v>
      </c>
      <c r="F145" s="613"/>
      <c r="G145" s="613">
        <v>115</v>
      </c>
      <c r="H145" s="517"/>
      <c r="I145" s="27">
        <v>1150</v>
      </c>
      <c r="J145" s="517">
        <v>115</v>
      </c>
      <c r="K145" s="613"/>
      <c r="M145" s="76"/>
      <c r="N145" s="31"/>
    </row>
    <row r="146" spans="1:14" ht="12.75" customHeight="1" x14ac:dyDescent="0.25">
      <c r="A146" s="1253"/>
      <c r="B146" s="1254"/>
      <c r="C146" s="613">
        <v>171</v>
      </c>
      <c r="D146" s="613"/>
      <c r="E146" s="613">
        <v>171</v>
      </c>
      <c r="F146" s="613"/>
      <c r="G146" s="613">
        <v>170</v>
      </c>
      <c r="H146" s="517"/>
      <c r="I146" s="27">
        <v>2314</v>
      </c>
      <c r="J146" s="517">
        <v>170</v>
      </c>
      <c r="K146" s="613"/>
      <c r="M146" s="76"/>
      <c r="N146" s="31"/>
    </row>
    <row r="147" spans="1:14" ht="12" customHeight="1" x14ac:dyDescent="0.25">
      <c r="A147" s="1253">
        <v>34</v>
      </c>
      <c r="B147" s="1254" t="s">
        <v>1050</v>
      </c>
      <c r="C147" s="27">
        <f t="shared" ref="C147:H147" si="30">SUM(C148:C148)</f>
        <v>4477</v>
      </c>
      <c r="D147" s="27">
        <f t="shared" si="30"/>
        <v>0</v>
      </c>
      <c r="E147" s="27">
        <f t="shared" si="30"/>
        <v>4477</v>
      </c>
      <c r="F147" s="27">
        <f t="shared" si="30"/>
        <v>0</v>
      </c>
      <c r="G147" s="27">
        <f t="shared" si="30"/>
        <v>17450</v>
      </c>
      <c r="H147" s="27">
        <f t="shared" si="30"/>
        <v>0</v>
      </c>
      <c r="I147" s="27"/>
      <c r="J147" s="27">
        <f>SUM(J148:J148)</f>
        <v>17450</v>
      </c>
      <c r="K147" s="27">
        <f>SUM(K148:K148)</f>
        <v>0</v>
      </c>
      <c r="M147" s="76"/>
      <c r="N147" s="31"/>
    </row>
    <row r="148" spans="1:14" x14ac:dyDescent="0.25">
      <c r="A148" s="1253"/>
      <c r="B148" s="1254"/>
      <c r="C148" s="517">
        <v>4477</v>
      </c>
      <c r="D148" s="517"/>
      <c r="E148" s="517">
        <v>4477</v>
      </c>
      <c r="F148" s="517"/>
      <c r="G148" s="621">
        <v>17450</v>
      </c>
      <c r="H148" s="517"/>
      <c r="I148" s="27">
        <v>2279</v>
      </c>
      <c r="J148" s="517">
        <v>17450</v>
      </c>
      <c r="K148" s="613"/>
      <c r="M148" s="76"/>
      <c r="N148" s="31"/>
    </row>
    <row r="149" spans="1:14" ht="12.75" customHeight="1" x14ac:dyDescent="0.25">
      <c r="A149" s="1253">
        <v>35</v>
      </c>
      <c r="B149" s="1254" t="s">
        <v>1136</v>
      </c>
      <c r="C149" s="612">
        <f>SUM(C150:C152)</f>
        <v>24332</v>
      </c>
      <c r="D149" s="612">
        <f t="shared" ref="D149:K149" si="31">SUM(D150:D152)</f>
        <v>0</v>
      </c>
      <c r="E149" s="612">
        <f t="shared" si="31"/>
        <v>24332</v>
      </c>
      <c r="F149" s="612">
        <f t="shared" si="31"/>
        <v>0</v>
      </c>
      <c r="G149" s="612">
        <f t="shared" si="31"/>
        <v>18450</v>
      </c>
      <c r="H149" s="612">
        <f t="shared" si="31"/>
        <v>0</v>
      </c>
      <c r="I149" s="612"/>
      <c r="J149" s="612">
        <f>SUM(J150:J152)</f>
        <v>7250</v>
      </c>
      <c r="K149" s="612">
        <f t="shared" si="31"/>
        <v>0</v>
      </c>
      <c r="M149" s="76"/>
      <c r="N149" s="31"/>
    </row>
    <row r="150" spans="1:14" ht="12.75" customHeight="1" x14ac:dyDescent="0.25">
      <c r="A150" s="1253"/>
      <c r="B150" s="1254"/>
      <c r="C150" s="613">
        <v>12806</v>
      </c>
      <c r="D150" s="613"/>
      <c r="E150" s="613">
        <v>12806</v>
      </c>
      <c r="F150" s="613"/>
      <c r="G150" s="613">
        <v>9000</v>
      </c>
      <c r="H150" s="517"/>
      <c r="I150" s="27">
        <v>1150</v>
      </c>
      <c r="J150" s="517">
        <v>2000</v>
      </c>
      <c r="K150" s="613"/>
      <c r="M150" s="76"/>
      <c r="N150" s="31"/>
    </row>
    <row r="151" spans="1:14" ht="12.75" customHeight="1" x14ac:dyDescent="0.25">
      <c r="A151" s="1253"/>
      <c r="B151" s="1254"/>
      <c r="C151" s="613">
        <v>10672</v>
      </c>
      <c r="D151" s="613"/>
      <c r="E151" s="613">
        <v>10672</v>
      </c>
      <c r="F151" s="613"/>
      <c r="G151" s="613">
        <v>9000</v>
      </c>
      <c r="H151" s="517"/>
      <c r="I151" s="27">
        <v>2279</v>
      </c>
      <c r="J151" s="517">
        <v>5000</v>
      </c>
      <c r="K151" s="613"/>
      <c r="M151" s="76"/>
      <c r="N151" s="31"/>
    </row>
    <row r="152" spans="1:14" ht="12.75" customHeight="1" x14ac:dyDescent="0.25">
      <c r="A152" s="1253"/>
      <c r="B152" s="1254"/>
      <c r="C152" s="613">
        <v>854</v>
      </c>
      <c r="D152" s="613"/>
      <c r="E152" s="613">
        <v>854</v>
      </c>
      <c r="F152" s="613"/>
      <c r="G152" s="613">
        <v>450</v>
      </c>
      <c r="H152" s="517"/>
      <c r="I152" s="27">
        <v>2314</v>
      </c>
      <c r="J152" s="517">
        <v>250</v>
      </c>
      <c r="K152" s="613"/>
      <c r="M152" s="76"/>
      <c r="N152" s="31"/>
    </row>
    <row r="153" spans="1:14" ht="12.75" customHeight="1" x14ac:dyDescent="0.25">
      <c r="A153" s="1253">
        <v>36</v>
      </c>
      <c r="B153" s="1254" t="s">
        <v>253</v>
      </c>
      <c r="C153" s="27">
        <f t="shared" ref="C153:H153" si="32">SUM(C154:C156)</f>
        <v>6053</v>
      </c>
      <c r="D153" s="27">
        <f t="shared" si="32"/>
        <v>0</v>
      </c>
      <c r="E153" s="27">
        <f t="shared" si="32"/>
        <v>6053</v>
      </c>
      <c r="F153" s="27">
        <f t="shared" si="32"/>
        <v>0</v>
      </c>
      <c r="G153" s="27">
        <f t="shared" si="32"/>
        <v>6700</v>
      </c>
      <c r="H153" s="27">
        <f t="shared" si="32"/>
        <v>0</v>
      </c>
      <c r="I153" s="27"/>
      <c r="J153" s="27">
        <f>SUM(J154:J156)</f>
        <v>5053</v>
      </c>
      <c r="K153" s="27">
        <f>SUM(K154:K156)</f>
        <v>0</v>
      </c>
      <c r="M153" s="76"/>
      <c r="N153" s="31"/>
    </row>
    <row r="154" spans="1:14" ht="12.75" customHeight="1" x14ac:dyDescent="0.25">
      <c r="A154" s="1253"/>
      <c r="B154" s="1254"/>
      <c r="C154" s="517">
        <v>1850</v>
      </c>
      <c r="D154" s="517"/>
      <c r="E154" s="517">
        <v>1850</v>
      </c>
      <c r="F154" s="517"/>
      <c r="G154" s="621">
        <v>2000</v>
      </c>
      <c r="H154" s="517"/>
      <c r="I154" s="27">
        <v>1150</v>
      </c>
      <c r="J154" s="517">
        <v>1850</v>
      </c>
      <c r="K154" s="613"/>
      <c r="M154" s="76"/>
      <c r="N154" s="31"/>
    </row>
    <row r="155" spans="1:14" ht="12.75" customHeight="1" x14ac:dyDescent="0.25">
      <c r="A155" s="1253"/>
      <c r="B155" s="1254"/>
      <c r="C155" s="517">
        <v>513</v>
      </c>
      <c r="D155" s="517"/>
      <c r="E155" s="517">
        <v>513</v>
      </c>
      <c r="F155" s="517"/>
      <c r="G155" s="621">
        <v>700</v>
      </c>
      <c r="H155" s="517"/>
      <c r="I155" s="27">
        <v>2262</v>
      </c>
      <c r="J155" s="517">
        <v>513</v>
      </c>
      <c r="K155" s="613"/>
      <c r="M155" s="76"/>
      <c r="N155" s="31"/>
    </row>
    <row r="156" spans="1:14" ht="12.75" customHeight="1" x14ac:dyDescent="0.25">
      <c r="A156" s="1253"/>
      <c r="B156" s="1254"/>
      <c r="C156" s="517">
        <v>3690</v>
      </c>
      <c r="D156" s="517"/>
      <c r="E156" s="517">
        <v>3690</v>
      </c>
      <c r="F156" s="517"/>
      <c r="G156" s="621">
        <v>4000</v>
      </c>
      <c r="H156" s="517"/>
      <c r="I156" s="27">
        <v>2314</v>
      </c>
      <c r="J156" s="517">
        <v>2690</v>
      </c>
      <c r="K156" s="613"/>
      <c r="M156" s="76"/>
      <c r="N156" s="31"/>
    </row>
    <row r="157" spans="1:14" ht="12.75" customHeight="1" x14ac:dyDescent="0.25">
      <c r="A157" s="1253">
        <v>37</v>
      </c>
      <c r="B157" s="1254" t="s">
        <v>254</v>
      </c>
      <c r="C157" s="27">
        <f>SUM(C158:C160)</f>
        <v>2498</v>
      </c>
      <c r="D157" s="27">
        <f t="shared" ref="D157:K157" si="33">SUM(D158:D160)</f>
        <v>285</v>
      </c>
      <c r="E157" s="27">
        <f t="shared" si="33"/>
        <v>2498</v>
      </c>
      <c r="F157" s="27">
        <f t="shared" si="33"/>
        <v>285</v>
      </c>
      <c r="G157" s="27">
        <f t="shared" si="33"/>
        <v>5300</v>
      </c>
      <c r="H157" s="27">
        <f t="shared" si="33"/>
        <v>3500</v>
      </c>
      <c r="I157" s="27"/>
      <c r="J157" s="27">
        <f>SUM(J158:J160)</f>
        <v>5300</v>
      </c>
      <c r="K157" s="27">
        <f t="shared" si="33"/>
        <v>3500</v>
      </c>
      <c r="M157" s="76"/>
      <c r="N157" s="31"/>
    </row>
    <row r="158" spans="1:14" ht="12.75" customHeight="1" x14ac:dyDescent="0.25">
      <c r="A158" s="1253"/>
      <c r="B158" s="1254"/>
      <c r="C158" s="613"/>
      <c r="D158" s="613">
        <v>285</v>
      </c>
      <c r="E158" s="613"/>
      <c r="F158" s="613">
        <v>285</v>
      </c>
      <c r="G158" s="613">
        <v>300</v>
      </c>
      <c r="H158" s="613"/>
      <c r="I158" s="612">
        <v>2262</v>
      </c>
      <c r="J158" s="517">
        <v>300</v>
      </c>
      <c r="K158" s="613"/>
      <c r="M158" s="76"/>
      <c r="N158" s="31"/>
    </row>
    <row r="159" spans="1:14" ht="12.75" customHeight="1" x14ac:dyDescent="0.25">
      <c r="A159" s="1253"/>
      <c r="B159" s="1254"/>
      <c r="C159" s="613"/>
      <c r="D159" s="613"/>
      <c r="E159" s="613"/>
      <c r="F159" s="613"/>
      <c r="G159" s="613"/>
      <c r="H159" s="613">
        <v>2000</v>
      </c>
      <c r="I159" s="612">
        <v>2279</v>
      </c>
      <c r="J159" s="517">
        <v>5000</v>
      </c>
      <c r="K159" s="613">
        <v>2000</v>
      </c>
      <c r="M159" s="76"/>
      <c r="N159" s="31"/>
    </row>
    <row r="160" spans="1:14" ht="12.75" customHeight="1" x14ac:dyDescent="0.25">
      <c r="A160" s="1253"/>
      <c r="B160" s="1254"/>
      <c r="C160" s="517">
        <v>2498</v>
      </c>
      <c r="D160" s="517"/>
      <c r="E160" s="517">
        <v>2498</v>
      </c>
      <c r="F160" s="517"/>
      <c r="G160" s="621">
        <v>5000</v>
      </c>
      <c r="H160" s="517">
        <v>1500</v>
      </c>
      <c r="I160" s="27">
        <v>2269</v>
      </c>
      <c r="J160" s="517"/>
      <c r="K160" s="613">
        <v>1500</v>
      </c>
      <c r="M160" s="76"/>
      <c r="N160" s="31"/>
    </row>
    <row r="161" spans="1:14" ht="12.75" customHeight="1" x14ac:dyDescent="0.25">
      <c r="A161" s="1253">
        <v>38</v>
      </c>
      <c r="B161" s="1254" t="s">
        <v>255</v>
      </c>
      <c r="C161" s="27">
        <f t="shared" ref="C161:H161" si="34">SUM(C162:C165)</f>
        <v>4391</v>
      </c>
      <c r="D161" s="27">
        <f t="shared" si="34"/>
        <v>892</v>
      </c>
      <c r="E161" s="27">
        <f t="shared" si="34"/>
        <v>4391</v>
      </c>
      <c r="F161" s="27">
        <f t="shared" si="34"/>
        <v>892</v>
      </c>
      <c r="G161" s="27">
        <f t="shared" si="34"/>
        <v>18450</v>
      </c>
      <c r="H161" s="27">
        <f t="shared" si="34"/>
        <v>6500</v>
      </c>
      <c r="I161" s="27"/>
      <c r="J161" s="27">
        <f>SUM(J162:J165)</f>
        <v>18450</v>
      </c>
      <c r="K161" s="27">
        <f>SUM(K162:K165)</f>
        <v>6500</v>
      </c>
      <c r="M161" s="76"/>
      <c r="N161" s="31"/>
    </row>
    <row r="162" spans="1:14" ht="12.75" customHeight="1" x14ac:dyDescent="0.25">
      <c r="A162" s="1253"/>
      <c r="B162" s="1254"/>
      <c r="C162" s="517">
        <v>925</v>
      </c>
      <c r="D162" s="517"/>
      <c r="E162" s="517">
        <v>925</v>
      </c>
      <c r="F162" s="517"/>
      <c r="G162" s="517">
        <v>9000</v>
      </c>
      <c r="H162" s="613"/>
      <c r="I162" s="27">
        <v>1150</v>
      </c>
      <c r="J162" s="517">
        <v>9000</v>
      </c>
      <c r="K162" s="613"/>
      <c r="M162" s="76"/>
      <c r="N162" s="31"/>
    </row>
    <row r="163" spans="1:14" ht="12.75" customHeight="1" x14ac:dyDescent="0.25">
      <c r="A163" s="1253"/>
      <c r="B163" s="1254"/>
      <c r="C163" s="517">
        <v>1068</v>
      </c>
      <c r="D163" s="517"/>
      <c r="E163" s="517">
        <v>1068</v>
      </c>
      <c r="F163" s="517"/>
      <c r="G163" s="517">
        <v>0</v>
      </c>
      <c r="H163" s="626">
        <v>5000</v>
      </c>
      <c r="I163" s="27">
        <v>2264</v>
      </c>
      <c r="J163" s="517">
        <v>0</v>
      </c>
      <c r="K163" s="613">
        <v>5000</v>
      </c>
      <c r="M163" s="76"/>
      <c r="N163" s="31"/>
    </row>
    <row r="164" spans="1:14" ht="12.75" customHeight="1" x14ac:dyDescent="0.25">
      <c r="A164" s="1253"/>
      <c r="B164" s="1254"/>
      <c r="C164" s="517">
        <v>997</v>
      </c>
      <c r="D164" s="517">
        <v>892</v>
      </c>
      <c r="E164" s="517">
        <v>997</v>
      </c>
      <c r="F164" s="517">
        <v>892</v>
      </c>
      <c r="G164" s="517">
        <v>9000</v>
      </c>
      <c r="H164" s="627">
        <v>1500</v>
      </c>
      <c r="I164" s="27">
        <v>2279</v>
      </c>
      <c r="J164" s="517">
        <v>9000</v>
      </c>
      <c r="K164" s="613">
        <v>1500</v>
      </c>
      <c r="M164" s="76"/>
      <c r="N164" s="31"/>
    </row>
    <row r="165" spans="1:14" ht="12.75" customHeight="1" x14ac:dyDescent="0.25">
      <c r="A165" s="1253"/>
      <c r="B165" s="1254"/>
      <c r="C165" s="517">
        <v>1401</v>
      </c>
      <c r="D165" s="517"/>
      <c r="E165" s="517">
        <v>1401</v>
      </c>
      <c r="F165" s="517"/>
      <c r="G165" s="613">
        <v>450</v>
      </c>
      <c r="H165" s="627"/>
      <c r="I165" s="27">
        <v>2314</v>
      </c>
      <c r="J165" s="517">
        <v>450</v>
      </c>
      <c r="K165" s="613"/>
      <c r="M165" s="76"/>
      <c r="N165" s="31"/>
    </row>
    <row r="166" spans="1:14" ht="12.75" customHeight="1" x14ac:dyDescent="0.25">
      <c r="A166" s="1253">
        <v>39</v>
      </c>
      <c r="B166" s="1254" t="s">
        <v>1051</v>
      </c>
      <c r="C166" s="27">
        <f t="shared" ref="C166:H166" si="35">SUM(C167:C170)</f>
        <v>7920</v>
      </c>
      <c r="D166" s="27">
        <f t="shared" si="35"/>
        <v>0</v>
      </c>
      <c r="E166" s="27">
        <f t="shared" si="35"/>
        <v>7918.9</v>
      </c>
      <c r="F166" s="27">
        <f t="shared" si="35"/>
        <v>0</v>
      </c>
      <c r="G166" s="27">
        <f t="shared" si="35"/>
        <v>8400</v>
      </c>
      <c r="H166" s="27">
        <f t="shared" si="35"/>
        <v>0</v>
      </c>
      <c r="I166" s="27"/>
      <c r="J166" s="27">
        <f>SUM(J167:J170)</f>
        <v>7919</v>
      </c>
      <c r="K166" s="27">
        <f>SUM(K167:K170)</f>
        <v>0</v>
      </c>
      <c r="M166" s="76"/>
      <c r="N166" s="31"/>
    </row>
    <row r="167" spans="1:14" ht="12.75" customHeight="1" x14ac:dyDescent="0.25">
      <c r="A167" s="1253"/>
      <c r="B167" s="1254"/>
      <c r="C167" s="517">
        <v>1464</v>
      </c>
      <c r="D167" s="27"/>
      <c r="E167" s="517">
        <v>1464</v>
      </c>
      <c r="F167" s="27"/>
      <c r="G167" s="517">
        <v>600</v>
      </c>
      <c r="H167" s="517"/>
      <c r="I167" s="27">
        <v>1150</v>
      </c>
      <c r="J167" s="517">
        <v>600</v>
      </c>
      <c r="K167" s="613"/>
      <c r="M167" s="76"/>
      <c r="N167" s="31"/>
    </row>
    <row r="168" spans="1:14" ht="12.75" customHeight="1" x14ac:dyDescent="0.25">
      <c r="A168" s="1253"/>
      <c r="B168" s="1254"/>
      <c r="C168" s="517">
        <v>4660</v>
      </c>
      <c r="D168" s="27"/>
      <c r="E168" s="517">
        <v>4658.8999999999996</v>
      </c>
      <c r="F168" s="27"/>
      <c r="G168" s="517">
        <v>5000</v>
      </c>
      <c r="H168" s="27"/>
      <c r="I168" s="27">
        <v>2264</v>
      </c>
      <c r="J168" s="517">
        <v>4658</v>
      </c>
      <c r="K168" s="613"/>
      <c r="M168" s="76"/>
      <c r="N168" s="31"/>
    </row>
    <row r="169" spans="1:14" ht="12.75" customHeight="1" x14ac:dyDescent="0.25">
      <c r="A169" s="1253"/>
      <c r="B169" s="1254"/>
      <c r="C169" s="517">
        <v>1210</v>
      </c>
      <c r="D169" s="27"/>
      <c r="E169" s="517">
        <v>1210</v>
      </c>
      <c r="F169" s="27"/>
      <c r="G169" s="517">
        <v>2500</v>
      </c>
      <c r="H169" s="27"/>
      <c r="I169" s="27">
        <v>2279</v>
      </c>
      <c r="J169" s="517">
        <v>2361</v>
      </c>
      <c r="K169" s="613"/>
      <c r="M169" s="76"/>
      <c r="N169" s="31"/>
    </row>
    <row r="170" spans="1:14" ht="12.75" customHeight="1" x14ac:dyDescent="0.25">
      <c r="A170" s="1253"/>
      <c r="B170" s="1254"/>
      <c r="C170" s="517">
        <v>586</v>
      </c>
      <c r="D170" s="517"/>
      <c r="E170" s="517">
        <v>586</v>
      </c>
      <c r="F170" s="517"/>
      <c r="G170" s="517">
        <v>300</v>
      </c>
      <c r="H170" s="613"/>
      <c r="I170" s="27">
        <v>2314</v>
      </c>
      <c r="J170" s="517">
        <v>300</v>
      </c>
      <c r="K170" s="613"/>
      <c r="M170" s="76"/>
      <c r="N170" s="31"/>
    </row>
    <row r="171" spans="1:14" ht="12.75" customHeight="1" x14ac:dyDescent="0.25">
      <c r="A171" s="1253">
        <v>40</v>
      </c>
      <c r="B171" s="1254" t="s">
        <v>256</v>
      </c>
      <c r="C171" s="27">
        <f t="shared" ref="C171:H171" si="36">SUM(C172:C174)</f>
        <v>377</v>
      </c>
      <c r="D171" s="27">
        <f t="shared" si="36"/>
        <v>0</v>
      </c>
      <c r="E171" s="27">
        <f t="shared" si="36"/>
        <v>377</v>
      </c>
      <c r="F171" s="27">
        <f t="shared" si="36"/>
        <v>0</v>
      </c>
      <c r="G171" s="27">
        <f t="shared" si="36"/>
        <v>1425</v>
      </c>
      <c r="H171" s="27">
        <f t="shared" si="36"/>
        <v>0</v>
      </c>
      <c r="I171" s="27"/>
      <c r="J171" s="27">
        <f>SUM(J172:J174)</f>
        <v>727</v>
      </c>
      <c r="K171" s="27">
        <f>SUM(K172:K174)</f>
        <v>0</v>
      </c>
      <c r="M171" s="76"/>
      <c r="N171" s="31"/>
    </row>
    <row r="172" spans="1:14" ht="12.75" customHeight="1" x14ac:dyDescent="0.25">
      <c r="A172" s="1253"/>
      <c r="B172" s="1254"/>
      <c r="C172" s="517">
        <v>285</v>
      </c>
      <c r="D172" s="517"/>
      <c r="E172" s="517">
        <v>285</v>
      </c>
      <c r="F172" s="517"/>
      <c r="G172" s="621">
        <v>600</v>
      </c>
      <c r="H172" s="517"/>
      <c r="I172" s="27">
        <v>1150</v>
      </c>
      <c r="J172" s="517">
        <v>400</v>
      </c>
      <c r="K172" s="613"/>
      <c r="M172" s="76"/>
      <c r="N172" s="31"/>
    </row>
    <row r="173" spans="1:14" ht="12.75" customHeight="1" x14ac:dyDescent="0.25">
      <c r="A173" s="1253"/>
      <c r="B173" s="1254"/>
      <c r="C173" s="517">
        <v>0</v>
      </c>
      <c r="D173" s="517"/>
      <c r="E173" s="517">
        <v>0</v>
      </c>
      <c r="F173" s="517"/>
      <c r="G173" s="621">
        <v>55</v>
      </c>
      <c r="H173" s="517"/>
      <c r="I173" s="27">
        <v>2264</v>
      </c>
      <c r="J173" s="517">
        <v>47</v>
      </c>
      <c r="K173" s="613"/>
      <c r="M173" s="76"/>
      <c r="N173" s="31"/>
    </row>
    <row r="174" spans="1:14" ht="12.75" customHeight="1" x14ac:dyDescent="0.25">
      <c r="A174" s="1253"/>
      <c r="B174" s="1254"/>
      <c r="C174" s="517">
        <v>92</v>
      </c>
      <c r="D174" s="517"/>
      <c r="E174" s="517">
        <v>92</v>
      </c>
      <c r="F174" s="517"/>
      <c r="G174" s="621">
        <v>770</v>
      </c>
      <c r="H174" s="517"/>
      <c r="I174" s="27">
        <v>2314</v>
      </c>
      <c r="J174" s="517">
        <v>280</v>
      </c>
      <c r="K174" s="613"/>
      <c r="M174" s="76"/>
      <c r="N174" s="31"/>
    </row>
    <row r="175" spans="1:14" x14ac:dyDescent="0.25">
      <c r="A175" s="1253">
        <v>41</v>
      </c>
      <c r="B175" s="1254" t="s">
        <v>257</v>
      </c>
      <c r="C175" s="616">
        <f t="shared" ref="C175:H175" si="37">SUM(C176:C178)</f>
        <v>19992</v>
      </c>
      <c r="D175" s="616">
        <f t="shared" si="37"/>
        <v>2322</v>
      </c>
      <c r="E175" s="616">
        <f t="shared" si="37"/>
        <v>19992</v>
      </c>
      <c r="F175" s="616">
        <f t="shared" si="37"/>
        <v>2322</v>
      </c>
      <c r="G175" s="616">
        <f t="shared" si="37"/>
        <v>30170</v>
      </c>
      <c r="H175" s="616">
        <f t="shared" si="37"/>
        <v>0</v>
      </c>
      <c r="I175" s="616"/>
      <c r="J175" s="616">
        <f>SUM(J176:J178)</f>
        <v>20021</v>
      </c>
      <c r="K175" s="616">
        <f>SUM(K176:K178)</f>
        <v>0</v>
      </c>
      <c r="M175" s="77"/>
      <c r="N175" s="31"/>
    </row>
    <row r="176" spans="1:14" x14ac:dyDescent="0.25">
      <c r="A176" s="1253"/>
      <c r="B176" s="1254"/>
      <c r="C176" s="613">
        <v>19209</v>
      </c>
      <c r="D176" s="613"/>
      <c r="E176" s="613">
        <v>19209</v>
      </c>
      <c r="F176" s="613"/>
      <c r="G176" s="613">
        <v>27100</v>
      </c>
      <c r="H176" s="613"/>
      <c r="I176" s="27">
        <v>2262</v>
      </c>
      <c r="J176" s="517">
        <v>19209</v>
      </c>
      <c r="K176" s="613"/>
      <c r="M176" s="77"/>
      <c r="N176" s="31"/>
    </row>
    <row r="177" spans="1:14" x14ac:dyDescent="0.25">
      <c r="A177" s="1253"/>
      <c r="B177" s="1254"/>
      <c r="C177" s="613">
        <v>427</v>
      </c>
      <c r="D177" s="613">
        <v>882</v>
      </c>
      <c r="E177" s="613">
        <v>427</v>
      </c>
      <c r="F177" s="613">
        <v>882</v>
      </c>
      <c r="G177" s="613">
        <v>430</v>
      </c>
      <c r="H177" s="613"/>
      <c r="I177" s="27">
        <v>2279</v>
      </c>
      <c r="J177" s="517">
        <v>430</v>
      </c>
      <c r="K177" s="613"/>
      <c r="M177" s="77"/>
      <c r="N177" s="31"/>
    </row>
    <row r="178" spans="1:14" x14ac:dyDescent="0.25">
      <c r="A178" s="1253"/>
      <c r="B178" s="1254"/>
      <c r="C178" s="613">
        <v>356</v>
      </c>
      <c r="D178" s="613">
        <v>1440</v>
      </c>
      <c r="E178" s="613">
        <v>356</v>
      </c>
      <c r="F178" s="613">
        <v>1440</v>
      </c>
      <c r="G178" s="613">
        <v>2640</v>
      </c>
      <c r="H178" s="613"/>
      <c r="I178" s="612">
        <v>2363</v>
      </c>
      <c r="J178" s="517">
        <v>382</v>
      </c>
      <c r="K178" s="613"/>
      <c r="M178" s="77"/>
      <c r="N178" s="31"/>
    </row>
    <row r="179" spans="1:14" ht="12.75" customHeight="1" x14ac:dyDescent="0.25">
      <c r="A179" s="1253">
        <v>42</v>
      </c>
      <c r="B179" s="1254" t="s">
        <v>258</v>
      </c>
      <c r="C179" s="616">
        <f t="shared" ref="C179:H179" si="38">SUM(C180:C183)</f>
        <v>3317</v>
      </c>
      <c r="D179" s="616">
        <f t="shared" si="38"/>
        <v>0</v>
      </c>
      <c r="E179" s="616">
        <f t="shared" si="38"/>
        <v>3317</v>
      </c>
      <c r="F179" s="616">
        <f t="shared" si="38"/>
        <v>0</v>
      </c>
      <c r="G179" s="616">
        <f t="shared" si="38"/>
        <v>4080</v>
      </c>
      <c r="H179" s="616">
        <f t="shared" si="38"/>
        <v>0</v>
      </c>
      <c r="I179" s="616"/>
      <c r="J179" s="616">
        <f>SUM(J180:J183)</f>
        <v>3317</v>
      </c>
      <c r="K179" s="616">
        <f>SUM(K180:K183)</f>
        <v>0</v>
      </c>
      <c r="M179" s="77"/>
      <c r="N179" s="31"/>
    </row>
    <row r="180" spans="1:14" ht="12.75" customHeight="1" x14ac:dyDescent="0.25">
      <c r="A180" s="1253"/>
      <c r="B180" s="1254"/>
      <c r="C180" s="517">
        <v>712</v>
      </c>
      <c r="D180" s="517"/>
      <c r="E180" s="517">
        <v>712</v>
      </c>
      <c r="F180" s="517"/>
      <c r="G180" s="517">
        <v>1250</v>
      </c>
      <c r="H180" s="613"/>
      <c r="I180" s="27">
        <v>1150</v>
      </c>
      <c r="J180" s="517">
        <v>712</v>
      </c>
      <c r="K180" s="613"/>
      <c r="M180" s="77"/>
      <c r="N180" s="31"/>
    </row>
    <row r="181" spans="1:14" ht="12.75" customHeight="1" x14ac:dyDescent="0.25">
      <c r="A181" s="1253"/>
      <c r="B181" s="1254"/>
      <c r="C181" s="517">
        <v>43</v>
      </c>
      <c r="D181" s="517"/>
      <c r="E181" s="517">
        <v>43</v>
      </c>
      <c r="F181" s="517"/>
      <c r="G181" s="517">
        <v>50</v>
      </c>
      <c r="H181" s="613"/>
      <c r="I181" s="27">
        <v>1210</v>
      </c>
      <c r="J181" s="517">
        <v>43</v>
      </c>
      <c r="K181" s="613"/>
      <c r="M181" s="77"/>
      <c r="N181" s="31"/>
    </row>
    <row r="182" spans="1:14" ht="12.75" customHeight="1" x14ac:dyDescent="0.25">
      <c r="A182" s="1253"/>
      <c r="B182" s="1254"/>
      <c r="C182" s="517">
        <v>285</v>
      </c>
      <c r="D182" s="517"/>
      <c r="E182" s="517">
        <v>285</v>
      </c>
      <c r="F182" s="517"/>
      <c r="G182" s="517">
        <v>500</v>
      </c>
      <c r="H182" s="613"/>
      <c r="I182" s="27">
        <v>2363</v>
      </c>
      <c r="J182" s="517">
        <v>285</v>
      </c>
      <c r="K182" s="613"/>
      <c r="M182" s="77"/>
      <c r="N182" s="31"/>
    </row>
    <row r="183" spans="1:14" ht="12.75" customHeight="1" x14ac:dyDescent="0.25">
      <c r="A183" s="1253"/>
      <c r="B183" s="1254"/>
      <c r="C183" s="517">
        <v>2277</v>
      </c>
      <c r="D183" s="517"/>
      <c r="E183" s="517">
        <v>2277</v>
      </c>
      <c r="F183" s="517"/>
      <c r="G183" s="517">
        <v>2280</v>
      </c>
      <c r="H183" s="613"/>
      <c r="I183" s="27">
        <v>2314</v>
      </c>
      <c r="J183" s="517">
        <v>2277</v>
      </c>
      <c r="K183" s="613"/>
      <c r="M183" s="77"/>
      <c r="N183" s="31"/>
    </row>
    <row r="184" spans="1:14" x14ac:dyDescent="0.25">
      <c r="A184" s="1253">
        <v>43</v>
      </c>
      <c r="B184" s="1261" t="s">
        <v>259</v>
      </c>
      <c r="C184" s="27">
        <f t="shared" ref="C184:H184" si="39">SUM(C185:C187)</f>
        <v>1725</v>
      </c>
      <c r="D184" s="27">
        <f t="shared" si="39"/>
        <v>0</v>
      </c>
      <c r="E184" s="27">
        <f t="shared" si="39"/>
        <v>1725</v>
      </c>
      <c r="F184" s="27">
        <f t="shared" si="39"/>
        <v>0</v>
      </c>
      <c r="G184" s="27">
        <f t="shared" si="39"/>
        <v>48820</v>
      </c>
      <c r="H184" s="27">
        <f t="shared" si="39"/>
        <v>0</v>
      </c>
      <c r="I184" s="27"/>
      <c r="J184" s="27">
        <f>SUM(J185:J187)</f>
        <v>48820</v>
      </c>
      <c r="K184" s="27">
        <f>SUM(K185:K187)</f>
        <v>0</v>
      </c>
      <c r="M184" s="77"/>
      <c r="N184" s="31"/>
    </row>
    <row r="185" spans="1:14" x14ac:dyDescent="0.25">
      <c r="A185" s="1253"/>
      <c r="B185" s="1261"/>
      <c r="C185" s="517"/>
      <c r="D185" s="517"/>
      <c r="E185" s="517"/>
      <c r="F185" s="517"/>
      <c r="G185" s="517">
        <v>2500</v>
      </c>
      <c r="H185" s="613"/>
      <c r="I185" s="27">
        <v>2122</v>
      </c>
      <c r="J185" s="517">
        <v>2500</v>
      </c>
      <c r="K185" s="613"/>
      <c r="M185" s="77"/>
      <c r="N185" s="31"/>
    </row>
    <row r="186" spans="1:14" x14ac:dyDescent="0.25">
      <c r="A186" s="1253"/>
      <c r="B186" s="1261"/>
      <c r="C186" s="517">
        <v>1725</v>
      </c>
      <c r="D186" s="517"/>
      <c r="E186" s="517">
        <v>1725</v>
      </c>
      <c r="F186" s="517"/>
      <c r="G186" s="517">
        <v>1800</v>
      </c>
      <c r="H186" s="613"/>
      <c r="I186" s="27">
        <v>2262</v>
      </c>
      <c r="J186" s="517">
        <v>1800</v>
      </c>
      <c r="K186" s="613"/>
      <c r="M186" s="77"/>
      <c r="N186" s="31"/>
    </row>
    <row r="187" spans="1:14" x14ac:dyDescent="0.25">
      <c r="A187" s="1253"/>
      <c r="B187" s="1261"/>
      <c r="C187" s="517"/>
      <c r="D187" s="517"/>
      <c r="E187" s="517"/>
      <c r="F187" s="517"/>
      <c r="G187" s="517">
        <v>44520</v>
      </c>
      <c r="H187" s="613"/>
      <c r="I187" s="27">
        <v>2279</v>
      </c>
      <c r="J187" s="517">
        <v>44520</v>
      </c>
      <c r="K187" s="613"/>
      <c r="M187" s="77"/>
      <c r="N187" s="31"/>
    </row>
    <row r="188" spans="1:14" x14ac:dyDescent="0.25">
      <c r="A188" s="628"/>
      <c r="B188" s="629" t="s">
        <v>260</v>
      </c>
      <c r="C188" s="611">
        <f>SUM(C189:C199)</f>
        <v>2217</v>
      </c>
      <c r="D188" s="611">
        <f>SUM(D189:D199)</f>
        <v>2420</v>
      </c>
      <c r="E188" s="611">
        <f>SUM(E189:E199)</f>
        <v>2217</v>
      </c>
      <c r="F188" s="611">
        <f>SUM(F189:F199)</f>
        <v>2420</v>
      </c>
      <c r="G188" s="611">
        <f>SUM(G189:G193)</f>
        <v>600</v>
      </c>
      <c r="H188" s="611">
        <f>SUM(H189:H199)</f>
        <v>0</v>
      </c>
      <c r="I188" s="611"/>
      <c r="J188" s="611">
        <f>SUM(J189:J193)</f>
        <v>1600</v>
      </c>
      <c r="K188" s="611">
        <f>SUM(K189:K193)</f>
        <v>4650</v>
      </c>
      <c r="M188" s="77"/>
      <c r="N188" s="31"/>
    </row>
    <row r="189" spans="1:14" x14ac:dyDescent="0.25">
      <c r="A189" s="925"/>
      <c r="B189" s="926"/>
      <c r="C189" s="613">
        <v>2217</v>
      </c>
      <c r="D189" s="613"/>
      <c r="E189" s="613">
        <v>2217</v>
      </c>
      <c r="F189" s="613"/>
      <c r="G189" s="613"/>
      <c r="H189" s="613"/>
      <c r="I189" s="612">
        <v>2314</v>
      </c>
      <c r="J189" s="517"/>
      <c r="K189" s="613">
        <v>2200</v>
      </c>
      <c r="M189" s="77"/>
      <c r="N189" s="31"/>
    </row>
    <row r="190" spans="1:14" x14ac:dyDescent="0.25">
      <c r="A190" s="924">
        <v>44</v>
      </c>
      <c r="B190" s="927" t="s">
        <v>261</v>
      </c>
      <c r="C190" s="613"/>
      <c r="D190" s="613"/>
      <c r="E190" s="613"/>
      <c r="F190" s="613"/>
      <c r="G190" s="613"/>
      <c r="H190" s="613"/>
      <c r="I190" s="612">
        <v>2314</v>
      </c>
      <c r="J190" s="517">
        <v>1000</v>
      </c>
      <c r="K190" s="613"/>
      <c r="M190" s="77"/>
      <c r="N190" s="31"/>
    </row>
    <row r="191" spans="1:14" x14ac:dyDescent="0.25">
      <c r="A191" s="633">
        <v>45</v>
      </c>
      <c r="B191" s="623" t="s">
        <v>262</v>
      </c>
      <c r="C191" s="630"/>
      <c r="D191" s="630"/>
      <c r="E191" s="630"/>
      <c r="F191" s="630"/>
      <c r="G191" s="630">
        <v>600</v>
      </c>
      <c r="H191" s="630"/>
      <c r="I191" s="624">
        <v>2314</v>
      </c>
      <c r="J191" s="517">
        <v>600</v>
      </c>
      <c r="K191" s="613"/>
      <c r="M191" s="77"/>
      <c r="N191" s="31"/>
    </row>
    <row r="192" spans="1:14" x14ac:dyDescent="0.25">
      <c r="A192" s="1238">
        <v>46</v>
      </c>
      <c r="B192" s="1262" t="s">
        <v>263</v>
      </c>
      <c r="C192" s="613">
        <v>0</v>
      </c>
      <c r="D192" s="613">
        <v>997</v>
      </c>
      <c r="E192" s="613"/>
      <c r="F192" s="613">
        <v>997</v>
      </c>
      <c r="G192" s="613"/>
      <c r="H192" s="613"/>
      <c r="I192" s="612">
        <v>1150</v>
      </c>
      <c r="J192" s="517"/>
      <c r="K192" s="613">
        <v>1000</v>
      </c>
      <c r="M192" s="77"/>
      <c r="N192" s="31"/>
    </row>
    <row r="193" spans="1:14" x14ac:dyDescent="0.25">
      <c r="A193" s="1239"/>
      <c r="B193" s="1262"/>
      <c r="C193" s="613">
        <v>0</v>
      </c>
      <c r="D193" s="613">
        <v>1423</v>
      </c>
      <c r="E193" s="613"/>
      <c r="F193" s="613">
        <v>1423</v>
      </c>
      <c r="G193" s="613"/>
      <c r="H193" s="613"/>
      <c r="I193" s="624">
        <v>2314</v>
      </c>
      <c r="J193" s="517"/>
      <c r="K193" s="613">
        <v>1450</v>
      </c>
      <c r="M193" s="77"/>
      <c r="N193" s="31"/>
    </row>
    <row r="194" spans="1:14" x14ac:dyDescent="0.25">
      <c r="A194" s="611"/>
      <c r="B194" s="631" t="s">
        <v>264</v>
      </c>
      <c r="C194" s="612">
        <f t="shared" ref="C194:H194" si="40">SUM(C195:C203)</f>
        <v>0</v>
      </c>
      <c r="D194" s="612">
        <f t="shared" si="40"/>
        <v>0</v>
      </c>
      <c r="E194" s="612">
        <f t="shared" si="40"/>
        <v>0</v>
      </c>
      <c r="F194" s="612">
        <f t="shared" si="40"/>
        <v>0</v>
      </c>
      <c r="G194" s="612">
        <f t="shared" si="40"/>
        <v>8670</v>
      </c>
      <c r="H194" s="612">
        <f t="shared" si="40"/>
        <v>0</v>
      </c>
      <c r="I194" s="612"/>
      <c r="J194" s="612">
        <f>SUM(J195:J203)</f>
        <v>8670</v>
      </c>
      <c r="K194" s="612">
        <f>SUM(K195:K203)</f>
        <v>0</v>
      </c>
    </row>
    <row r="195" spans="1:14" x14ac:dyDescent="0.25">
      <c r="A195" s="1256">
        <v>47</v>
      </c>
      <c r="B195" s="1260" t="s">
        <v>265</v>
      </c>
      <c r="C195" s="613"/>
      <c r="D195" s="613"/>
      <c r="E195" s="613"/>
      <c r="F195" s="613"/>
      <c r="G195" s="613">
        <v>2300</v>
      </c>
      <c r="H195" s="613"/>
      <c r="I195" s="612">
        <v>1150</v>
      </c>
      <c r="J195" s="517">
        <v>2300</v>
      </c>
      <c r="K195" s="613"/>
    </row>
    <row r="196" spans="1:14" x14ac:dyDescent="0.25">
      <c r="A196" s="1256"/>
      <c r="B196" s="1260"/>
      <c r="C196" s="613"/>
      <c r="D196" s="613"/>
      <c r="E196" s="613"/>
      <c r="F196" s="613"/>
      <c r="G196" s="613">
        <v>2700</v>
      </c>
      <c r="H196" s="613"/>
      <c r="I196" s="612">
        <v>2314</v>
      </c>
      <c r="J196" s="517">
        <v>2700</v>
      </c>
      <c r="K196" s="613"/>
    </row>
    <row r="197" spans="1:14" x14ac:dyDescent="0.25">
      <c r="A197" s="1256">
        <v>48</v>
      </c>
      <c r="B197" s="1260" t="s">
        <v>266</v>
      </c>
      <c r="C197" s="613"/>
      <c r="D197" s="613"/>
      <c r="E197" s="613"/>
      <c r="F197" s="613"/>
      <c r="G197" s="613">
        <v>500</v>
      </c>
      <c r="H197" s="613"/>
      <c r="I197" s="612">
        <v>1150</v>
      </c>
      <c r="J197" s="517">
        <v>500</v>
      </c>
      <c r="K197" s="613"/>
    </row>
    <row r="198" spans="1:14" x14ac:dyDescent="0.25">
      <c r="A198" s="1256"/>
      <c r="B198" s="1260"/>
      <c r="C198" s="613"/>
      <c r="D198" s="613"/>
      <c r="E198" s="613"/>
      <c r="F198" s="613"/>
      <c r="G198" s="613">
        <v>100</v>
      </c>
      <c r="H198" s="613"/>
      <c r="I198" s="612">
        <v>2311</v>
      </c>
      <c r="J198" s="517">
        <v>100</v>
      </c>
      <c r="K198" s="613"/>
    </row>
    <row r="199" spans="1:14" x14ac:dyDescent="0.25">
      <c r="A199" s="1256"/>
      <c r="B199" s="1260"/>
      <c r="C199" s="613"/>
      <c r="D199" s="613"/>
      <c r="E199" s="613"/>
      <c r="F199" s="613"/>
      <c r="G199" s="613">
        <v>1200</v>
      </c>
      <c r="H199" s="613"/>
      <c r="I199" s="612">
        <v>2314</v>
      </c>
      <c r="J199" s="517">
        <v>1200</v>
      </c>
      <c r="K199" s="613"/>
    </row>
    <row r="200" spans="1:14" x14ac:dyDescent="0.25">
      <c r="A200" s="1238">
        <v>49</v>
      </c>
      <c r="B200" s="1241" t="s">
        <v>267</v>
      </c>
      <c r="C200" s="613"/>
      <c r="D200" s="613"/>
      <c r="E200" s="613"/>
      <c r="F200" s="613"/>
      <c r="G200" s="613">
        <v>720</v>
      </c>
      <c r="H200" s="613"/>
      <c r="I200" s="612">
        <v>1150</v>
      </c>
      <c r="J200" s="517">
        <v>720</v>
      </c>
      <c r="K200" s="613"/>
    </row>
    <row r="201" spans="1:14" x14ac:dyDescent="0.25">
      <c r="A201" s="1239"/>
      <c r="B201" s="1242"/>
      <c r="C201" s="613"/>
      <c r="D201" s="613"/>
      <c r="E201" s="613"/>
      <c r="F201" s="613"/>
      <c r="G201" s="613">
        <v>500</v>
      </c>
      <c r="H201" s="613"/>
      <c r="I201" s="612">
        <v>2231</v>
      </c>
      <c r="J201" s="517">
        <v>500</v>
      </c>
      <c r="K201" s="613"/>
    </row>
    <row r="202" spans="1:14" x14ac:dyDescent="0.25">
      <c r="A202" s="1239"/>
      <c r="B202" s="1242"/>
      <c r="C202" s="613"/>
      <c r="D202" s="613"/>
      <c r="E202" s="613"/>
      <c r="F202" s="613"/>
      <c r="G202" s="613">
        <v>120</v>
      </c>
      <c r="H202" s="613"/>
      <c r="I202" s="612">
        <v>2279</v>
      </c>
      <c r="J202" s="517">
        <v>120</v>
      </c>
      <c r="K202" s="613"/>
    </row>
    <row r="203" spans="1:14" ht="12.75" customHeight="1" x14ac:dyDescent="0.25">
      <c r="A203" s="1240"/>
      <c r="B203" s="1243"/>
      <c r="C203" s="613"/>
      <c r="D203" s="613"/>
      <c r="E203" s="613"/>
      <c r="F203" s="613"/>
      <c r="G203" s="613">
        <v>530</v>
      </c>
      <c r="H203" s="613"/>
      <c r="I203" s="612">
        <v>2314</v>
      </c>
      <c r="J203" s="517">
        <v>530</v>
      </c>
      <c r="K203" s="613"/>
    </row>
    <row r="204" spans="1:14" x14ac:dyDescent="0.25">
      <c r="A204" s="632"/>
      <c r="B204" s="632" t="s">
        <v>268</v>
      </c>
      <c r="C204" s="27" t="e">
        <f>SUM(C205:C207,C209,C212,#REF!)</f>
        <v>#REF!</v>
      </c>
      <c r="D204" s="27" t="e">
        <f>SUM(D205:D207,D209,D212,#REF!)</f>
        <v>#REF!</v>
      </c>
      <c r="E204" s="27" t="e">
        <f>SUM(E205:E207,E209,E212,#REF!)</f>
        <v>#REF!</v>
      </c>
      <c r="F204" s="27" t="e">
        <f>SUM(F205:F207,F209,F212,#REF!)</f>
        <v>#REF!</v>
      </c>
      <c r="G204" s="27" t="e">
        <f>SUM(G205:G207,G209,G212,#REF!)</f>
        <v>#REF!</v>
      </c>
      <c r="H204" s="27" t="e">
        <f>SUM(H205:H207,H209,H212,#REF!)</f>
        <v>#REF!</v>
      </c>
      <c r="I204" s="27"/>
      <c r="J204" s="27">
        <f>SUM(J205:J207,J209,J212)</f>
        <v>70091</v>
      </c>
      <c r="K204" s="27">
        <f>SUM(K205:K207,K209,K212)</f>
        <v>1500</v>
      </c>
    </row>
    <row r="205" spans="1:14" x14ac:dyDescent="0.25">
      <c r="A205" s="628">
        <v>50</v>
      </c>
      <c r="B205" s="623" t="s">
        <v>269</v>
      </c>
      <c r="C205" s="623">
        <v>9249</v>
      </c>
      <c r="D205" s="623">
        <v>0</v>
      </c>
      <c r="E205" s="623">
        <v>9249</v>
      </c>
      <c r="F205" s="623">
        <v>0</v>
      </c>
      <c r="G205" s="630">
        <v>20000</v>
      </c>
      <c r="H205" s="517">
        <v>1000</v>
      </c>
      <c r="I205" s="615">
        <v>2314</v>
      </c>
      <c r="J205" s="517">
        <v>9249</v>
      </c>
      <c r="K205" s="613">
        <v>1000</v>
      </c>
    </row>
    <row r="206" spans="1:14" ht="12.75" customHeight="1" x14ac:dyDescent="0.25">
      <c r="A206" s="628">
        <v>51</v>
      </c>
      <c r="B206" s="623" t="s">
        <v>270</v>
      </c>
      <c r="C206" s="517">
        <v>3554</v>
      </c>
      <c r="D206" s="517">
        <v>0</v>
      </c>
      <c r="E206" s="517">
        <v>3554</v>
      </c>
      <c r="F206" s="517">
        <v>0</v>
      </c>
      <c r="G206" s="621">
        <v>4500</v>
      </c>
      <c r="H206" s="517">
        <v>500</v>
      </c>
      <c r="I206" s="27">
        <v>2279</v>
      </c>
      <c r="J206" s="517">
        <v>4500</v>
      </c>
      <c r="K206" s="613">
        <v>500</v>
      </c>
    </row>
    <row r="207" spans="1:14" x14ac:dyDescent="0.25">
      <c r="A207" s="1253">
        <v>52</v>
      </c>
      <c r="B207" s="1260" t="s">
        <v>271</v>
      </c>
      <c r="C207" s="615">
        <f t="shared" ref="C207:H207" si="41">SUM(C208:C208)</f>
        <v>712</v>
      </c>
      <c r="D207" s="615">
        <f t="shared" si="41"/>
        <v>0</v>
      </c>
      <c r="E207" s="615">
        <f t="shared" si="41"/>
        <v>712</v>
      </c>
      <c r="F207" s="615">
        <f t="shared" si="41"/>
        <v>0</v>
      </c>
      <c r="G207" s="615">
        <f t="shared" si="41"/>
        <v>700</v>
      </c>
      <c r="H207" s="615">
        <f t="shared" si="41"/>
        <v>0</v>
      </c>
      <c r="I207" s="615"/>
      <c r="J207" s="615">
        <f>SUM(J208:J208)</f>
        <v>700</v>
      </c>
      <c r="K207" s="615">
        <f>SUM(K208:K208)</f>
        <v>0</v>
      </c>
    </row>
    <row r="208" spans="1:14" ht="12.75" customHeight="1" x14ac:dyDescent="0.25">
      <c r="A208" s="1253"/>
      <c r="B208" s="1260"/>
      <c r="C208" s="517">
        <v>712</v>
      </c>
      <c r="D208" s="27"/>
      <c r="E208" s="517">
        <v>712</v>
      </c>
      <c r="F208" s="27"/>
      <c r="G208" s="621">
        <v>700</v>
      </c>
      <c r="H208" s="27"/>
      <c r="I208" s="27">
        <v>2248</v>
      </c>
      <c r="J208" s="517">
        <v>700</v>
      </c>
      <c r="K208" s="613"/>
    </row>
    <row r="209" spans="1:14" x14ac:dyDescent="0.25">
      <c r="A209" s="1253">
        <v>53</v>
      </c>
      <c r="B209" s="1260" t="s">
        <v>272</v>
      </c>
      <c r="C209" s="615">
        <f t="shared" ref="C209:K209" si="42">SUM(C210:C211)</f>
        <v>855</v>
      </c>
      <c r="D209" s="615">
        <f t="shared" si="42"/>
        <v>0</v>
      </c>
      <c r="E209" s="615">
        <f t="shared" si="42"/>
        <v>855</v>
      </c>
      <c r="F209" s="615">
        <f t="shared" si="42"/>
        <v>0</v>
      </c>
      <c r="G209" s="615">
        <f t="shared" si="42"/>
        <v>1000</v>
      </c>
      <c r="H209" s="615">
        <f t="shared" si="42"/>
        <v>0</v>
      </c>
      <c r="I209" s="615"/>
      <c r="J209" s="615">
        <f t="shared" si="42"/>
        <v>1000</v>
      </c>
      <c r="K209" s="615">
        <f t="shared" si="42"/>
        <v>0</v>
      </c>
    </row>
    <row r="210" spans="1:14" ht="12.75" customHeight="1" x14ac:dyDescent="0.25">
      <c r="A210" s="1253"/>
      <c r="B210" s="1260"/>
      <c r="C210" s="623">
        <v>143</v>
      </c>
      <c r="D210" s="623"/>
      <c r="E210" s="623">
        <v>143</v>
      </c>
      <c r="F210" s="623"/>
      <c r="G210" s="630">
        <v>200</v>
      </c>
      <c r="H210" s="517"/>
      <c r="I210" s="27">
        <v>2223</v>
      </c>
      <c r="J210" s="517">
        <v>200</v>
      </c>
      <c r="K210" s="613"/>
    </row>
    <row r="211" spans="1:14" ht="12.75" customHeight="1" x14ac:dyDescent="0.25">
      <c r="A211" s="1253"/>
      <c r="B211" s="1260"/>
      <c r="C211" s="623">
        <v>712</v>
      </c>
      <c r="D211" s="623"/>
      <c r="E211" s="623">
        <v>712</v>
      </c>
      <c r="F211" s="623"/>
      <c r="G211" s="630">
        <v>800</v>
      </c>
      <c r="H211" s="517"/>
      <c r="I211" s="27">
        <v>2279</v>
      </c>
      <c r="J211" s="517">
        <v>800</v>
      </c>
      <c r="K211" s="613"/>
    </row>
    <row r="212" spans="1:14" x14ac:dyDescent="0.25">
      <c r="A212" s="1253">
        <v>54</v>
      </c>
      <c r="B212" s="1260" t="s">
        <v>273</v>
      </c>
      <c r="C212" s="27">
        <f t="shared" ref="C212:H212" si="43">SUM(C213:C215)</f>
        <v>54072</v>
      </c>
      <c r="D212" s="27">
        <f t="shared" si="43"/>
        <v>0</v>
      </c>
      <c r="E212" s="27">
        <f t="shared" si="43"/>
        <v>54072</v>
      </c>
      <c r="F212" s="27">
        <f t="shared" si="43"/>
        <v>0</v>
      </c>
      <c r="G212" s="27">
        <f t="shared" si="43"/>
        <v>57000</v>
      </c>
      <c r="H212" s="27">
        <f t="shared" si="43"/>
        <v>0</v>
      </c>
      <c r="I212" s="27"/>
      <c r="J212" s="27">
        <f>SUM(J213:J215)</f>
        <v>54642</v>
      </c>
      <c r="K212" s="27">
        <f>SUM(K213:K215)</f>
        <v>0</v>
      </c>
      <c r="M212" s="79"/>
      <c r="N212" s="72"/>
    </row>
    <row r="213" spans="1:14" x14ac:dyDescent="0.25">
      <c r="A213" s="1253"/>
      <c r="B213" s="1260"/>
      <c r="C213" s="517">
        <v>32727</v>
      </c>
      <c r="D213" s="517"/>
      <c r="E213" s="517">
        <v>32727</v>
      </c>
      <c r="F213" s="517"/>
      <c r="G213" s="517">
        <v>43000</v>
      </c>
      <c r="H213" s="27"/>
      <c r="I213" s="27">
        <v>2239</v>
      </c>
      <c r="J213" s="517">
        <v>40642</v>
      </c>
      <c r="K213" s="613"/>
      <c r="M213" s="79"/>
      <c r="N213" s="72"/>
    </row>
    <row r="214" spans="1:14" x14ac:dyDescent="0.25">
      <c r="A214" s="1253"/>
      <c r="B214" s="1260"/>
      <c r="C214" s="517">
        <v>8467</v>
      </c>
      <c r="D214" s="517"/>
      <c r="E214" s="517">
        <v>8467</v>
      </c>
      <c r="F214" s="517"/>
      <c r="G214" s="617">
        <v>9000</v>
      </c>
      <c r="H214" s="517"/>
      <c r="I214" s="27">
        <v>2279</v>
      </c>
      <c r="J214" s="517">
        <v>9000</v>
      </c>
      <c r="K214" s="613"/>
      <c r="M214" s="79"/>
      <c r="N214" s="72"/>
    </row>
    <row r="215" spans="1:14" x14ac:dyDescent="0.25">
      <c r="A215" s="1253"/>
      <c r="B215" s="1260"/>
      <c r="C215" s="613">
        <v>12878</v>
      </c>
      <c r="D215" s="613"/>
      <c r="E215" s="613">
        <v>12878</v>
      </c>
      <c r="F215" s="613"/>
      <c r="G215" s="613">
        <v>5000</v>
      </c>
      <c r="H215" s="613"/>
      <c r="I215" s="612">
        <v>2314</v>
      </c>
      <c r="J215" s="517">
        <v>5000</v>
      </c>
      <c r="K215" s="613"/>
      <c r="M215" s="79"/>
      <c r="N215" s="72"/>
    </row>
    <row r="216" spans="1:14" s="67" customFormat="1" ht="12" x14ac:dyDescent="0.2">
      <c r="A216" s="27"/>
      <c r="B216" s="27" t="s">
        <v>275</v>
      </c>
      <c r="C216" s="615" t="e">
        <f>SUM(#REF!,#REF!,#REF!,#REF!,#REF!,C217,C223,#REF!,#REF!,#REF!,#REF!,C229,#REF!)</f>
        <v>#REF!</v>
      </c>
      <c r="D216" s="615" t="e">
        <f>SUM(#REF!,#REF!,#REF!,#REF!,#REF!,D217,D223,#REF!,#REF!,#REF!,#REF!,D229,#REF!)</f>
        <v>#REF!</v>
      </c>
      <c r="E216" s="615" t="e">
        <f>SUM(#REF!,#REF!,#REF!,#REF!,#REF!,E217,E223,#REF!,#REF!,#REF!,#REF!,E229,#REF!)</f>
        <v>#REF!</v>
      </c>
      <c r="F216" s="615" t="e">
        <f>SUM(#REF!,#REF!,#REF!,#REF!,#REF!,F217,F223,#REF!,#REF!,#REF!,#REF!,F229,#REF!)</f>
        <v>#REF!</v>
      </c>
      <c r="G216" s="615" t="e">
        <f>SUM(#REF!,#REF!,#REF!,#REF!,#REF!,G217,G223,#REF!,#REF!,#REF!,#REF!,G229,#REF!)</f>
        <v>#REF!</v>
      </c>
      <c r="H216" s="615" t="e">
        <f>SUM(#REF!,#REF!,#REF!,#REF!,#REF!,H217,H223,#REF!,#REF!,#REF!,#REF!,H229,#REF!)</f>
        <v>#REF!</v>
      </c>
      <c r="I216" s="615"/>
      <c r="J216" s="615">
        <f>J217+J223+J229</f>
        <v>19998</v>
      </c>
      <c r="K216" s="615">
        <f>K217+K223+K229</f>
        <v>0</v>
      </c>
      <c r="M216" s="76"/>
    </row>
    <row r="217" spans="1:14" ht="12.75" customHeight="1" x14ac:dyDescent="0.25">
      <c r="A217" s="1253">
        <v>55</v>
      </c>
      <c r="B217" s="1260" t="s">
        <v>1052</v>
      </c>
      <c r="C217" s="612">
        <f>SUM(C218:C222)</f>
        <v>0</v>
      </c>
      <c r="D217" s="612">
        <f t="shared" ref="D217:K217" si="44">SUM(D218:D222)</f>
        <v>0</v>
      </c>
      <c r="E217" s="612">
        <f t="shared" si="44"/>
        <v>0</v>
      </c>
      <c r="F217" s="612">
        <f t="shared" si="44"/>
        <v>0</v>
      </c>
      <c r="G217" s="612">
        <f t="shared" si="44"/>
        <v>9000</v>
      </c>
      <c r="H217" s="612">
        <f t="shared" si="44"/>
        <v>0</v>
      </c>
      <c r="I217" s="612"/>
      <c r="J217" s="612">
        <f t="shared" si="44"/>
        <v>9000</v>
      </c>
      <c r="K217" s="612">
        <f t="shared" si="44"/>
        <v>0</v>
      </c>
      <c r="M217" s="76"/>
    </row>
    <row r="218" spans="1:14" ht="12.75" customHeight="1" x14ac:dyDescent="0.25">
      <c r="A218" s="1253"/>
      <c r="B218" s="1260"/>
      <c r="C218" s="613"/>
      <c r="D218" s="613"/>
      <c r="E218" s="613"/>
      <c r="F218" s="613"/>
      <c r="G218" s="613">
        <v>3000</v>
      </c>
      <c r="H218" s="517"/>
      <c r="I218" s="27">
        <v>1150</v>
      </c>
      <c r="J218" s="517">
        <v>3000</v>
      </c>
      <c r="K218" s="613"/>
      <c r="M218" s="76"/>
    </row>
    <row r="219" spans="1:14" ht="12.75" customHeight="1" x14ac:dyDescent="0.25">
      <c r="A219" s="1253"/>
      <c r="B219" s="1260"/>
      <c r="C219" s="613"/>
      <c r="D219" s="613"/>
      <c r="E219" s="613"/>
      <c r="F219" s="613"/>
      <c r="G219" s="613">
        <v>250</v>
      </c>
      <c r="H219" s="517"/>
      <c r="I219" s="27">
        <v>2262</v>
      </c>
      <c r="J219" s="517">
        <v>250</v>
      </c>
      <c r="K219" s="613"/>
      <c r="M219" s="76"/>
    </row>
    <row r="220" spans="1:14" ht="12.75" customHeight="1" x14ac:dyDescent="0.25">
      <c r="A220" s="1253"/>
      <c r="B220" s="1260"/>
      <c r="C220" s="613"/>
      <c r="D220" s="613"/>
      <c r="E220" s="613"/>
      <c r="F220" s="613"/>
      <c r="G220" s="613">
        <v>1250</v>
      </c>
      <c r="H220" s="517"/>
      <c r="I220" s="27">
        <v>2264</v>
      </c>
      <c r="J220" s="517">
        <v>1250</v>
      </c>
      <c r="K220" s="613"/>
      <c r="M220" s="76"/>
    </row>
    <row r="221" spans="1:14" ht="12.75" customHeight="1" x14ac:dyDescent="0.25">
      <c r="A221" s="1253"/>
      <c r="B221" s="1260"/>
      <c r="C221" s="613"/>
      <c r="D221" s="613"/>
      <c r="E221" s="613"/>
      <c r="F221" s="613"/>
      <c r="G221" s="613">
        <v>3000</v>
      </c>
      <c r="H221" s="517"/>
      <c r="I221" s="27">
        <v>2279</v>
      </c>
      <c r="J221" s="517">
        <v>3000</v>
      </c>
      <c r="K221" s="613"/>
      <c r="M221" s="76"/>
    </row>
    <row r="222" spans="1:14" ht="12.75" customHeight="1" x14ac:dyDescent="0.25">
      <c r="A222" s="1253"/>
      <c r="B222" s="1260"/>
      <c r="C222" s="613"/>
      <c r="D222" s="613"/>
      <c r="E222" s="613"/>
      <c r="F222" s="613"/>
      <c r="G222" s="613">
        <v>1500</v>
      </c>
      <c r="H222" s="517"/>
      <c r="I222" s="27">
        <v>2314</v>
      </c>
      <c r="J222" s="517">
        <v>1500</v>
      </c>
      <c r="K222" s="613"/>
      <c r="M222" s="76"/>
    </row>
    <row r="223" spans="1:14" ht="12.75" customHeight="1" x14ac:dyDescent="0.25">
      <c r="A223" s="1253">
        <v>56</v>
      </c>
      <c r="B223" s="1260" t="s">
        <v>276</v>
      </c>
      <c r="C223" s="612">
        <f>SUM(C224:C228)</f>
        <v>0</v>
      </c>
      <c r="D223" s="612">
        <f t="shared" ref="D223:K223" si="45">SUM(D224:D228)</f>
        <v>0</v>
      </c>
      <c r="E223" s="612">
        <f t="shared" si="45"/>
        <v>0</v>
      </c>
      <c r="F223" s="612">
        <f t="shared" si="45"/>
        <v>0</v>
      </c>
      <c r="G223" s="612">
        <f t="shared" si="45"/>
        <v>4050</v>
      </c>
      <c r="H223" s="612">
        <f t="shared" si="45"/>
        <v>0</v>
      </c>
      <c r="I223" s="612"/>
      <c r="J223" s="612">
        <f t="shared" si="45"/>
        <v>3883</v>
      </c>
      <c r="K223" s="612">
        <f t="shared" si="45"/>
        <v>0</v>
      </c>
      <c r="M223" s="76"/>
    </row>
    <row r="224" spans="1:14" ht="12.75" customHeight="1" x14ac:dyDescent="0.25">
      <c r="A224" s="1253"/>
      <c r="B224" s="1260"/>
      <c r="C224" s="613"/>
      <c r="D224" s="613"/>
      <c r="E224" s="613"/>
      <c r="F224" s="613"/>
      <c r="G224" s="613">
        <v>1100</v>
      </c>
      <c r="H224" s="517"/>
      <c r="I224" s="27">
        <v>1150</v>
      </c>
      <c r="J224" s="517">
        <v>1091</v>
      </c>
      <c r="K224" s="613"/>
      <c r="M224" s="76"/>
    </row>
    <row r="225" spans="1:13" ht="12.75" customHeight="1" x14ac:dyDescent="0.25">
      <c r="A225" s="1253"/>
      <c r="B225" s="1260"/>
      <c r="C225" s="613"/>
      <c r="D225" s="613"/>
      <c r="E225" s="613"/>
      <c r="F225" s="613"/>
      <c r="G225" s="613">
        <v>100</v>
      </c>
      <c r="H225" s="517"/>
      <c r="I225" s="27">
        <v>2262</v>
      </c>
      <c r="J225" s="517">
        <v>61</v>
      </c>
      <c r="K225" s="613"/>
      <c r="M225" s="76"/>
    </row>
    <row r="226" spans="1:13" ht="12.75" customHeight="1" x14ac:dyDescent="0.25">
      <c r="A226" s="1253"/>
      <c r="B226" s="1260"/>
      <c r="C226" s="613"/>
      <c r="D226" s="613"/>
      <c r="E226" s="613"/>
      <c r="F226" s="613"/>
      <c r="G226" s="613">
        <v>150</v>
      </c>
      <c r="H226" s="517"/>
      <c r="I226" s="27">
        <v>2264</v>
      </c>
      <c r="J226" s="517">
        <v>146</v>
      </c>
      <c r="K226" s="613"/>
      <c r="M226" s="76"/>
    </row>
    <row r="227" spans="1:13" ht="12.75" customHeight="1" x14ac:dyDescent="0.25">
      <c r="A227" s="1253"/>
      <c r="B227" s="1260"/>
      <c r="C227" s="613"/>
      <c r="D227" s="613"/>
      <c r="E227" s="613"/>
      <c r="F227" s="613"/>
      <c r="G227" s="613">
        <v>2500</v>
      </c>
      <c r="H227" s="517"/>
      <c r="I227" s="27">
        <v>2279</v>
      </c>
      <c r="J227" s="517">
        <v>2415</v>
      </c>
      <c r="K227" s="613"/>
      <c r="M227" s="76"/>
    </row>
    <row r="228" spans="1:13" ht="12.75" customHeight="1" x14ac:dyDescent="0.25">
      <c r="A228" s="1253"/>
      <c r="B228" s="1260"/>
      <c r="C228" s="613"/>
      <c r="D228" s="613"/>
      <c r="E228" s="613"/>
      <c r="F228" s="613"/>
      <c r="G228" s="613">
        <v>200</v>
      </c>
      <c r="H228" s="517"/>
      <c r="I228" s="27">
        <v>2314</v>
      </c>
      <c r="J228" s="517">
        <v>170</v>
      </c>
      <c r="K228" s="613"/>
      <c r="M228" s="76"/>
    </row>
    <row r="229" spans="1:13" ht="12.75" customHeight="1" x14ac:dyDescent="0.25">
      <c r="A229" s="1253">
        <v>57</v>
      </c>
      <c r="B229" s="1260" t="s">
        <v>277</v>
      </c>
      <c r="C229" s="612">
        <f t="shared" ref="C229:H229" si="46">SUM(C230:C233)</f>
        <v>0</v>
      </c>
      <c r="D229" s="612">
        <f t="shared" si="46"/>
        <v>0</v>
      </c>
      <c r="E229" s="612">
        <f t="shared" si="46"/>
        <v>0</v>
      </c>
      <c r="F229" s="612">
        <f t="shared" si="46"/>
        <v>0</v>
      </c>
      <c r="G229" s="612">
        <f t="shared" si="46"/>
        <v>7115</v>
      </c>
      <c r="H229" s="612">
        <f t="shared" si="46"/>
        <v>0</v>
      </c>
      <c r="I229" s="612"/>
      <c r="J229" s="612">
        <f>SUM(J230:J233)</f>
        <v>7115</v>
      </c>
      <c r="K229" s="612">
        <f>SUM(K230:K233)</f>
        <v>0</v>
      </c>
      <c r="M229" s="76"/>
    </row>
    <row r="230" spans="1:13" ht="12.75" customHeight="1" x14ac:dyDescent="0.25">
      <c r="A230" s="1253"/>
      <c r="B230" s="1260"/>
      <c r="C230" s="613"/>
      <c r="D230" s="613"/>
      <c r="E230" s="613"/>
      <c r="F230" s="613"/>
      <c r="G230" s="613">
        <v>3150</v>
      </c>
      <c r="H230" s="517"/>
      <c r="I230" s="27">
        <v>1150</v>
      </c>
      <c r="J230" s="517">
        <v>3150</v>
      </c>
      <c r="K230" s="613"/>
      <c r="M230" s="76"/>
    </row>
    <row r="231" spans="1:13" ht="12.75" customHeight="1" x14ac:dyDescent="0.25">
      <c r="A231" s="1253"/>
      <c r="B231" s="1260"/>
      <c r="C231" s="613"/>
      <c r="D231" s="613"/>
      <c r="E231" s="613"/>
      <c r="F231" s="613"/>
      <c r="G231" s="613">
        <v>450</v>
      </c>
      <c r="H231" s="517"/>
      <c r="I231" s="27">
        <v>2264</v>
      </c>
      <c r="J231" s="517">
        <v>450</v>
      </c>
      <c r="K231" s="613"/>
      <c r="M231" s="76"/>
    </row>
    <row r="232" spans="1:13" ht="12.75" customHeight="1" x14ac:dyDescent="0.25">
      <c r="A232" s="1253"/>
      <c r="B232" s="1260"/>
      <c r="C232" s="613"/>
      <c r="D232" s="613"/>
      <c r="E232" s="613"/>
      <c r="F232" s="613"/>
      <c r="G232" s="613">
        <v>3200</v>
      </c>
      <c r="H232" s="517"/>
      <c r="I232" s="27">
        <v>2279</v>
      </c>
      <c r="J232" s="517">
        <v>3200</v>
      </c>
      <c r="K232" s="613"/>
      <c r="M232" s="76"/>
    </row>
    <row r="233" spans="1:13" ht="12.75" customHeight="1" x14ac:dyDescent="0.25">
      <c r="A233" s="1253"/>
      <c r="B233" s="1260"/>
      <c r="C233" s="613"/>
      <c r="D233" s="613"/>
      <c r="E233" s="613"/>
      <c r="F233" s="613"/>
      <c r="G233" s="613">
        <v>315</v>
      </c>
      <c r="H233" s="517"/>
      <c r="I233" s="27">
        <v>2314</v>
      </c>
      <c r="J233" s="517">
        <v>315</v>
      </c>
      <c r="K233" s="613"/>
      <c r="M233" s="76"/>
    </row>
    <row r="234" spans="1:13" ht="12" customHeight="1" x14ac:dyDescent="0.25">
      <c r="A234" s="71"/>
      <c r="B234" s="71"/>
      <c r="C234" s="71"/>
      <c r="D234" s="71"/>
      <c r="E234" s="71"/>
      <c r="F234" s="71"/>
      <c r="G234" s="73"/>
      <c r="H234" s="71"/>
      <c r="I234" s="71"/>
      <c r="K234" s="70"/>
      <c r="M234" s="77"/>
    </row>
    <row r="235" spans="1:13" x14ac:dyDescent="0.25">
      <c r="M235" s="80"/>
    </row>
  </sheetData>
  <mergeCells count="116">
    <mergeCell ref="A212:A215"/>
    <mergeCell ref="B212:B215"/>
    <mergeCell ref="A207:A208"/>
    <mergeCell ref="B207:B208"/>
    <mergeCell ref="A217:A222"/>
    <mergeCell ref="B217:B222"/>
    <mergeCell ref="A223:A228"/>
    <mergeCell ref="B223:B228"/>
    <mergeCell ref="A229:A233"/>
    <mergeCell ref="B229:B233"/>
    <mergeCell ref="A195:A196"/>
    <mergeCell ref="B195:B196"/>
    <mergeCell ref="A197:A199"/>
    <mergeCell ref="B197:B199"/>
    <mergeCell ref="A184:A187"/>
    <mergeCell ref="B184:B187"/>
    <mergeCell ref="B192:B193"/>
    <mergeCell ref="A192:A193"/>
    <mergeCell ref="A209:A211"/>
    <mergeCell ref="B209:B211"/>
    <mergeCell ref="A171:A174"/>
    <mergeCell ref="B171:B174"/>
    <mergeCell ref="A175:A178"/>
    <mergeCell ref="B175:B178"/>
    <mergeCell ref="A179:A183"/>
    <mergeCell ref="B179:B183"/>
    <mergeCell ref="A157:A160"/>
    <mergeCell ref="B157:B160"/>
    <mergeCell ref="A161:A165"/>
    <mergeCell ref="B161:B165"/>
    <mergeCell ref="A166:A170"/>
    <mergeCell ref="B166:B170"/>
    <mergeCell ref="A149:A152"/>
    <mergeCell ref="B149:B152"/>
    <mergeCell ref="A153:A156"/>
    <mergeCell ref="B153:B156"/>
    <mergeCell ref="A136:A139"/>
    <mergeCell ref="A140:A143"/>
    <mergeCell ref="B140:B143"/>
    <mergeCell ref="A144:A146"/>
    <mergeCell ref="B144:B146"/>
    <mergeCell ref="B136:B139"/>
    <mergeCell ref="A133:A135"/>
    <mergeCell ref="B133:B135"/>
    <mergeCell ref="A122:A124"/>
    <mergeCell ref="B122:B124"/>
    <mergeCell ref="A125:A128"/>
    <mergeCell ref="B125:B128"/>
    <mergeCell ref="A129:A132"/>
    <mergeCell ref="B129:B132"/>
    <mergeCell ref="A147:A148"/>
    <mergeCell ref="B147:B148"/>
    <mergeCell ref="A114:A115"/>
    <mergeCell ref="B114:B115"/>
    <mergeCell ref="A116:A118"/>
    <mergeCell ref="B116:B118"/>
    <mergeCell ref="A119:A121"/>
    <mergeCell ref="B119:B121"/>
    <mergeCell ref="A90:A95"/>
    <mergeCell ref="B90:B95"/>
    <mergeCell ref="A96:A101"/>
    <mergeCell ref="B96:B101"/>
    <mergeCell ref="A108:A113"/>
    <mergeCell ref="B108:B113"/>
    <mergeCell ref="A103:A107"/>
    <mergeCell ref="B103:B107"/>
    <mergeCell ref="A51:A52"/>
    <mergeCell ref="B51:B52"/>
    <mergeCell ref="A41:A45"/>
    <mergeCell ref="B41:B45"/>
    <mergeCell ref="A70:A76"/>
    <mergeCell ref="B70:B76"/>
    <mergeCell ref="A77:A83"/>
    <mergeCell ref="B77:B83"/>
    <mergeCell ref="A84:A89"/>
    <mergeCell ref="B84:B89"/>
    <mergeCell ref="A53:A57"/>
    <mergeCell ref="B53:B57"/>
    <mergeCell ref="A58:A62"/>
    <mergeCell ref="B58:B62"/>
    <mergeCell ref="A64:A69"/>
    <mergeCell ref="B64:B69"/>
    <mergeCell ref="B35:B39"/>
    <mergeCell ref="A15:B15"/>
    <mergeCell ref="A17:A19"/>
    <mergeCell ref="B17:B19"/>
    <mergeCell ref="A20:A22"/>
    <mergeCell ref="B20:B22"/>
    <mergeCell ref="A23:A25"/>
    <mergeCell ref="B23:B25"/>
    <mergeCell ref="A46:A50"/>
    <mergeCell ref="B46:B50"/>
    <mergeCell ref="F1:K1"/>
    <mergeCell ref="A200:A203"/>
    <mergeCell ref="B200:B203"/>
    <mergeCell ref="C6:K6"/>
    <mergeCell ref="A7:B7"/>
    <mergeCell ref="A8:K8"/>
    <mergeCell ref="A10:B10"/>
    <mergeCell ref="C10:K10"/>
    <mergeCell ref="A11:B11"/>
    <mergeCell ref="C11:K11"/>
    <mergeCell ref="A12:B12"/>
    <mergeCell ref="C12:K12"/>
    <mergeCell ref="A13:A14"/>
    <mergeCell ref="B13:B14"/>
    <mergeCell ref="C13:D13"/>
    <mergeCell ref="E13:F13"/>
    <mergeCell ref="G13:H13"/>
    <mergeCell ref="I13:I14"/>
    <mergeCell ref="J13:K13"/>
    <mergeCell ref="A26:A29"/>
    <mergeCell ref="B26:B29"/>
    <mergeCell ref="A30:A34"/>
    <mergeCell ref="B30:B34"/>
    <mergeCell ref="A35:A39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FF99"/>
  </sheetPr>
  <dimension ref="A1:I120"/>
  <sheetViews>
    <sheetView topLeftCell="A73" zoomScaleNormal="100" workbookViewId="0">
      <selection activeCell="B2" sqref="B2"/>
    </sheetView>
  </sheetViews>
  <sheetFormatPr defaultColWidth="9.140625" defaultRowHeight="12" x14ac:dyDescent="0.2"/>
  <cols>
    <col min="1" max="1" width="4.42578125" style="10" customWidth="1"/>
    <col min="2" max="2" width="62.7109375" style="10" customWidth="1"/>
    <col min="3" max="3" width="10.140625" style="10" hidden="1" customWidth="1"/>
    <col min="4" max="4" width="9.85546875" style="10" hidden="1" customWidth="1"/>
    <col min="5" max="5" width="10.28515625" style="10" hidden="1" customWidth="1"/>
    <col min="6" max="6" width="10.5703125" style="31" customWidth="1"/>
    <col min="7" max="7" width="9.7109375" style="10" customWidth="1"/>
    <col min="8" max="16384" width="9.140625" style="10"/>
  </cols>
  <sheetData>
    <row r="1" spans="1:7" ht="16.5" x14ac:dyDescent="0.25">
      <c r="B1" s="1034" t="s">
        <v>1350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ht="15.75" x14ac:dyDescent="0.25">
      <c r="A6" s="10" t="s">
        <v>1346</v>
      </c>
      <c r="B6" s="11"/>
      <c r="C6" s="988"/>
      <c r="D6" s="988"/>
      <c r="E6" s="988"/>
      <c r="F6" s="988"/>
      <c r="G6" s="988"/>
    </row>
    <row r="7" spans="1:7" x14ac:dyDescent="0.2">
      <c r="A7" s="10" t="s">
        <v>24</v>
      </c>
      <c r="B7" s="11"/>
      <c r="C7" s="1284"/>
      <c r="D7" s="1284"/>
      <c r="E7" s="1284"/>
      <c r="F7" s="1284"/>
      <c r="G7" s="1284"/>
    </row>
    <row r="8" spans="1:7" ht="15.75" x14ac:dyDescent="0.25">
      <c r="A8" s="1285" t="s">
        <v>291</v>
      </c>
      <c r="B8" s="1285"/>
      <c r="C8" s="1285"/>
      <c r="D8" s="1285"/>
      <c r="E8" s="1285"/>
      <c r="F8" s="1285"/>
      <c r="G8" s="1285"/>
    </row>
    <row r="9" spans="1:7" ht="15.75" x14ac:dyDescent="0.25">
      <c r="A9" s="928"/>
      <c r="B9" s="928"/>
      <c r="C9" s="928"/>
      <c r="D9" s="928"/>
      <c r="E9" s="928"/>
      <c r="F9" s="928"/>
      <c r="G9" s="928"/>
    </row>
    <row r="10" spans="1:7" ht="15.75" x14ac:dyDescent="0.25">
      <c r="A10" s="10" t="s">
        <v>1347</v>
      </c>
      <c r="C10" s="635"/>
      <c r="D10" s="635"/>
      <c r="E10" s="635"/>
      <c r="F10" s="635"/>
      <c r="G10" s="635"/>
    </row>
    <row r="11" spans="1:7" x14ac:dyDescent="0.2">
      <c r="A11" s="10" t="s">
        <v>1054</v>
      </c>
      <c r="B11" s="515"/>
      <c r="C11" s="513"/>
      <c r="D11" s="513"/>
      <c r="E11" s="513"/>
      <c r="F11" s="513"/>
      <c r="G11" s="513"/>
    </row>
    <row r="12" spans="1:7" x14ac:dyDescent="0.2">
      <c r="A12" s="10" t="s">
        <v>1003</v>
      </c>
      <c r="C12" s="1283"/>
      <c r="D12" s="1283"/>
      <c r="E12" s="1283"/>
      <c r="F12" s="1283"/>
      <c r="G12" s="1283"/>
    </row>
    <row r="13" spans="1:7" ht="36" x14ac:dyDescent="0.2">
      <c r="A13" s="12" t="s">
        <v>1</v>
      </c>
      <c r="B13" s="12" t="s">
        <v>2</v>
      </c>
      <c r="C13" s="12" t="s">
        <v>26</v>
      </c>
      <c r="D13" s="12" t="s">
        <v>27</v>
      </c>
      <c r="E13" s="12" t="s">
        <v>28</v>
      </c>
      <c r="F13" s="26" t="s">
        <v>6</v>
      </c>
      <c r="G13" s="12" t="s">
        <v>1190</v>
      </c>
    </row>
    <row r="14" spans="1:7" x14ac:dyDescent="0.2">
      <c r="A14" s="1274" t="s">
        <v>300</v>
      </c>
      <c r="B14" s="1274"/>
      <c r="C14" s="13" t="e">
        <f>SUM(C15,C21,#REF!,C27,C34,#REF!,#REF!)</f>
        <v>#REF!</v>
      </c>
      <c r="D14" s="13" t="e">
        <f>SUM(D15,D21,#REF!,D27,D34,#REF!,#REF!)</f>
        <v>#REF!</v>
      </c>
      <c r="E14" s="13" t="e">
        <f>SUM(E15,E21,#REF!,E27,E34,#REF!,#REF!)</f>
        <v>#REF!</v>
      </c>
      <c r="F14" s="13"/>
      <c r="G14" s="13">
        <f>SUM(G15,G21,G27,G34)</f>
        <v>6388</v>
      </c>
    </row>
    <row r="15" spans="1:7" x14ac:dyDescent="0.2">
      <c r="A15" s="1286">
        <v>1</v>
      </c>
      <c r="B15" s="1281" t="s">
        <v>30</v>
      </c>
      <c r="C15" s="24">
        <f>SUM(C16:C20)</f>
        <v>971</v>
      </c>
      <c r="D15" s="24">
        <f>SUM(D16:D20)</f>
        <v>971</v>
      </c>
      <c r="E15" s="24">
        <f>SUM(E16:E20)</f>
        <v>1170</v>
      </c>
      <c r="F15" s="24"/>
      <c r="G15" s="24">
        <f>SUM(G16:G20)</f>
        <v>1170</v>
      </c>
    </row>
    <row r="16" spans="1:7" x14ac:dyDescent="0.2">
      <c r="A16" s="1287"/>
      <c r="B16" s="1282"/>
      <c r="C16" s="510">
        <f>427+100</f>
        <v>527</v>
      </c>
      <c r="D16" s="510">
        <f>427+100</f>
        <v>527</v>
      </c>
      <c r="E16" s="510">
        <v>530</v>
      </c>
      <c r="F16" s="638">
        <v>1150</v>
      </c>
      <c r="G16" s="510">
        <v>530</v>
      </c>
    </row>
    <row r="17" spans="1:9" ht="15" customHeight="1" x14ac:dyDescent="0.2">
      <c r="A17" s="1287"/>
      <c r="B17" s="1282"/>
      <c r="C17" s="14">
        <v>100</v>
      </c>
      <c r="D17" s="14">
        <v>100</v>
      </c>
      <c r="E17" s="14">
        <v>100</v>
      </c>
      <c r="F17" s="469">
        <v>2264</v>
      </c>
      <c r="G17" s="14">
        <v>100</v>
      </c>
    </row>
    <row r="18" spans="1:9" x14ac:dyDescent="0.2">
      <c r="A18" s="1287"/>
      <c r="B18" s="1282"/>
      <c r="C18" s="510">
        <f>143+43+72</f>
        <v>258</v>
      </c>
      <c r="D18" s="510">
        <f>143+43+72</f>
        <v>258</v>
      </c>
      <c r="E18" s="510">
        <f>200+30+185</f>
        <v>415</v>
      </c>
      <c r="F18" s="638">
        <v>2314</v>
      </c>
      <c r="G18" s="510">
        <f>200+30+185</f>
        <v>415</v>
      </c>
    </row>
    <row r="19" spans="1:9" ht="15" customHeight="1" x14ac:dyDescent="0.2">
      <c r="A19" s="1287"/>
      <c r="B19" s="1282"/>
      <c r="C19" s="15">
        <v>57</v>
      </c>
      <c r="D19" s="15">
        <v>57</v>
      </c>
      <c r="E19" s="15">
        <v>100</v>
      </c>
      <c r="F19" s="637">
        <v>2352</v>
      </c>
      <c r="G19" s="14">
        <v>100</v>
      </c>
    </row>
    <row r="20" spans="1:9" ht="15" customHeight="1" x14ac:dyDescent="0.2">
      <c r="A20" s="1288"/>
      <c r="B20" s="1289"/>
      <c r="C20" s="15">
        <v>29</v>
      </c>
      <c r="D20" s="15">
        <v>29</v>
      </c>
      <c r="E20" s="15">
        <v>25</v>
      </c>
      <c r="F20" s="637">
        <v>2322</v>
      </c>
      <c r="G20" s="14">
        <v>25</v>
      </c>
    </row>
    <row r="21" spans="1:9" x14ac:dyDescent="0.2">
      <c r="A21" s="1286">
        <v>2</v>
      </c>
      <c r="B21" s="1281" t="s">
        <v>34</v>
      </c>
      <c r="C21" s="16">
        <f>SUM(C22:C26)</f>
        <v>1840</v>
      </c>
      <c r="D21" s="16">
        <f>SUM(D22:D26)</f>
        <v>1840</v>
      </c>
      <c r="E21" s="16">
        <f>SUM(E22:E26)</f>
        <v>1940</v>
      </c>
      <c r="F21" s="16"/>
      <c r="G21" s="16">
        <f>SUM(G22:G26)</f>
        <v>1840</v>
      </c>
    </row>
    <row r="22" spans="1:9" x14ac:dyDescent="0.2">
      <c r="A22" s="1287"/>
      <c r="B22" s="1282"/>
      <c r="C22" s="511">
        <f>1196+114+72+100</f>
        <v>1482</v>
      </c>
      <c r="D22" s="511">
        <f>1196+114+72+100</f>
        <v>1482</v>
      </c>
      <c r="E22" s="511">
        <f>1200+115+70+100</f>
        <v>1485</v>
      </c>
      <c r="F22" s="639">
        <v>1150</v>
      </c>
      <c r="G22" s="512">
        <f>1194+115+70+100</f>
        <v>1479</v>
      </c>
    </row>
    <row r="23" spans="1:9" ht="15" customHeight="1" x14ac:dyDescent="0.2">
      <c r="A23" s="1287"/>
      <c r="B23" s="1282"/>
      <c r="C23" s="17">
        <v>143</v>
      </c>
      <c r="D23" s="17">
        <v>143</v>
      </c>
      <c r="E23" s="17">
        <v>150</v>
      </c>
      <c r="F23" s="514">
        <v>2264</v>
      </c>
      <c r="G23" s="14">
        <v>150</v>
      </c>
    </row>
    <row r="24" spans="1:9" ht="15" customHeight="1" x14ac:dyDescent="0.2">
      <c r="A24" s="1287"/>
      <c r="B24" s="1282"/>
      <c r="C24" s="17">
        <v>114</v>
      </c>
      <c r="D24" s="17">
        <v>114</v>
      </c>
      <c r="E24" s="17">
        <v>180</v>
      </c>
      <c r="F24" s="514">
        <v>2314</v>
      </c>
      <c r="G24" s="14">
        <v>114</v>
      </c>
      <c r="I24" s="1022"/>
    </row>
    <row r="25" spans="1:9" x14ac:dyDescent="0.2">
      <c r="A25" s="1287"/>
      <c r="B25" s="1282"/>
      <c r="C25" s="17">
        <v>72</v>
      </c>
      <c r="D25" s="17">
        <v>72</v>
      </c>
      <c r="E25" s="17">
        <v>100</v>
      </c>
      <c r="F25" s="514">
        <v>2352</v>
      </c>
      <c r="G25" s="14">
        <v>72</v>
      </c>
    </row>
    <row r="26" spans="1:9" ht="15" customHeight="1" x14ac:dyDescent="0.2">
      <c r="A26" s="1288"/>
      <c r="B26" s="1289"/>
      <c r="C26" s="17">
        <v>29</v>
      </c>
      <c r="D26" s="17">
        <v>29</v>
      </c>
      <c r="E26" s="17">
        <v>25</v>
      </c>
      <c r="F26" s="514">
        <v>2322</v>
      </c>
      <c r="G26" s="14">
        <v>25</v>
      </c>
    </row>
    <row r="27" spans="1:9" x14ac:dyDescent="0.2">
      <c r="A27" s="1286">
        <v>3</v>
      </c>
      <c r="B27" s="1281" t="s">
        <v>41</v>
      </c>
      <c r="C27" s="16">
        <f>SUM(C28:C33)</f>
        <v>1613</v>
      </c>
      <c r="D27" s="16">
        <f>SUM(D28:D33)</f>
        <v>1613</v>
      </c>
      <c r="E27" s="16">
        <f>SUM(E28:E33)</f>
        <v>1700</v>
      </c>
      <c r="F27" s="16"/>
      <c r="G27" s="16">
        <f>SUM(G28:G33)</f>
        <v>1613</v>
      </c>
    </row>
    <row r="28" spans="1:9" x14ac:dyDescent="0.2">
      <c r="A28" s="1287"/>
      <c r="B28" s="1282"/>
      <c r="C28" s="28">
        <f>712+286</f>
        <v>998</v>
      </c>
      <c r="D28" s="28">
        <f>712+286</f>
        <v>998</v>
      </c>
      <c r="E28" s="28">
        <f>730+320</f>
        <v>1050</v>
      </c>
      <c r="F28" s="514">
        <v>1150</v>
      </c>
      <c r="G28" s="22">
        <f>712+280</f>
        <v>992</v>
      </c>
    </row>
    <row r="29" spans="1:9" ht="15" customHeight="1" x14ac:dyDescent="0.2">
      <c r="A29" s="1287"/>
      <c r="B29" s="1282"/>
      <c r="C29" s="17">
        <v>143</v>
      </c>
      <c r="D29" s="17">
        <v>143</v>
      </c>
      <c r="E29" s="17">
        <v>150</v>
      </c>
      <c r="F29" s="514">
        <v>2264</v>
      </c>
      <c r="G29" s="14">
        <v>150</v>
      </c>
    </row>
    <row r="30" spans="1:9" x14ac:dyDescent="0.2">
      <c r="A30" s="1287"/>
      <c r="B30" s="1282"/>
      <c r="C30" s="28">
        <f>143+185</f>
        <v>328</v>
      </c>
      <c r="D30" s="28">
        <f>143+185</f>
        <v>328</v>
      </c>
      <c r="E30" s="28">
        <f>160+200</f>
        <v>360</v>
      </c>
      <c r="F30" s="514">
        <v>2314</v>
      </c>
      <c r="G30" s="25">
        <f>146+185</f>
        <v>331</v>
      </c>
    </row>
    <row r="31" spans="1:9" ht="15" customHeight="1" x14ac:dyDescent="0.2">
      <c r="A31" s="1287"/>
      <c r="B31" s="1282"/>
      <c r="C31" s="17">
        <v>43</v>
      </c>
      <c r="D31" s="17">
        <v>43</v>
      </c>
      <c r="E31" s="17">
        <v>45</v>
      </c>
      <c r="F31" s="514">
        <v>2279</v>
      </c>
      <c r="G31" s="14">
        <v>45</v>
      </c>
    </row>
    <row r="32" spans="1:9" ht="15" customHeight="1" x14ac:dyDescent="0.2">
      <c r="A32" s="1287"/>
      <c r="B32" s="1282"/>
      <c r="C32" s="17">
        <v>72</v>
      </c>
      <c r="D32" s="17">
        <v>72</v>
      </c>
      <c r="E32" s="17">
        <v>70</v>
      </c>
      <c r="F32" s="514">
        <v>2352</v>
      </c>
      <c r="G32" s="14">
        <v>70</v>
      </c>
    </row>
    <row r="33" spans="1:7" ht="15" customHeight="1" x14ac:dyDescent="0.2">
      <c r="A33" s="1288"/>
      <c r="B33" s="1289"/>
      <c r="C33" s="17">
        <v>29</v>
      </c>
      <c r="D33" s="17">
        <v>29</v>
      </c>
      <c r="E33" s="17">
        <v>25</v>
      </c>
      <c r="F33" s="514">
        <v>2322</v>
      </c>
      <c r="G33" s="14">
        <v>25</v>
      </c>
    </row>
    <row r="34" spans="1:7" x14ac:dyDescent="0.2">
      <c r="A34" s="1265">
        <v>4</v>
      </c>
      <c r="B34" s="1275" t="s">
        <v>46</v>
      </c>
      <c r="C34" s="16">
        <f>SUM(C35:C37)</f>
        <v>1000</v>
      </c>
      <c r="D34" s="16">
        <f>SUM(D35:D37)</f>
        <v>1000</v>
      </c>
      <c r="E34" s="16">
        <f>SUM(E35:E37)</f>
        <v>3130</v>
      </c>
      <c r="F34" s="16"/>
      <c r="G34" s="16">
        <f>SUM(G35:G37)</f>
        <v>1765</v>
      </c>
    </row>
    <row r="35" spans="1:7" x14ac:dyDescent="0.2">
      <c r="A35" s="1266"/>
      <c r="B35" s="1276"/>
      <c r="C35" s="28">
        <f>910+90</f>
        <v>1000</v>
      </c>
      <c r="D35" s="28">
        <f>910+90</f>
        <v>1000</v>
      </c>
      <c r="E35" s="28">
        <f>1040+1950</f>
        <v>2990</v>
      </c>
      <c r="F35" s="514">
        <v>1150</v>
      </c>
      <c r="G35" s="30">
        <v>1715</v>
      </c>
    </row>
    <row r="36" spans="1:7" ht="15" customHeight="1" x14ac:dyDescent="0.2">
      <c r="A36" s="1266"/>
      <c r="B36" s="1276"/>
      <c r="C36" s="17"/>
      <c r="D36" s="17"/>
      <c r="E36" s="17"/>
      <c r="F36" s="514">
        <v>2322</v>
      </c>
      <c r="G36" s="14">
        <v>25</v>
      </c>
    </row>
    <row r="37" spans="1:7" ht="15" customHeight="1" x14ac:dyDescent="0.2">
      <c r="A37" s="1267"/>
      <c r="B37" s="1277"/>
      <c r="C37" s="17">
        <v>0</v>
      </c>
      <c r="D37" s="17">
        <v>0</v>
      </c>
      <c r="E37" s="17">
        <v>140</v>
      </c>
      <c r="F37" s="514">
        <v>2352</v>
      </c>
      <c r="G37" s="14">
        <v>25</v>
      </c>
    </row>
    <row r="38" spans="1:7" ht="15" customHeight="1" x14ac:dyDescent="0.2">
      <c r="A38" s="989"/>
      <c r="B38" s="536"/>
      <c r="C38" s="533"/>
      <c r="D38" s="533"/>
      <c r="E38" s="533"/>
      <c r="F38" s="990"/>
      <c r="G38" s="535"/>
    </row>
    <row r="39" spans="1:7" ht="15" customHeight="1" x14ac:dyDescent="0.25">
      <c r="A39" s="10" t="s">
        <v>1348</v>
      </c>
      <c r="B39" s="532"/>
      <c r="C39" s="533"/>
      <c r="D39" s="533"/>
      <c r="E39" s="533"/>
      <c r="F39" s="534"/>
      <c r="G39" s="535"/>
    </row>
    <row r="40" spans="1:7" x14ac:dyDescent="0.2">
      <c r="A40" s="10" t="s">
        <v>1054</v>
      </c>
      <c r="C40" s="513"/>
      <c r="D40" s="513"/>
      <c r="E40" s="513"/>
      <c r="F40" s="513"/>
      <c r="G40" s="513"/>
    </row>
    <row r="41" spans="1:7" x14ac:dyDescent="0.2">
      <c r="A41" s="10" t="s">
        <v>1002</v>
      </c>
      <c r="C41" s="1283"/>
      <c r="D41" s="1283"/>
      <c r="E41" s="1283"/>
      <c r="F41" s="1283"/>
      <c r="G41" s="1283"/>
    </row>
    <row r="42" spans="1:7" ht="36" x14ac:dyDescent="0.2">
      <c r="A42" s="12" t="s">
        <v>1</v>
      </c>
      <c r="B42" s="12" t="s">
        <v>2</v>
      </c>
      <c r="C42" s="12" t="s">
        <v>60</v>
      </c>
      <c r="D42" s="12" t="s">
        <v>61</v>
      </c>
      <c r="E42" s="12" t="s">
        <v>28</v>
      </c>
      <c r="F42" s="26" t="s">
        <v>6</v>
      </c>
      <c r="G42" s="12" t="s">
        <v>1190</v>
      </c>
    </row>
    <row r="43" spans="1:7" x14ac:dyDescent="0.2">
      <c r="A43" s="1274" t="s">
        <v>300</v>
      </c>
      <c r="B43" s="1274"/>
      <c r="C43" s="13" t="e">
        <f>C44+#REF!+#REF!+C49+#REF!+C55+C59+#REF!+C62+C66+#REF!+#REF!+#REF!+C69+#REF!+#REF!+C73+C77</f>
        <v>#REF!</v>
      </c>
      <c r="D43" s="13" t="e">
        <f>D44+#REF!+#REF!+D49+#REF!+D55+D59+#REF!+D62+D66+#REF!+#REF!+#REF!+D69+#REF!+#REF!+D73+D77</f>
        <v>#REF!</v>
      </c>
      <c r="E43" s="13" t="e">
        <f>E44+#REF!+#REF!+E49+#REF!+E55+E59+#REF!+E62+E66+#REF!+#REF!+#REF!+E69+#REF!+#REF!+E73+E77</f>
        <v>#REF!</v>
      </c>
      <c r="F43" s="27"/>
      <c r="G43" s="13">
        <f>G44+G49+G55+G59+G62+G66+G69+G73+G77</f>
        <v>6933</v>
      </c>
    </row>
    <row r="44" spans="1:7" ht="24" customHeight="1" x14ac:dyDescent="0.2">
      <c r="A44" s="1265">
        <v>1</v>
      </c>
      <c r="B44" s="1281" t="s">
        <v>62</v>
      </c>
      <c r="C44" s="24">
        <f>SUM(C45:C48)</f>
        <v>714</v>
      </c>
      <c r="D44" s="24">
        <f>SUM(D45:D48)</f>
        <v>714</v>
      </c>
      <c r="E44" s="24">
        <f>SUM(E45:E48)</f>
        <v>840</v>
      </c>
      <c r="F44" s="469"/>
      <c r="G44" s="24">
        <f>SUM(G45:G48)</f>
        <v>800</v>
      </c>
    </row>
    <row r="45" spans="1:7" ht="12.75" customHeight="1" x14ac:dyDescent="0.2">
      <c r="A45" s="1266"/>
      <c r="B45" s="1282"/>
      <c r="C45" s="14">
        <v>100</v>
      </c>
      <c r="D45" s="14">
        <v>100</v>
      </c>
      <c r="E45" s="14">
        <v>100</v>
      </c>
      <c r="F45" s="469">
        <v>2269</v>
      </c>
      <c r="G45" s="14">
        <v>100</v>
      </c>
    </row>
    <row r="46" spans="1:7" ht="15" customHeight="1" x14ac:dyDescent="0.2">
      <c r="A46" s="1266"/>
      <c r="B46" s="1282"/>
      <c r="C46" s="14">
        <v>100</v>
      </c>
      <c r="D46" s="14">
        <v>100</v>
      </c>
      <c r="E46" s="14">
        <v>100</v>
      </c>
      <c r="F46" s="469">
        <v>2264</v>
      </c>
      <c r="G46" s="14">
        <v>100</v>
      </c>
    </row>
    <row r="47" spans="1:7" x14ac:dyDescent="0.2">
      <c r="A47" s="1266"/>
      <c r="B47" s="1282"/>
      <c r="C47" s="14">
        <v>385</v>
      </c>
      <c r="D47" s="14">
        <v>385</v>
      </c>
      <c r="E47" s="14">
        <v>500</v>
      </c>
      <c r="F47" s="469">
        <v>1150</v>
      </c>
      <c r="G47" s="14">
        <v>460</v>
      </c>
    </row>
    <row r="48" spans="1:7" x14ac:dyDescent="0.2">
      <c r="A48" s="1266"/>
      <c r="B48" s="1282"/>
      <c r="C48" s="14">
        <f>86+43</f>
        <v>129</v>
      </c>
      <c r="D48" s="14">
        <f>86+43</f>
        <v>129</v>
      </c>
      <c r="E48" s="14">
        <f>120+20</f>
        <v>140</v>
      </c>
      <c r="F48" s="469">
        <v>2314</v>
      </c>
      <c r="G48" s="14">
        <f>120+20</f>
        <v>140</v>
      </c>
    </row>
    <row r="49" spans="1:9" x14ac:dyDescent="0.2">
      <c r="A49" s="1278">
        <v>2</v>
      </c>
      <c r="B49" s="1275" t="s">
        <v>63</v>
      </c>
      <c r="C49" s="16">
        <f>SUM(C50:C54)</f>
        <v>1069</v>
      </c>
      <c r="D49" s="16">
        <f>SUM(D50:D54)</f>
        <v>0</v>
      </c>
      <c r="E49" s="16">
        <f>SUM(E50:E54)</f>
        <v>1262</v>
      </c>
      <c r="F49" s="514"/>
      <c r="G49" s="23">
        <f>SUM(G50:G54)</f>
        <v>1215</v>
      </c>
    </row>
    <row r="50" spans="1:9" ht="15" customHeight="1" x14ac:dyDescent="0.2">
      <c r="A50" s="1279"/>
      <c r="B50" s="1276"/>
      <c r="C50" s="17">
        <v>427</v>
      </c>
      <c r="D50" s="17">
        <v>0</v>
      </c>
      <c r="E50" s="17">
        <v>427</v>
      </c>
      <c r="F50" s="514">
        <v>2279</v>
      </c>
      <c r="G50" s="14">
        <v>400</v>
      </c>
    </row>
    <row r="51" spans="1:9" ht="15" customHeight="1" x14ac:dyDescent="0.2">
      <c r="A51" s="1279"/>
      <c r="B51" s="1276"/>
      <c r="C51" s="17">
        <v>285</v>
      </c>
      <c r="D51" s="17">
        <v>0</v>
      </c>
      <c r="E51" s="17">
        <v>285</v>
      </c>
      <c r="F51" s="514">
        <v>1150</v>
      </c>
      <c r="G51" s="14">
        <v>285</v>
      </c>
    </row>
    <row r="52" spans="1:9" x14ac:dyDescent="0.2">
      <c r="A52" s="1279"/>
      <c r="B52" s="1276"/>
      <c r="C52" s="17">
        <f>107+0</f>
        <v>107</v>
      </c>
      <c r="D52" s="17">
        <v>0</v>
      </c>
      <c r="E52" s="17">
        <v>300</v>
      </c>
      <c r="F52" s="514">
        <v>2314</v>
      </c>
      <c r="G52" s="25">
        <v>280</v>
      </c>
    </row>
    <row r="53" spans="1:9" ht="15" customHeight="1" x14ac:dyDescent="0.2">
      <c r="A53" s="1279"/>
      <c r="B53" s="1276"/>
      <c r="C53" s="17">
        <v>107</v>
      </c>
      <c r="D53" s="17">
        <v>0</v>
      </c>
      <c r="E53" s="17">
        <v>50</v>
      </c>
      <c r="F53" s="514">
        <v>2269</v>
      </c>
      <c r="G53" s="14">
        <v>50</v>
      </c>
    </row>
    <row r="54" spans="1:9" ht="15" customHeight="1" x14ac:dyDescent="0.2">
      <c r="A54" s="1280"/>
      <c r="B54" s="1277"/>
      <c r="C54" s="17">
        <v>143</v>
      </c>
      <c r="D54" s="17">
        <v>0</v>
      </c>
      <c r="E54" s="17">
        <v>200</v>
      </c>
      <c r="F54" s="514">
        <v>1150</v>
      </c>
      <c r="G54" s="14">
        <v>200</v>
      </c>
    </row>
    <row r="55" spans="1:9" x14ac:dyDescent="0.2">
      <c r="A55" s="1265">
        <v>3</v>
      </c>
      <c r="B55" s="1275" t="s">
        <v>64</v>
      </c>
      <c r="C55" s="20">
        <f>SUM(C56:C58)</f>
        <v>0</v>
      </c>
      <c r="D55" s="20">
        <f>SUM(D56:D58)</f>
        <v>0</v>
      </c>
      <c r="E55" s="20">
        <f>SUM(E56:E58)</f>
        <v>1676</v>
      </c>
      <c r="F55" s="470"/>
      <c r="G55" s="20">
        <f>SUM(G56:G58)</f>
        <v>1676</v>
      </c>
    </row>
    <row r="56" spans="1:9" x14ac:dyDescent="0.2">
      <c r="A56" s="1266"/>
      <c r="B56" s="1276"/>
      <c r="C56" s="17">
        <v>0</v>
      </c>
      <c r="D56" s="17">
        <v>0</v>
      </c>
      <c r="E56" s="17">
        <v>450</v>
      </c>
      <c r="F56" s="514">
        <v>1150</v>
      </c>
      <c r="G56" s="14">
        <v>450</v>
      </c>
    </row>
    <row r="57" spans="1:9" ht="15" customHeight="1" x14ac:dyDescent="0.2">
      <c r="A57" s="1266"/>
      <c r="B57" s="1276"/>
      <c r="C57" s="17">
        <v>0</v>
      </c>
      <c r="D57" s="17">
        <v>0</v>
      </c>
      <c r="E57" s="17">
        <v>480</v>
      </c>
      <c r="F57" s="514">
        <v>2231</v>
      </c>
      <c r="G57" s="14">
        <v>480</v>
      </c>
    </row>
    <row r="58" spans="1:9" x14ac:dyDescent="0.2">
      <c r="A58" s="1267"/>
      <c r="B58" s="1277"/>
      <c r="C58" s="19">
        <v>0</v>
      </c>
      <c r="D58" s="19">
        <v>0</v>
      </c>
      <c r="E58" s="19">
        <f>666+80</f>
        <v>746</v>
      </c>
      <c r="F58" s="470">
        <v>2314</v>
      </c>
      <c r="G58" s="14">
        <f>666+80</f>
        <v>746</v>
      </c>
    </row>
    <row r="59" spans="1:9" x14ac:dyDescent="0.2">
      <c r="A59" s="1265">
        <v>4</v>
      </c>
      <c r="B59" s="1268" t="s">
        <v>65</v>
      </c>
      <c r="C59" s="16">
        <f>SUM(C60:C61)</f>
        <v>0</v>
      </c>
      <c r="D59" s="16">
        <f>SUM(D60:D61)</f>
        <v>0</v>
      </c>
      <c r="E59" s="16">
        <f>SUM(E60:E61)</f>
        <v>330</v>
      </c>
      <c r="F59" s="16"/>
      <c r="G59" s="16">
        <f>SUM(G60:G61)</f>
        <v>330</v>
      </c>
    </row>
    <row r="60" spans="1:9" x14ac:dyDescent="0.2">
      <c r="A60" s="1266"/>
      <c r="B60" s="1269"/>
      <c r="C60" s="17">
        <v>0</v>
      </c>
      <c r="D60" s="17">
        <v>0</v>
      </c>
      <c r="E60" s="17">
        <f>30+120</f>
        <v>150</v>
      </c>
      <c r="F60" s="514">
        <v>2314</v>
      </c>
      <c r="G60" s="22">
        <f>30+120</f>
        <v>150</v>
      </c>
      <c r="I60" s="1022"/>
    </row>
    <row r="61" spans="1:9" ht="15" customHeight="1" x14ac:dyDescent="0.2">
      <c r="A61" s="1267"/>
      <c r="B61" s="1270"/>
      <c r="C61" s="17"/>
      <c r="D61" s="17"/>
      <c r="E61" s="17">
        <v>180</v>
      </c>
      <c r="F61" s="514">
        <v>1150</v>
      </c>
      <c r="G61" s="14">
        <v>180</v>
      </c>
    </row>
    <row r="62" spans="1:9" ht="12.75" customHeight="1" x14ac:dyDescent="0.2">
      <c r="A62" s="1265">
        <v>5</v>
      </c>
      <c r="B62" s="1268" t="s">
        <v>67</v>
      </c>
      <c r="C62" s="16">
        <f>SUM(C63:C65)</f>
        <v>0</v>
      </c>
      <c r="D62" s="16">
        <f t="shared" ref="D62:G62" si="0">SUM(D63:D65)</f>
        <v>0</v>
      </c>
      <c r="E62" s="16">
        <f>SUM(E63:E65)</f>
        <v>475</v>
      </c>
      <c r="F62" s="16"/>
      <c r="G62" s="16">
        <f t="shared" si="0"/>
        <v>442</v>
      </c>
    </row>
    <row r="63" spans="1:9" ht="15" customHeight="1" x14ac:dyDescent="0.2">
      <c r="A63" s="1266"/>
      <c r="B63" s="1269"/>
      <c r="C63" s="17">
        <v>0</v>
      </c>
      <c r="D63" s="17">
        <v>0</v>
      </c>
      <c r="E63" s="17">
        <v>300</v>
      </c>
      <c r="F63" s="514">
        <v>1150</v>
      </c>
      <c r="G63" s="22">
        <v>270</v>
      </c>
    </row>
    <row r="64" spans="1:9" ht="15" customHeight="1" x14ac:dyDescent="0.2">
      <c r="A64" s="1266"/>
      <c r="B64" s="1269"/>
      <c r="C64" s="17">
        <v>0</v>
      </c>
      <c r="D64" s="17">
        <v>0</v>
      </c>
      <c r="E64" s="17">
        <v>100</v>
      </c>
      <c r="F64" s="514">
        <v>2269</v>
      </c>
      <c r="G64" s="14">
        <v>100</v>
      </c>
    </row>
    <row r="65" spans="1:7" ht="15" customHeight="1" x14ac:dyDescent="0.2">
      <c r="A65" s="1267"/>
      <c r="B65" s="1270"/>
      <c r="C65" s="17">
        <v>0</v>
      </c>
      <c r="D65" s="17">
        <v>0</v>
      </c>
      <c r="E65" s="17">
        <v>75</v>
      </c>
      <c r="F65" s="514">
        <v>2314</v>
      </c>
      <c r="G65" s="14">
        <v>72</v>
      </c>
    </row>
    <row r="66" spans="1:7" x14ac:dyDescent="0.2">
      <c r="A66" s="1265">
        <v>6</v>
      </c>
      <c r="B66" s="1268" t="s">
        <v>71</v>
      </c>
      <c r="C66" s="16">
        <f>SUM(C67:C68)</f>
        <v>0</v>
      </c>
      <c r="D66" s="16">
        <f>SUM(D67:D68)</f>
        <v>0</v>
      </c>
      <c r="E66" s="16">
        <f>SUM(E67:E68)</f>
        <v>290</v>
      </c>
      <c r="F66" s="16"/>
      <c r="G66" s="16">
        <f>SUM(G67:G68)</f>
        <v>160</v>
      </c>
    </row>
    <row r="67" spans="1:7" ht="15" customHeight="1" x14ac:dyDescent="0.2">
      <c r="A67" s="1266"/>
      <c r="B67" s="1269"/>
      <c r="C67" s="17">
        <v>0</v>
      </c>
      <c r="D67" s="17">
        <v>0</v>
      </c>
      <c r="E67" s="17">
        <v>120</v>
      </c>
      <c r="F67" s="514">
        <v>1150</v>
      </c>
      <c r="G67" s="14">
        <v>100</v>
      </c>
    </row>
    <row r="68" spans="1:7" ht="15" customHeight="1" x14ac:dyDescent="0.2">
      <c r="A68" s="1267"/>
      <c r="B68" s="1270"/>
      <c r="C68" s="17">
        <v>0</v>
      </c>
      <c r="D68" s="17">
        <v>0</v>
      </c>
      <c r="E68" s="17">
        <f>55+115</f>
        <v>170</v>
      </c>
      <c r="F68" s="514">
        <v>2314</v>
      </c>
      <c r="G68" s="14">
        <v>60</v>
      </c>
    </row>
    <row r="69" spans="1:7" x14ac:dyDescent="0.2">
      <c r="A69" s="1265">
        <v>7</v>
      </c>
      <c r="B69" s="1268" t="s">
        <v>78</v>
      </c>
      <c r="C69" s="16">
        <f>SUM(C70:C72)</f>
        <v>0</v>
      </c>
      <c r="D69" s="16">
        <f>SUM(D70:D72)</f>
        <v>0</v>
      </c>
      <c r="E69" s="16">
        <f>SUM(E70:E72)</f>
        <v>310</v>
      </c>
      <c r="F69" s="16"/>
      <c r="G69" s="16">
        <f>SUM(G70:G72)</f>
        <v>310</v>
      </c>
    </row>
    <row r="70" spans="1:7" ht="15" customHeight="1" x14ac:dyDescent="0.2">
      <c r="A70" s="1266"/>
      <c r="B70" s="1269"/>
      <c r="C70" s="17">
        <v>0</v>
      </c>
      <c r="D70" s="17">
        <v>0</v>
      </c>
      <c r="E70" s="17">
        <v>180</v>
      </c>
      <c r="F70" s="514">
        <v>1150</v>
      </c>
      <c r="G70" s="14">
        <v>180</v>
      </c>
    </row>
    <row r="71" spans="1:7" ht="15" customHeight="1" x14ac:dyDescent="0.2">
      <c r="A71" s="1266"/>
      <c r="B71" s="1269"/>
      <c r="C71" s="17">
        <v>0</v>
      </c>
      <c r="D71" s="17">
        <v>0</v>
      </c>
      <c r="E71" s="17">
        <v>40</v>
      </c>
      <c r="F71" s="514">
        <v>2279</v>
      </c>
      <c r="G71" s="14">
        <v>40</v>
      </c>
    </row>
    <row r="72" spans="1:7" ht="15" customHeight="1" x14ac:dyDescent="0.2">
      <c r="A72" s="1267"/>
      <c r="B72" s="1270"/>
      <c r="C72" s="17">
        <v>0</v>
      </c>
      <c r="D72" s="17">
        <v>0</v>
      </c>
      <c r="E72" s="17">
        <f>25+65</f>
        <v>90</v>
      </c>
      <c r="F72" s="514">
        <v>2314</v>
      </c>
      <c r="G72" s="22">
        <f>25+65</f>
        <v>90</v>
      </c>
    </row>
    <row r="73" spans="1:7" x14ac:dyDescent="0.2">
      <c r="A73" s="1271">
        <v>8</v>
      </c>
      <c r="B73" s="1268" t="s">
        <v>85</v>
      </c>
      <c r="C73" s="16">
        <f>SUM(C74:C76)</f>
        <v>0</v>
      </c>
      <c r="D73" s="16">
        <f>SUM(D74:D76)</f>
        <v>0</v>
      </c>
      <c r="E73" s="16">
        <f>SUM(E74:E76)</f>
        <v>1000</v>
      </c>
      <c r="F73" s="16"/>
      <c r="G73" s="16">
        <f>SUM(G74:G76)</f>
        <v>1000</v>
      </c>
    </row>
    <row r="74" spans="1:7" ht="15" customHeight="1" x14ac:dyDescent="0.2">
      <c r="A74" s="1272"/>
      <c r="B74" s="1269"/>
      <c r="C74" s="17">
        <v>0</v>
      </c>
      <c r="D74" s="17">
        <v>0</v>
      </c>
      <c r="E74" s="17">
        <v>280</v>
      </c>
      <c r="F74" s="514">
        <v>1150</v>
      </c>
      <c r="G74" s="14">
        <v>280</v>
      </c>
    </row>
    <row r="75" spans="1:7" ht="15" customHeight="1" x14ac:dyDescent="0.2">
      <c r="A75" s="1272"/>
      <c r="B75" s="1269"/>
      <c r="C75" s="17">
        <v>0</v>
      </c>
      <c r="D75" s="17">
        <v>0</v>
      </c>
      <c r="E75" s="17">
        <v>240</v>
      </c>
      <c r="F75" s="514">
        <v>2269</v>
      </c>
      <c r="G75" s="14">
        <v>240</v>
      </c>
    </row>
    <row r="76" spans="1:7" x14ac:dyDescent="0.2">
      <c r="A76" s="1273"/>
      <c r="B76" s="1270"/>
      <c r="C76" s="19">
        <v>0</v>
      </c>
      <c r="D76" s="19">
        <v>0</v>
      </c>
      <c r="E76" s="19">
        <f>240+240</f>
        <v>480</v>
      </c>
      <c r="F76" s="470">
        <v>2314</v>
      </c>
      <c r="G76" s="14">
        <v>480</v>
      </c>
    </row>
    <row r="77" spans="1:7" x14ac:dyDescent="0.2">
      <c r="A77" s="1271">
        <v>9</v>
      </c>
      <c r="B77" s="1268" t="s">
        <v>89</v>
      </c>
      <c r="C77" s="16">
        <f>SUM(C78:C79)</f>
        <v>0</v>
      </c>
      <c r="D77" s="16">
        <f t="shared" ref="D77:G77" si="1">SUM(D78:D79)</f>
        <v>0</v>
      </c>
      <c r="E77" s="16">
        <f>SUM(E78:E79)</f>
        <v>1000</v>
      </c>
      <c r="F77" s="16"/>
      <c r="G77" s="16">
        <f t="shared" si="1"/>
        <v>1000</v>
      </c>
    </row>
    <row r="78" spans="1:7" x14ac:dyDescent="0.2">
      <c r="A78" s="1272"/>
      <c r="B78" s="1269"/>
      <c r="C78" s="17">
        <v>0</v>
      </c>
      <c r="D78" s="17">
        <v>0</v>
      </c>
      <c r="E78" s="17">
        <v>250</v>
      </c>
      <c r="F78" s="514">
        <v>1150</v>
      </c>
      <c r="G78" s="14">
        <v>250</v>
      </c>
    </row>
    <row r="79" spans="1:7" ht="15" customHeight="1" x14ac:dyDescent="0.2">
      <c r="A79" s="1273"/>
      <c r="B79" s="1270"/>
      <c r="C79" s="17">
        <v>0</v>
      </c>
      <c r="D79" s="17">
        <v>0</v>
      </c>
      <c r="E79" s="17">
        <v>750</v>
      </c>
      <c r="F79" s="514">
        <v>2314</v>
      </c>
      <c r="G79" s="14">
        <v>750</v>
      </c>
    </row>
    <row r="80" spans="1:7" ht="15" customHeight="1" x14ac:dyDescent="0.2">
      <c r="A80" s="991"/>
      <c r="B80" s="992"/>
      <c r="C80" s="533"/>
      <c r="D80" s="533"/>
      <c r="E80" s="533"/>
      <c r="F80" s="990"/>
      <c r="G80" s="535"/>
    </row>
    <row r="81" spans="1:7" ht="15.75" x14ac:dyDescent="0.25">
      <c r="A81" s="68" t="s">
        <v>1349</v>
      </c>
      <c r="B81" s="18"/>
      <c r="C81" s="18"/>
      <c r="D81" s="18"/>
      <c r="E81" s="18"/>
      <c r="F81" s="29"/>
      <c r="G81" s="636"/>
    </row>
    <row r="82" spans="1:7" x14ac:dyDescent="0.2">
      <c r="A82" s="10" t="s">
        <v>1055</v>
      </c>
      <c r="B82" s="515"/>
      <c r="C82" s="516"/>
      <c r="D82" s="516"/>
      <c r="E82" s="516"/>
      <c r="F82" s="516"/>
      <c r="G82" s="516"/>
    </row>
    <row r="83" spans="1:7" x14ac:dyDescent="0.2">
      <c r="A83" s="10" t="s">
        <v>1003</v>
      </c>
      <c r="C83" s="1283"/>
      <c r="D83" s="1283"/>
      <c r="E83" s="1283"/>
      <c r="F83" s="1283"/>
      <c r="G83" s="1283"/>
    </row>
    <row r="84" spans="1:7" ht="36" x14ac:dyDescent="0.2">
      <c r="A84" s="12" t="s">
        <v>1</v>
      </c>
      <c r="B84" s="12" t="s">
        <v>2</v>
      </c>
      <c r="C84" s="12" t="s">
        <v>60</v>
      </c>
      <c r="D84" s="12" t="s">
        <v>61</v>
      </c>
      <c r="E84" s="12" t="s">
        <v>28</v>
      </c>
      <c r="F84" s="26" t="s">
        <v>6</v>
      </c>
      <c r="G84" s="12" t="s">
        <v>1190</v>
      </c>
    </row>
    <row r="85" spans="1:7" x14ac:dyDescent="0.2">
      <c r="A85" s="1274" t="s">
        <v>300</v>
      </c>
      <c r="B85" s="1274"/>
      <c r="C85" s="13" t="e">
        <f>C86+C90+#REF!+C94+C98+#REF!+C101+C104+#REF!+C107+C110+C112+C114+C116+#REF!+C118</f>
        <v>#REF!</v>
      </c>
      <c r="D85" s="13" t="e">
        <f>D86+D90+#REF!+D94+D98+#REF!+D101+D104+#REF!+D107+D110+D112+D114+D116+#REF!+D118</f>
        <v>#REF!</v>
      </c>
      <c r="E85" s="13" t="e">
        <f>E86+E90+#REF!+E94+E98+#REF!+E101+E104+#REF!+E107+E110+E112+E114+E116+#REF!+E118</f>
        <v>#REF!</v>
      </c>
      <c r="F85" s="13"/>
      <c r="G85" s="13">
        <f>G86+G90+G94+G98+G101+G104+G107+G110+G112+G114+G116+G118</f>
        <v>21252</v>
      </c>
    </row>
    <row r="86" spans="1:7" x14ac:dyDescent="0.2">
      <c r="A86" s="1263">
        <v>1</v>
      </c>
      <c r="B86" s="1264" t="s">
        <v>92</v>
      </c>
      <c r="C86" s="13">
        <f>SUM(C87:C89)</f>
        <v>1350</v>
      </c>
      <c r="D86" s="13">
        <f>SUM(D87:D89)</f>
        <v>1350</v>
      </c>
      <c r="E86" s="13">
        <f>SUM(E87:E89)</f>
        <v>850</v>
      </c>
      <c r="F86" s="13"/>
      <c r="G86" s="13">
        <f>SUM(G87:G89)</f>
        <v>850</v>
      </c>
    </row>
    <row r="87" spans="1:7" x14ac:dyDescent="0.2">
      <c r="A87" s="1263"/>
      <c r="B87" s="1264"/>
      <c r="C87" s="21">
        <v>143</v>
      </c>
      <c r="D87" s="14">
        <v>143</v>
      </c>
      <c r="E87" s="14">
        <v>146</v>
      </c>
      <c r="F87" s="469">
        <v>2262</v>
      </c>
      <c r="G87" s="14">
        <v>146</v>
      </c>
    </row>
    <row r="88" spans="1:7" x14ac:dyDescent="0.2">
      <c r="A88" s="1263"/>
      <c r="B88" s="1264"/>
      <c r="C88" s="517">
        <f>143+143+100</f>
        <v>386</v>
      </c>
      <c r="D88" s="517">
        <f>143+143+100</f>
        <v>386</v>
      </c>
      <c r="E88" s="517">
        <f>143+143+100</f>
        <v>386</v>
      </c>
      <c r="F88" s="469">
        <v>2314</v>
      </c>
      <c r="G88" s="517">
        <f>143+143+100</f>
        <v>386</v>
      </c>
    </row>
    <row r="89" spans="1:7" x14ac:dyDescent="0.2">
      <c r="A89" s="1263"/>
      <c r="B89" s="1264"/>
      <c r="C89" s="517">
        <f>178+143+500</f>
        <v>821</v>
      </c>
      <c r="D89" s="517">
        <f>178+143+500</f>
        <v>821</v>
      </c>
      <c r="E89" s="25">
        <f>175+143</f>
        <v>318</v>
      </c>
      <c r="F89" s="469">
        <v>1150</v>
      </c>
      <c r="G89" s="25">
        <f>175+143</f>
        <v>318</v>
      </c>
    </row>
    <row r="90" spans="1:7" x14ac:dyDescent="0.2">
      <c r="A90" s="1263">
        <v>2</v>
      </c>
      <c r="B90" s="1264" t="s">
        <v>93</v>
      </c>
      <c r="C90" s="16">
        <f>SUM(C91:C93)</f>
        <v>1297</v>
      </c>
      <c r="D90" s="16">
        <f>SUM(D91:D93)</f>
        <v>1297</v>
      </c>
      <c r="E90" s="16">
        <f>SUM(E91:E93)</f>
        <v>2270</v>
      </c>
      <c r="F90" s="16"/>
      <c r="G90" s="16">
        <f>SUM(G91:G93)</f>
        <v>2170</v>
      </c>
    </row>
    <row r="91" spans="1:7" x14ac:dyDescent="0.2">
      <c r="A91" s="1263"/>
      <c r="B91" s="1264"/>
      <c r="C91" s="22">
        <v>427</v>
      </c>
      <c r="D91" s="22">
        <v>427</v>
      </c>
      <c r="E91" s="22">
        <v>900</v>
      </c>
      <c r="F91" s="640">
        <v>2231</v>
      </c>
      <c r="G91" s="14">
        <v>900</v>
      </c>
    </row>
    <row r="92" spans="1:7" x14ac:dyDescent="0.2">
      <c r="A92" s="1263"/>
      <c r="B92" s="1264"/>
      <c r="C92" s="30">
        <f>214+427+86</f>
        <v>727</v>
      </c>
      <c r="D92" s="30">
        <f>214+427+86</f>
        <v>727</v>
      </c>
      <c r="E92" s="30">
        <f>250+420+500</f>
        <v>1170</v>
      </c>
      <c r="F92" s="640">
        <v>2314</v>
      </c>
      <c r="G92" s="28">
        <v>1070</v>
      </c>
    </row>
    <row r="93" spans="1:7" ht="15" customHeight="1" x14ac:dyDescent="0.2">
      <c r="A93" s="1263"/>
      <c r="B93" s="1264"/>
      <c r="C93" s="22">
        <v>143</v>
      </c>
      <c r="D93" s="22">
        <v>143</v>
      </c>
      <c r="E93" s="22">
        <v>200</v>
      </c>
      <c r="F93" s="640">
        <v>1150</v>
      </c>
      <c r="G93" s="14">
        <v>200</v>
      </c>
    </row>
    <row r="94" spans="1:7" x14ac:dyDescent="0.2">
      <c r="A94" s="1263">
        <v>3</v>
      </c>
      <c r="B94" s="1264" t="s">
        <v>1053</v>
      </c>
      <c r="C94" s="23">
        <f>SUM(C95:C97)</f>
        <v>670</v>
      </c>
      <c r="D94" s="23">
        <f t="shared" ref="D94:G94" si="2">SUM(D95:D97)</f>
        <v>670</v>
      </c>
      <c r="E94" s="23">
        <f t="shared" si="2"/>
        <v>630</v>
      </c>
      <c r="F94" s="23"/>
      <c r="G94" s="23">
        <f t="shared" si="2"/>
        <v>548</v>
      </c>
    </row>
    <row r="95" spans="1:7" x14ac:dyDescent="0.2">
      <c r="A95" s="1263"/>
      <c r="B95" s="1264"/>
      <c r="C95" s="22">
        <v>427</v>
      </c>
      <c r="D95" s="22">
        <v>427</v>
      </c>
      <c r="E95" s="22">
        <v>420</v>
      </c>
      <c r="F95" s="640">
        <v>1150</v>
      </c>
      <c r="G95" s="17">
        <v>358</v>
      </c>
    </row>
    <row r="96" spans="1:7" ht="15" customHeight="1" x14ac:dyDescent="0.2">
      <c r="A96" s="1263"/>
      <c r="B96" s="1264"/>
      <c r="C96" s="22">
        <v>29</v>
      </c>
      <c r="D96" s="22">
        <v>29</v>
      </c>
      <c r="E96" s="22">
        <v>20</v>
      </c>
      <c r="F96" s="640">
        <v>2311</v>
      </c>
      <c r="G96" s="14">
        <v>20</v>
      </c>
    </row>
    <row r="97" spans="1:9" x14ac:dyDescent="0.2">
      <c r="A97" s="1263"/>
      <c r="B97" s="1264"/>
      <c r="C97" s="22">
        <f>107+107</f>
        <v>214</v>
      </c>
      <c r="D97" s="22">
        <f>107+107</f>
        <v>214</v>
      </c>
      <c r="E97" s="22">
        <f>80+110</f>
        <v>190</v>
      </c>
      <c r="F97" s="640">
        <v>2314</v>
      </c>
      <c r="G97" s="14">
        <v>170</v>
      </c>
    </row>
    <row r="98" spans="1:9" x14ac:dyDescent="0.2">
      <c r="A98" s="1263">
        <v>4</v>
      </c>
      <c r="B98" s="1264" t="s">
        <v>94</v>
      </c>
      <c r="C98" s="23">
        <f>SUM(C99:C100)</f>
        <v>2846</v>
      </c>
      <c r="D98" s="23">
        <f t="shared" ref="D98:G98" si="3">SUM(D99:D100)</f>
        <v>2846</v>
      </c>
      <c r="E98" s="23">
        <f t="shared" si="3"/>
        <v>2800</v>
      </c>
      <c r="F98" s="23"/>
      <c r="G98" s="23">
        <f t="shared" si="3"/>
        <v>1400</v>
      </c>
    </row>
    <row r="99" spans="1:9" x14ac:dyDescent="0.2">
      <c r="A99" s="1263"/>
      <c r="B99" s="1264"/>
      <c r="C99" s="22">
        <v>1423</v>
      </c>
      <c r="D99" s="22">
        <v>1423</v>
      </c>
      <c r="E99" s="22">
        <v>1400</v>
      </c>
      <c r="F99" s="640">
        <v>5234</v>
      </c>
      <c r="G99" s="14">
        <v>800</v>
      </c>
    </row>
    <row r="100" spans="1:9" ht="15" customHeight="1" x14ac:dyDescent="0.2">
      <c r="A100" s="1263"/>
      <c r="B100" s="1264"/>
      <c r="C100" s="22">
        <v>1423</v>
      </c>
      <c r="D100" s="22">
        <v>1423</v>
      </c>
      <c r="E100" s="22">
        <v>1400</v>
      </c>
      <c r="F100" s="640">
        <v>5236</v>
      </c>
      <c r="G100" s="14">
        <v>600</v>
      </c>
    </row>
    <row r="101" spans="1:9" x14ac:dyDescent="0.2">
      <c r="A101" s="1263">
        <v>5</v>
      </c>
      <c r="B101" s="1264" t="s">
        <v>95</v>
      </c>
      <c r="C101" s="23">
        <f>SUM(C102:C103)</f>
        <v>244</v>
      </c>
      <c r="D101" s="23">
        <f t="shared" ref="D101:G101" si="4">SUM(D102:D103)</f>
        <v>244</v>
      </c>
      <c r="E101" s="23">
        <f t="shared" si="4"/>
        <v>750</v>
      </c>
      <c r="F101" s="23"/>
      <c r="G101" s="23">
        <f t="shared" si="4"/>
        <v>650</v>
      </c>
    </row>
    <row r="102" spans="1:9" x14ac:dyDescent="0.2">
      <c r="A102" s="1263"/>
      <c r="B102" s="1264"/>
      <c r="C102" s="22">
        <f>157+72+15</f>
        <v>244</v>
      </c>
      <c r="D102" s="22">
        <f>157+72+15</f>
        <v>244</v>
      </c>
      <c r="E102" s="22">
        <f>350+150+50+100</f>
        <v>650</v>
      </c>
      <c r="F102" s="640">
        <v>2314</v>
      </c>
      <c r="G102" s="22">
        <v>550</v>
      </c>
      <c r="I102" s="1022"/>
    </row>
    <row r="103" spans="1:9" ht="15" customHeight="1" x14ac:dyDescent="0.2">
      <c r="A103" s="1263"/>
      <c r="B103" s="1264"/>
      <c r="C103" s="22">
        <v>0</v>
      </c>
      <c r="D103" s="22">
        <v>0</v>
      </c>
      <c r="E103" s="22">
        <v>100</v>
      </c>
      <c r="F103" s="640">
        <v>1150</v>
      </c>
      <c r="G103" s="14">
        <v>100</v>
      </c>
    </row>
    <row r="104" spans="1:9" x14ac:dyDescent="0.2">
      <c r="A104" s="1263">
        <v>6</v>
      </c>
      <c r="B104" s="1264" t="s">
        <v>96</v>
      </c>
      <c r="C104" s="23">
        <f>SUM(C105:C106)</f>
        <v>969</v>
      </c>
      <c r="D104" s="23">
        <f>SUM(D105:D106)</f>
        <v>969</v>
      </c>
      <c r="E104" s="23">
        <f>SUM(E105:E106)</f>
        <v>850</v>
      </c>
      <c r="F104" s="23"/>
      <c r="G104" s="23">
        <f>SUM(G105:G106)</f>
        <v>850</v>
      </c>
    </row>
    <row r="105" spans="1:9" x14ac:dyDescent="0.2">
      <c r="A105" s="1263"/>
      <c r="B105" s="1264"/>
      <c r="C105" s="22">
        <v>883</v>
      </c>
      <c r="D105" s="22">
        <v>883</v>
      </c>
      <c r="E105" s="22">
        <v>450</v>
      </c>
      <c r="F105" s="640">
        <v>2279</v>
      </c>
      <c r="G105" s="14">
        <v>450</v>
      </c>
    </row>
    <row r="106" spans="1:9" x14ac:dyDescent="0.2">
      <c r="A106" s="1263"/>
      <c r="B106" s="1264"/>
      <c r="C106" s="22">
        <v>86</v>
      </c>
      <c r="D106" s="22">
        <v>86</v>
      </c>
      <c r="E106" s="22">
        <v>400</v>
      </c>
      <c r="F106" s="640">
        <v>2314</v>
      </c>
      <c r="G106" s="14">
        <v>400</v>
      </c>
    </row>
    <row r="107" spans="1:9" x14ac:dyDescent="0.2">
      <c r="A107" s="1263">
        <v>7</v>
      </c>
      <c r="B107" s="1264" t="s">
        <v>99</v>
      </c>
      <c r="C107" s="20">
        <f>SUM(C108:C109)</f>
        <v>1923</v>
      </c>
      <c r="D107" s="20">
        <f>SUM(D108:D109)</f>
        <v>1923</v>
      </c>
      <c r="E107" s="20">
        <f>SUM(E108:E109)</f>
        <v>3076</v>
      </c>
      <c r="F107" s="20"/>
      <c r="G107" s="20">
        <f>SUM(G108:G109)</f>
        <v>1923</v>
      </c>
    </row>
    <row r="108" spans="1:9" x14ac:dyDescent="0.2">
      <c r="A108" s="1263"/>
      <c r="B108" s="1264"/>
      <c r="C108" s="22">
        <f>359+513+329+299</f>
        <v>1500</v>
      </c>
      <c r="D108" s="22">
        <f>359+513+329+299</f>
        <v>1500</v>
      </c>
      <c r="E108" s="22">
        <f>480+990+264+420</f>
        <v>2154</v>
      </c>
      <c r="F108" s="640">
        <v>2314</v>
      </c>
      <c r="G108" s="22">
        <f>359+513+329+299</f>
        <v>1500</v>
      </c>
    </row>
    <row r="109" spans="1:9" x14ac:dyDescent="0.2">
      <c r="A109" s="1263"/>
      <c r="B109" s="1264"/>
      <c r="C109" s="22">
        <v>423</v>
      </c>
      <c r="D109" s="22">
        <v>423</v>
      </c>
      <c r="E109" s="22">
        <v>922</v>
      </c>
      <c r="F109" s="640">
        <v>2262</v>
      </c>
      <c r="G109" s="14">
        <v>423</v>
      </c>
    </row>
    <row r="110" spans="1:9" x14ac:dyDescent="0.2">
      <c r="A110" s="1263">
        <v>8</v>
      </c>
      <c r="B110" s="1264" t="s">
        <v>100</v>
      </c>
      <c r="C110" s="20">
        <f>C111</f>
        <v>1139</v>
      </c>
      <c r="D110" s="20">
        <f t="shared" ref="D110:G110" si="5">D111</f>
        <v>1139</v>
      </c>
      <c r="E110" s="20">
        <f t="shared" si="5"/>
        <v>1100</v>
      </c>
      <c r="F110" s="20"/>
      <c r="G110" s="20">
        <f t="shared" si="5"/>
        <v>600</v>
      </c>
    </row>
    <row r="111" spans="1:9" ht="15" customHeight="1" x14ac:dyDescent="0.2">
      <c r="A111" s="1263"/>
      <c r="B111" s="1264"/>
      <c r="C111" s="17">
        <v>1139</v>
      </c>
      <c r="D111" s="17">
        <v>1139</v>
      </c>
      <c r="E111" s="17">
        <v>1100</v>
      </c>
      <c r="F111" s="514">
        <v>2279</v>
      </c>
      <c r="G111" s="14">
        <v>600</v>
      </c>
    </row>
    <row r="112" spans="1:9" x14ac:dyDescent="0.2">
      <c r="A112" s="1263">
        <v>9</v>
      </c>
      <c r="B112" s="1264" t="s">
        <v>101</v>
      </c>
      <c r="C112" s="20">
        <f>C113</f>
        <v>143</v>
      </c>
      <c r="D112" s="20">
        <f t="shared" ref="D112:G112" si="6">D113</f>
        <v>143</v>
      </c>
      <c r="E112" s="20">
        <f t="shared" si="6"/>
        <v>143</v>
      </c>
      <c r="F112" s="20"/>
      <c r="G112" s="20">
        <f t="shared" si="6"/>
        <v>143</v>
      </c>
    </row>
    <row r="113" spans="1:7" x14ac:dyDescent="0.2">
      <c r="A113" s="1263"/>
      <c r="B113" s="1264"/>
      <c r="C113" s="19">
        <v>143</v>
      </c>
      <c r="D113" s="19">
        <v>143</v>
      </c>
      <c r="E113" s="19">
        <v>143</v>
      </c>
      <c r="F113" s="470">
        <v>2279</v>
      </c>
      <c r="G113" s="14">
        <v>143</v>
      </c>
    </row>
    <row r="114" spans="1:7" x14ac:dyDescent="0.2">
      <c r="A114" s="1263">
        <v>10</v>
      </c>
      <c r="B114" s="1264" t="s">
        <v>102</v>
      </c>
      <c r="C114" s="20">
        <f>C115</f>
        <v>356</v>
      </c>
      <c r="D114" s="20">
        <f t="shared" ref="D114:G114" si="7">D115</f>
        <v>356</v>
      </c>
      <c r="E114" s="20">
        <f t="shared" si="7"/>
        <v>280</v>
      </c>
      <c r="F114" s="20"/>
      <c r="G114" s="20">
        <f t="shared" si="7"/>
        <v>200</v>
      </c>
    </row>
    <row r="115" spans="1:7" x14ac:dyDescent="0.2">
      <c r="A115" s="1263"/>
      <c r="B115" s="1264"/>
      <c r="C115" s="19">
        <v>356</v>
      </c>
      <c r="D115" s="19">
        <v>356</v>
      </c>
      <c r="E115" s="19">
        <v>280</v>
      </c>
      <c r="F115" s="470">
        <v>2314</v>
      </c>
      <c r="G115" s="14">
        <v>200</v>
      </c>
    </row>
    <row r="116" spans="1:7" x14ac:dyDescent="0.2">
      <c r="A116" s="1263">
        <v>11</v>
      </c>
      <c r="B116" s="1264" t="s">
        <v>103</v>
      </c>
      <c r="C116" s="20">
        <f>SUM(C117:C117)</f>
        <v>72</v>
      </c>
      <c r="D116" s="20">
        <f>SUM(D117:D117)</f>
        <v>72</v>
      </c>
      <c r="E116" s="20">
        <f>SUM(E117:E117)</f>
        <v>100</v>
      </c>
      <c r="F116" s="20"/>
      <c r="G116" s="20">
        <f>SUM(G117:G117)</f>
        <v>100</v>
      </c>
    </row>
    <row r="117" spans="1:7" x14ac:dyDescent="0.2">
      <c r="A117" s="1263"/>
      <c r="B117" s="1264"/>
      <c r="C117" s="19">
        <v>72</v>
      </c>
      <c r="D117" s="19">
        <v>72</v>
      </c>
      <c r="E117" s="19">
        <v>100</v>
      </c>
      <c r="F117" s="470">
        <v>2314</v>
      </c>
      <c r="G117" s="14">
        <v>100</v>
      </c>
    </row>
    <row r="118" spans="1:7" x14ac:dyDescent="0.2">
      <c r="A118" s="1263">
        <v>12</v>
      </c>
      <c r="B118" s="1264" t="s">
        <v>104</v>
      </c>
      <c r="C118" s="20">
        <f>SUM(C119:C120)</f>
        <v>0</v>
      </c>
      <c r="D118" s="20">
        <f t="shared" ref="D118:G118" si="8">SUM(D119:D120)</f>
        <v>0</v>
      </c>
      <c r="E118" s="20">
        <f t="shared" si="8"/>
        <v>13318</v>
      </c>
      <c r="F118" s="20"/>
      <c r="G118" s="20">
        <f t="shared" si="8"/>
        <v>11818</v>
      </c>
    </row>
    <row r="119" spans="1:7" x14ac:dyDescent="0.2">
      <c r="A119" s="1263"/>
      <c r="B119" s="1264"/>
      <c r="C119" s="19">
        <v>0</v>
      </c>
      <c r="D119" s="19">
        <v>0</v>
      </c>
      <c r="E119" s="19">
        <f>4598+8470</f>
        <v>13068</v>
      </c>
      <c r="F119" s="470">
        <v>5239</v>
      </c>
      <c r="G119" s="14">
        <v>11568</v>
      </c>
    </row>
    <row r="120" spans="1:7" x14ac:dyDescent="0.2">
      <c r="A120" s="1263"/>
      <c r="B120" s="1264"/>
      <c r="C120" s="19">
        <v>0</v>
      </c>
      <c r="D120" s="19">
        <v>0</v>
      </c>
      <c r="E120" s="19">
        <v>250</v>
      </c>
      <c r="F120" s="470">
        <v>2314</v>
      </c>
      <c r="G120" s="14">
        <v>250</v>
      </c>
    </row>
  </sheetData>
  <mergeCells count="59">
    <mergeCell ref="A14:B14"/>
    <mergeCell ref="C41:G41"/>
    <mergeCell ref="C7:G7"/>
    <mergeCell ref="A8:G8"/>
    <mergeCell ref="C12:G12"/>
    <mergeCell ref="A15:A20"/>
    <mergeCell ref="B15:B20"/>
    <mergeCell ref="A21:A26"/>
    <mergeCell ref="B21:B26"/>
    <mergeCell ref="A27:A33"/>
    <mergeCell ref="B27:B33"/>
    <mergeCell ref="C83:G83"/>
    <mergeCell ref="A85:B85"/>
    <mergeCell ref="A86:A89"/>
    <mergeCell ref="B86:B89"/>
    <mergeCell ref="A90:A93"/>
    <mergeCell ref="B90:B93"/>
    <mergeCell ref="A43:B43"/>
    <mergeCell ref="A34:A37"/>
    <mergeCell ref="B34:B37"/>
    <mergeCell ref="A73:A76"/>
    <mergeCell ref="B73:B76"/>
    <mergeCell ref="A55:A58"/>
    <mergeCell ref="B55:B58"/>
    <mergeCell ref="A49:A54"/>
    <mergeCell ref="B49:B54"/>
    <mergeCell ref="A59:A61"/>
    <mergeCell ref="B59:B61"/>
    <mergeCell ref="A62:A65"/>
    <mergeCell ref="B62:B65"/>
    <mergeCell ref="A44:A48"/>
    <mergeCell ref="B44:B48"/>
    <mergeCell ref="B104:B106"/>
    <mergeCell ref="A69:A72"/>
    <mergeCell ref="B69:B72"/>
    <mergeCell ref="A66:A68"/>
    <mergeCell ref="B66:B68"/>
    <mergeCell ref="A77:A79"/>
    <mergeCell ref="B77:B79"/>
    <mergeCell ref="A94:A97"/>
    <mergeCell ref="B94:B97"/>
    <mergeCell ref="A98:A100"/>
    <mergeCell ref="B98:B100"/>
    <mergeCell ref="B1:G1"/>
    <mergeCell ref="A118:A120"/>
    <mergeCell ref="B118:B120"/>
    <mergeCell ref="A114:A115"/>
    <mergeCell ref="B114:B115"/>
    <mergeCell ref="A116:A117"/>
    <mergeCell ref="B116:B117"/>
    <mergeCell ref="A107:A109"/>
    <mergeCell ref="B107:B109"/>
    <mergeCell ref="A110:A111"/>
    <mergeCell ref="B110:B111"/>
    <mergeCell ref="A112:A113"/>
    <mergeCell ref="B112:B113"/>
    <mergeCell ref="A101:A103"/>
    <mergeCell ref="B101:B103"/>
    <mergeCell ref="A104:A106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30"/>
  <sheetViews>
    <sheetView workbookViewId="0">
      <selection activeCell="B2" sqref="B2"/>
    </sheetView>
  </sheetViews>
  <sheetFormatPr defaultRowHeight="12" x14ac:dyDescent="0.2"/>
  <cols>
    <col min="1" max="1" width="5.140625" style="457" customWidth="1"/>
    <col min="2" max="2" width="63.28515625" style="457" customWidth="1"/>
    <col min="3" max="3" width="11.85546875" style="457" hidden="1" customWidth="1"/>
    <col min="4" max="4" width="11.140625" style="457" hidden="1" customWidth="1"/>
    <col min="5" max="5" width="10.28515625" style="457" hidden="1" customWidth="1"/>
    <col min="6" max="6" width="10.5703125" style="457" customWidth="1"/>
    <col min="7" max="7" width="9.7109375" style="457" customWidth="1"/>
    <col min="8" max="16384" width="9.140625" style="457"/>
  </cols>
  <sheetData>
    <row r="1" spans="1:7" ht="16.5" x14ac:dyDescent="0.25">
      <c r="B1" s="1034" t="s">
        <v>1351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">
      <c r="A6" s="213" t="s">
        <v>298</v>
      </c>
    </row>
    <row r="7" spans="1:7" x14ac:dyDescent="0.2">
      <c r="A7" s="458" t="s">
        <v>1006</v>
      </c>
      <c r="B7" s="458"/>
      <c r="C7" s="1294"/>
      <c r="D7" s="1294"/>
      <c r="E7" s="1294"/>
      <c r="F7" s="1294"/>
      <c r="G7" s="1294"/>
    </row>
    <row r="8" spans="1:7" ht="33.75" customHeight="1" x14ac:dyDescent="0.25">
      <c r="A8" s="1295" t="s">
        <v>1004</v>
      </c>
      <c r="B8" s="1295"/>
      <c r="C8" s="1295"/>
      <c r="D8" s="1295"/>
      <c r="E8" s="1295"/>
      <c r="F8" s="1295"/>
      <c r="G8" s="1295"/>
    </row>
    <row r="9" spans="1:7" ht="15.75" x14ac:dyDescent="0.25">
      <c r="A9" s="472"/>
      <c r="B9" s="472"/>
      <c r="C9" s="472"/>
      <c r="D9" s="472"/>
      <c r="E9" s="472"/>
      <c r="F9" s="472"/>
      <c r="G9" s="472"/>
    </row>
    <row r="10" spans="1:7" x14ac:dyDescent="0.2">
      <c r="A10" s="457" t="s">
        <v>1005</v>
      </c>
      <c r="C10" s="458"/>
      <c r="D10" s="458"/>
      <c r="E10" s="458"/>
      <c r="F10" s="458"/>
      <c r="G10" s="458"/>
    </row>
    <row r="11" spans="1:7" x14ac:dyDescent="0.2">
      <c r="A11" s="1294" t="s">
        <v>1007</v>
      </c>
      <c r="B11" s="1294"/>
      <c r="C11" s="1294"/>
      <c r="D11" s="1294"/>
      <c r="E11" s="1294"/>
      <c r="F11" s="1294"/>
      <c r="G11" s="1294"/>
    </row>
    <row r="12" spans="1:7" ht="12" customHeight="1" x14ac:dyDescent="0.2">
      <c r="A12" s="457" t="s">
        <v>1071</v>
      </c>
      <c r="C12" s="1296"/>
      <c r="D12" s="1296"/>
      <c r="E12" s="1296"/>
      <c r="F12" s="1296"/>
      <c r="G12" s="1296"/>
    </row>
    <row r="13" spans="1:7" ht="36" x14ac:dyDescent="0.2">
      <c r="A13" s="503" t="s">
        <v>1</v>
      </c>
      <c r="B13" s="503" t="s">
        <v>1008</v>
      </c>
      <c r="C13" s="503" t="s">
        <v>26</v>
      </c>
      <c r="D13" s="503" t="s">
        <v>27</v>
      </c>
      <c r="E13" s="503" t="s">
        <v>299</v>
      </c>
      <c r="F13" s="503" t="s">
        <v>6</v>
      </c>
      <c r="G13" s="503" t="s">
        <v>1190</v>
      </c>
    </row>
    <row r="14" spans="1:7" ht="12" customHeight="1" x14ac:dyDescent="0.2">
      <c r="A14" s="1110" t="s">
        <v>300</v>
      </c>
      <c r="B14" s="1111"/>
      <c r="C14" s="504">
        <f>C16+C24</f>
        <v>682784</v>
      </c>
      <c r="D14" s="504">
        <f>D16+D24</f>
        <v>488844</v>
      </c>
      <c r="E14" s="504">
        <f>E16+E24</f>
        <v>352537</v>
      </c>
      <c r="F14" s="504"/>
      <c r="G14" s="504">
        <f t="shared" ref="G14" si="0">G16+G24</f>
        <v>352537</v>
      </c>
    </row>
    <row r="15" spans="1:7" ht="12.75" customHeight="1" x14ac:dyDescent="0.2">
      <c r="A15" s="1290" t="s">
        <v>1009</v>
      </c>
      <c r="B15" s="1291"/>
      <c r="C15" s="1291"/>
      <c r="D15" s="1291"/>
      <c r="E15" s="1291"/>
      <c r="F15" s="1291"/>
      <c r="G15" s="1291"/>
    </row>
    <row r="16" spans="1:7" s="461" customFormat="1" ht="12" customHeight="1" x14ac:dyDescent="0.2">
      <c r="A16" s="1292" t="s">
        <v>300</v>
      </c>
      <c r="B16" s="1293"/>
      <c r="C16" s="714">
        <f>SUM(C17:C22)</f>
        <v>682763</v>
      </c>
      <c r="D16" s="714">
        <f>SUM(D17:D22)</f>
        <v>488823</v>
      </c>
      <c r="E16" s="714">
        <f>SUM(E17:E22)</f>
        <v>352452</v>
      </c>
      <c r="F16" s="714"/>
      <c r="G16" s="714">
        <f t="shared" ref="G16" si="1">SUM(G17:G22)</f>
        <v>352452</v>
      </c>
    </row>
    <row r="17" spans="1:7" ht="18" customHeight="1" x14ac:dyDescent="0.2">
      <c r="A17" s="715">
        <v>1</v>
      </c>
      <c r="B17" s="716" t="s">
        <v>1010</v>
      </c>
      <c r="C17" s="507">
        <v>674330</v>
      </c>
      <c r="D17" s="507">
        <f>488844-21</f>
        <v>488823</v>
      </c>
      <c r="E17" s="507">
        <f>717248-D17</f>
        <v>228425</v>
      </c>
      <c r="F17" s="692">
        <v>5250</v>
      </c>
      <c r="G17" s="507">
        <v>228425</v>
      </c>
    </row>
    <row r="18" spans="1:7" ht="18" customHeight="1" x14ac:dyDescent="0.2">
      <c r="A18" s="715">
        <v>2</v>
      </c>
      <c r="B18" s="716" t="s">
        <v>1025</v>
      </c>
      <c r="C18" s="507">
        <v>0</v>
      </c>
      <c r="D18" s="507">
        <v>0</v>
      </c>
      <c r="E18" s="507">
        <v>70403</v>
      </c>
      <c r="F18" s="692">
        <v>5250</v>
      </c>
      <c r="G18" s="507">
        <v>70403</v>
      </c>
    </row>
    <row r="19" spans="1:7" ht="18" customHeight="1" x14ac:dyDescent="0.2">
      <c r="A19" s="715">
        <v>3</v>
      </c>
      <c r="B19" s="716" t="s">
        <v>1011</v>
      </c>
      <c r="C19" s="507">
        <v>7744</v>
      </c>
      <c r="D19" s="507">
        <v>0</v>
      </c>
      <c r="E19" s="507">
        <v>7139</v>
      </c>
      <c r="F19" s="692">
        <v>5250</v>
      </c>
      <c r="G19" s="507">
        <v>7139</v>
      </c>
    </row>
    <row r="20" spans="1:7" ht="18" customHeight="1" x14ac:dyDescent="0.2">
      <c r="A20" s="715">
        <v>4</v>
      </c>
      <c r="B20" s="716" t="s">
        <v>1012</v>
      </c>
      <c r="C20" s="507">
        <v>689</v>
      </c>
      <c r="D20" s="507">
        <v>0</v>
      </c>
      <c r="E20" s="507">
        <v>861</v>
      </c>
      <c r="F20" s="692">
        <v>5250</v>
      </c>
      <c r="G20" s="507">
        <v>861</v>
      </c>
    </row>
    <row r="21" spans="1:7" ht="18" customHeight="1" x14ac:dyDescent="0.2">
      <c r="A21" s="715">
        <v>5</v>
      </c>
      <c r="B21" s="716" t="s">
        <v>1026</v>
      </c>
      <c r="C21" s="507">
        <v>0</v>
      </c>
      <c r="D21" s="507">
        <v>0</v>
      </c>
      <c r="E21" s="507">
        <v>2583</v>
      </c>
      <c r="F21" s="692">
        <v>5250</v>
      </c>
      <c r="G21" s="507">
        <v>2583</v>
      </c>
    </row>
    <row r="22" spans="1:7" s="461" customFormat="1" ht="18" customHeight="1" x14ac:dyDescent="0.2">
      <c r="A22" s="715">
        <v>6</v>
      </c>
      <c r="B22" s="716" t="s">
        <v>1027</v>
      </c>
      <c r="C22" s="507">
        <v>0</v>
      </c>
      <c r="D22" s="507">
        <v>0</v>
      </c>
      <c r="E22" s="507">
        <v>43041</v>
      </c>
      <c r="F22" s="692">
        <v>2275</v>
      </c>
      <c r="G22" s="507">
        <v>43041</v>
      </c>
    </row>
    <row r="23" spans="1:7" x14ac:dyDescent="0.2">
      <c r="A23" s="1290" t="s">
        <v>1013</v>
      </c>
      <c r="B23" s="1291"/>
      <c r="C23" s="1291"/>
      <c r="D23" s="1291"/>
      <c r="E23" s="1291"/>
      <c r="F23" s="1291"/>
      <c r="G23" s="1291"/>
    </row>
    <row r="24" spans="1:7" x14ac:dyDescent="0.2">
      <c r="A24" s="1292" t="s">
        <v>300</v>
      </c>
      <c r="B24" s="1293"/>
      <c r="C24" s="714">
        <f>SUM(C25:C25)</f>
        <v>21</v>
      </c>
      <c r="D24" s="714">
        <f>SUM(D25:D25)</f>
        <v>21</v>
      </c>
      <c r="E24" s="714">
        <f>SUM(E25:E25)</f>
        <v>85</v>
      </c>
      <c r="F24" s="714"/>
      <c r="G24" s="714">
        <f t="shared" ref="G24" si="2">SUM(G25:G25)</f>
        <v>85</v>
      </c>
    </row>
    <row r="25" spans="1:7" x14ac:dyDescent="0.2">
      <c r="A25" s="508">
        <v>7</v>
      </c>
      <c r="B25" s="505" t="s">
        <v>1014</v>
      </c>
      <c r="C25" s="509">
        <v>21</v>
      </c>
      <c r="D25" s="509">
        <v>21</v>
      </c>
      <c r="E25" s="509">
        <v>85</v>
      </c>
      <c r="F25" s="993">
        <v>5250</v>
      </c>
      <c r="G25" s="509">
        <v>85</v>
      </c>
    </row>
    <row r="28" spans="1:7" x14ac:dyDescent="0.2">
      <c r="G28" s="462"/>
    </row>
    <row r="29" spans="1:7" x14ac:dyDescent="0.2">
      <c r="G29" s="462"/>
    </row>
    <row r="30" spans="1:7" x14ac:dyDescent="0.2">
      <c r="G30" s="462"/>
    </row>
  </sheetData>
  <mergeCells count="10">
    <mergeCell ref="B1:G1"/>
    <mergeCell ref="A23:G23"/>
    <mergeCell ref="A24:B24"/>
    <mergeCell ref="A11:G11"/>
    <mergeCell ref="C7:G7"/>
    <mergeCell ref="A8:G8"/>
    <mergeCell ref="C12:G12"/>
    <mergeCell ref="A14:B14"/>
    <mergeCell ref="A15:G15"/>
    <mergeCell ref="A16:B16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5"/>
  <sheetViews>
    <sheetView workbookViewId="0">
      <selection activeCell="B2" sqref="B2"/>
    </sheetView>
  </sheetViews>
  <sheetFormatPr defaultRowHeight="12" x14ac:dyDescent="0.2"/>
  <cols>
    <col min="1" max="1" width="6.140625" style="457" customWidth="1"/>
    <col min="2" max="2" width="55.5703125" style="457" customWidth="1"/>
    <col min="3" max="3" width="11.85546875" style="457" hidden="1" customWidth="1"/>
    <col min="4" max="4" width="11.140625" style="457" hidden="1" customWidth="1"/>
    <col min="5" max="5" width="10.28515625" style="457" hidden="1" customWidth="1"/>
    <col min="6" max="6" width="10.5703125" style="457" customWidth="1"/>
    <col min="7" max="7" width="9.7109375" style="457" customWidth="1"/>
    <col min="8" max="16384" width="9.140625" style="457"/>
  </cols>
  <sheetData>
    <row r="1" spans="1:11" ht="16.5" x14ac:dyDescent="0.25">
      <c r="B1" s="1034" t="s">
        <v>1352</v>
      </c>
      <c r="C1" s="1034"/>
      <c r="D1" s="1034"/>
      <c r="E1" s="1034"/>
      <c r="F1" s="1034"/>
      <c r="G1" s="1034"/>
    </row>
    <row r="2" spans="1:11" ht="16.5" x14ac:dyDescent="0.25">
      <c r="B2" s="1"/>
      <c r="C2" s="950"/>
      <c r="D2" s="950"/>
      <c r="E2" s="950"/>
      <c r="F2" s="950"/>
      <c r="G2" s="951" t="s">
        <v>1184</v>
      </c>
    </row>
    <row r="3" spans="1:11" ht="16.5" x14ac:dyDescent="0.25">
      <c r="B3" s="1"/>
      <c r="C3" s="950"/>
      <c r="D3" s="950"/>
      <c r="E3" s="950"/>
      <c r="F3" s="950"/>
      <c r="G3" s="951" t="s">
        <v>1185</v>
      </c>
    </row>
    <row r="6" spans="1:11" x14ac:dyDescent="0.2">
      <c r="A6" s="213" t="s">
        <v>298</v>
      </c>
      <c r="B6" s="458"/>
      <c r="C6" s="1294"/>
      <c r="D6" s="1294"/>
      <c r="E6" s="1294"/>
      <c r="F6" s="1294"/>
      <c r="G6" s="1294"/>
    </row>
    <row r="7" spans="1:11" x14ac:dyDescent="0.2">
      <c r="A7" s="458" t="s">
        <v>1006</v>
      </c>
      <c r="B7" s="458"/>
      <c r="C7" s="471"/>
      <c r="D7" s="471"/>
      <c r="E7" s="471"/>
      <c r="F7" s="471"/>
      <c r="G7" s="471"/>
    </row>
    <row r="8" spans="1:11" ht="33" customHeight="1" x14ac:dyDescent="0.25">
      <c r="A8" s="1295" t="s">
        <v>1015</v>
      </c>
      <c r="B8" s="1295"/>
      <c r="C8" s="1295"/>
      <c r="D8" s="1295"/>
      <c r="E8" s="1295"/>
      <c r="F8" s="1295"/>
      <c r="G8" s="1295"/>
    </row>
    <row r="9" spans="1:11" ht="15.75" x14ac:dyDescent="0.25">
      <c r="A9" s="473"/>
      <c r="B9" s="473"/>
      <c r="C9" s="473"/>
      <c r="D9" s="473"/>
      <c r="E9" s="473"/>
      <c r="F9" s="473"/>
      <c r="G9" s="473"/>
    </row>
    <row r="10" spans="1:11" x14ac:dyDescent="0.2">
      <c r="A10" s="457" t="s">
        <v>1005</v>
      </c>
      <c r="C10" s="458"/>
      <c r="D10" s="458"/>
      <c r="E10" s="458"/>
      <c r="F10" s="458"/>
      <c r="G10" s="458"/>
    </row>
    <row r="11" spans="1:11" x14ac:dyDescent="0.2">
      <c r="A11" s="457" t="s">
        <v>1016</v>
      </c>
      <c r="C11" s="717"/>
      <c r="D11" s="717"/>
      <c r="E11" s="717"/>
      <c r="F11" s="717"/>
      <c r="G11" s="717"/>
    </row>
    <row r="12" spans="1:11" ht="12" customHeight="1" x14ac:dyDescent="0.2">
      <c r="A12" s="457" t="s">
        <v>1072</v>
      </c>
      <c r="C12" s="1296"/>
      <c r="D12" s="1296"/>
      <c r="E12" s="1296"/>
      <c r="F12" s="1296"/>
      <c r="G12" s="1296"/>
    </row>
    <row r="13" spans="1:11" ht="36" x14ac:dyDescent="0.2">
      <c r="A13" s="459" t="s">
        <v>1</v>
      </c>
      <c r="B13" s="459" t="s">
        <v>1008</v>
      </c>
      <c r="C13" s="459" t="s">
        <v>26</v>
      </c>
      <c r="D13" s="459" t="s">
        <v>27</v>
      </c>
      <c r="E13" s="459" t="s">
        <v>299</v>
      </c>
      <c r="F13" s="459" t="s">
        <v>6</v>
      </c>
      <c r="G13" s="459" t="s">
        <v>1190</v>
      </c>
    </row>
    <row r="14" spans="1:11" x14ac:dyDescent="0.2">
      <c r="A14" s="1299" t="s">
        <v>300</v>
      </c>
      <c r="B14" s="1300"/>
      <c r="C14" s="460">
        <f>C16+C23</f>
        <v>772020</v>
      </c>
      <c r="D14" s="460">
        <f>D16+D23</f>
        <v>490694</v>
      </c>
      <c r="E14" s="460">
        <f>E16+E23</f>
        <v>5660558</v>
      </c>
      <c r="F14" s="460"/>
      <c r="G14" s="460">
        <f t="shared" ref="G14" si="0">G16+G23</f>
        <v>5660558</v>
      </c>
    </row>
    <row r="15" spans="1:11" ht="12.75" customHeight="1" x14ac:dyDescent="0.2">
      <c r="A15" s="1301" t="s">
        <v>1009</v>
      </c>
      <c r="B15" s="1302"/>
      <c r="C15" s="1302"/>
      <c r="D15" s="1302"/>
      <c r="E15" s="1302"/>
      <c r="F15" s="1302"/>
      <c r="G15" s="1302"/>
      <c r="K15" s="213"/>
    </row>
    <row r="16" spans="1:11" s="461" customFormat="1" x14ac:dyDescent="0.2">
      <c r="A16" s="1297" t="s">
        <v>300</v>
      </c>
      <c r="B16" s="1298"/>
      <c r="C16" s="718">
        <f>SUM(C17:C21)</f>
        <v>772020</v>
      </c>
      <c r="D16" s="718">
        <f>SUM(D17:D21)</f>
        <v>490694</v>
      </c>
      <c r="E16" s="718">
        <f>SUM(E17:E21)</f>
        <v>4146015</v>
      </c>
      <c r="F16" s="718"/>
      <c r="G16" s="718">
        <f>SUM(G17:G21)</f>
        <v>4146015</v>
      </c>
      <c r="K16" s="213"/>
    </row>
    <row r="17" spans="1:11" x14ac:dyDescent="0.2">
      <c r="A17" s="719">
        <v>1</v>
      </c>
      <c r="B17" s="720" t="s">
        <v>1010</v>
      </c>
      <c r="C17" s="721">
        <v>767786</v>
      </c>
      <c r="D17" s="721">
        <v>486821</v>
      </c>
      <c r="E17" s="721">
        <v>4036413</v>
      </c>
      <c r="F17" s="994">
        <v>5250</v>
      </c>
      <c r="G17" s="721">
        <v>4036413</v>
      </c>
      <c r="K17" s="213"/>
    </row>
    <row r="18" spans="1:11" x14ac:dyDescent="0.2">
      <c r="A18" s="719">
        <v>2</v>
      </c>
      <c r="B18" s="720" t="s">
        <v>1011</v>
      </c>
      <c r="C18" s="721">
        <v>3872</v>
      </c>
      <c r="D18" s="721">
        <v>3873</v>
      </c>
      <c r="E18" s="721">
        <v>17641</v>
      </c>
      <c r="F18" s="994">
        <v>5250</v>
      </c>
      <c r="G18" s="721">
        <v>17641</v>
      </c>
    </row>
    <row r="19" spans="1:11" x14ac:dyDescent="0.2">
      <c r="A19" s="719">
        <v>3</v>
      </c>
      <c r="B19" s="720" t="s">
        <v>1012</v>
      </c>
      <c r="C19" s="721">
        <v>362</v>
      </c>
      <c r="D19" s="721">
        <v>0</v>
      </c>
      <c r="E19" s="721">
        <v>2583</v>
      </c>
      <c r="F19" s="994">
        <v>5250</v>
      </c>
      <c r="G19" s="721">
        <v>2583</v>
      </c>
      <c r="H19" s="462"/>
    </row>
    <row r="20" spans="1:11" x14ac:dyDescent="0.2">
      <c r="A20" s="719">
        <v>4</v>
      </c>
      <c r="B20" s="720" t="s">
        <v>1030</v>
      </c>
      <c r="C20" s="721">
        <v>0</v>
      </c>
      <c r="D20" s="721">
        <v>0</v>
      </c>
      <c r="E20" s="721">
        <v>88665</v>
      </c>
      <c r="F20" s="994">
        <v>5250</v>
      </c>
      <c r="G20" s="721">
        <v>88665</v>
      </c>
      <c r="H20" s="462"/>
    </row>
    <row r="21" spans="1:11" x14ac:dyDescent="0.2">
      <c r="A21" s="719">
        <v>5</v>
      </c>
      <c r="B21" s="720" t="s">
        <v>1017</v>
      </c>
      <c r="C21" s="721">
        <v>0</v>
      </c>
      <c r="D21" s="721">
        <v>0</v>
      </c>
      <c r="E21" s="721">
        <v>713</v>
      </c>
      <c r="F21" s="994">
        <v>5239</v>
      </c>
      <c r="G21" s="721">
        <v>713</v>
      </c>
    </row>
    <row r="22" spans="1:11" ht="12.75" customHeight="1" x14ac:dyDescent="0.2">
      <c r="A22" s="1301" t="s">
        <v>1013</v>
      </c>
      <c r="B22" s="1302"/>
      <c r="C22" s="1302"/>
      <c r="D22" s="1302"/>
      <c r="E22" s="1302"/>
      <c r="F22" s="1302"/>
      <c r="G22" s="1302"/>
    </row>
    <row r="23" spans="1:11" s="461" customFormat="1" x14ac:dyDescent="0.2">
      <c r="A23" s="1297" t="s">
        <v>300</v>
      </c>
      <c r="B23" s="1298"/>
      <c r="C23" s="718">
        <f>SUM(C24:C25)</f>
        <v>0</v>
      </c>
      <c r="D23" s="718">
        <f>SUM(D24:D25)</f>
        <v>0</v>
      </c>
      <c r="E23" s="718">
        <f>SUM(E24:E24)</f>
        <v>1514543</v>
      </c>
      <c r="F23" s="718"/>
      <c r="G23" s="718">
        <f>SUM(G24:G24)</f>
        <v>1514543</v>
      </c>
    </row>
    <row r="24" spans="1:11" x14ac:dyDescent="0.2">
      <c r="A24" s="722">
        <v>6</v>
      </c>
      <c r="B24" s="723" t="s">
        <v>1010</v>
      </c>
      <c r="C24" s="724">
        <v>0</v>
      </c>
      <c r="D24" s="724">
        <v>0</v>
      </c>
      <c r="E24" s="724">
        <v>1514543</v>
      </c>
      <c r="F24" s="995">
        <v>5250</v>
      </c>
      <c r="G24" s="724">
        <v>1514543</v>
      </c>
    </row>
    <row r="25" spans="1:11" x14ac:dyDescent="0.2">
      <c r="A25" s="725"/>
      <c r="B25" s="725"/>
      <c r="C25" s="725"/>
      <c r="D25" s="725"/>
      <c r="E25" s="725"/>
      <c r="F25" s="725"/>
      <c r="G25" s="725"/>
    </row>
  </sheetData>
  <mergeCells count="9">
    <mergeCell ref="B1:G1"/>
    <mergeCell ref="A23:B23"/>
    <mergeCell ref="C6:G6"/>
    <mergeCell ref="A8:G8"/>
    <mergeCell ref="C12:G12"/>
    <mergeCell ref="A14:B14"/>
    <mergeCell ref="A15:G15"/>
    <mergeCell ref="A16:B16"/>
    <mergeCell ref="A22:G22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63"/>
  <sheetViews>
    <sheetView topLeftCell="A34" workbookViewId="0">
      <selection activeCell="B2" sqref="B2"/>
    </sheetView>
  </sheetViews>
  <sheetFormatPr defaultRowHeight="12" x14ac:dyDescent="0.2"/>
  <cols>
    <col min="1" max="1" width="4.85546875" style="1" customWidth="1"/>
    <col min="2" max="2" width="51.5703125" style="1" customWidth="1"/>
    <col min="3" max="3" width="10.7109375" style="1" hidden="1" customWidth="1"/>
    <col min="4" max="4" width="9.5703125" style="1" hidden="1" customWidth="1"/>
    <col min="5" max="5" width="10.7109375" style="1" hidden="1" customWidth="1"/>
    <col min="6" max="6" width="9.5703125" style="1" hidden="1" customWidth="1"/>
    <col min="7" max="7" width="10.7109375" style="1" hidden="1" customWidth="1"/>
    <col min="8" max="8" width="9.5703125" style="1" hidden="1" customWidth="1"/>
    <col min="9" max="9" width="11.140625" style="32" customWidth="1"/>
    <col min="10" max="10" width="10.7109375" style="1" bestFit="1" customWidth="1"/>
    <col min="11" max="11" width="9.5703125" style="1" bestFit="1" customWidth="1"/>
    <col min="12" max="16384" width="9.140625" style="1"/>
  </cols>
  <sheetData>
    <row r="1" spans="1:12" ht="16.5" x14ac:dyDescent="0.25">
      <c r="F1" s="1034" t="s">
        <v>1358</v>
      </c>
      <c r="G1" s="1034"/>
      <c r="H1" s="1034"/>
      <c r="I1" s="1034"/>
      <c r="J1" s="1034"/>
      <c r="K1" s="1034"/>
    </row>
    <row r="2" spans="1:12" ht="16.5" x14ac:dyDescent="0.25">
      <c r="G2" s="950"/>
      <c r="H2" s="950"/>
      <c r="I2" s="950"/>
      <c r="J2" s="950"/>
      <c r="K2" s="951" t="s">
        <v>1184</v>
      </c>
    </row>
    <row r="3" spans="1:12" ht="16.5" x14ac:dyDescent="0.25">
      <c r="G3" s="950"/>
      <c r="H3" s="950"/>
      <c r="I3" s="950"/>
      <c r="J3" s="950"/>
      <c r="K3" s="951" t="s">
        <v>1185</v>
      </c>
    </row>
    <row r="6" spans="1:12" ht="12.75" customHeight="1" x14ac:dyDescent="0.25">
      <c r="A6" s="5" t="s">
        <v>1353</v>
      </c>
      <c r="B6" s="149"/>
      <c r="C6" s="1306"/>
      <c r="D6" s="1306"/>
      <c r="E6" s="1306"/>
      <c r="F6" s="1306"/>
      <c r="G6" s="1306"/>
      <c r="H6" s="1306"/>
      <c r="I6" s="1306"/>
      <c r="J6" s="1306"/>
      <c r="K6" s="1306"/>
    </row>
    <row r="7" spans="1:12" ht="12.75" customHeight="1" x14ac:dyDescent="0.2">
      <c r="A7" s="5" t="s">
        <v>1354</v>
      </c>
      <c r="B7" s="149"/>
      <c r="C7" s="1307"/>
      <c r="D7" s="1307"/>
      <c r="E7" s="1307"/>
      <c r="F7" s="1307"/>
      <c r="G7" s="1307"/>
      <c r="H7" s="1307"/>
      <c r="I7" s="1307"/>
      <c r="J7" s="1307"/>
      <c r="K7" s="1307"/>
    </row>
    <row r="8" spans="1:12" ht="15.75" x14ac:dyDescent="0.25">
      <c r="A8" s="1308" t="s">
        <v>279</v>
      </c>
      <c r="B8" s="1308"/>
      <c r="C8" s="1308"/>
      <c r="D8" s="1308"/>
      <c r="E8" s="1308"/>
      <c r="F8" s="1308"/>
      <c r="G8" s="1308"/>
      <c r="H8" s="1308"/>
      <c r="I8" s="1308"/>
      <c r="J8" s="1308"/>
      <c r="K8" s="1308"/>
      <c r="L8" s="2"/>
    </row>
    <row r="9" spans="1:12" ht="15.75" x14ac:dyDescent="0.25">
      <c r="A9" s="929"/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2"/>
    </row>
    <row r="10" spans="1:12" ht="12.75" customHeight="1" x14ac:dyDescent="0.25">
      <c r="A10" s="1309" t="s">
        <v>1355</v>
      </c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</row>
    <row r="11" spans="1:12" ht="12.75" customHeight="1" x14ac:dyDescent="0.2">
      <c r="A11" s="5" t="s">
        <v>1356</v>
      </c>
      <c r="B11" s="5"/>
      <c r="C11" s="1305"/>
      <c r="D11" s="1305"/>
      <c r="E11" s="1305"/>
      <c r="F11" s="1305"/>
      <c r="G11" s="1305"/>
      <c r="H11" s="1305"/>
      <c r="I11" s="1305"/>
      <c r="J11" s="1305"/>
      <c r="K11" s="1305"/>
    </row>
    <row r="12" spans="1:12" ht="12.75" customHeight="1" x14ac:dyDescent="0.2">
      <c r="A12" s="166" t="s">
        <v>1357</v>
      </c>
      <c r="B12" s="166"/>
      <c r="C12" s="1312"/>
      <c r="D12" s="1312"/>
      <c r="E12" s="1312"/>
      <c r="F12" s="1312"/>
      <c r="G12" s="1312"/>
      <c r="H12" s="1312"/>
      <c r="I12" s="1312"/>
      <c r="J12" s="1312"/>
      <c r="K12" s="1312"/>
    </row>
    <row r="13" spans="1:12" x14ac:dyDescent="0.2">
      <c r="A13" s="1123" t="s">
        <v>1</v>
      </c>
      <c r="B13" s="1123" t="s">
        <v>2</v>
      </c>
      <c r="C13" s="1123" t="s">
        <v>3</v>
      </c>
      <c r="D13" s="1123"/>
      <c r="E13" s="1123" t="s">
        <v>4</v>
      </c>
      <c r="F13" s="1123"/>
      <c r="G13" s="1123" t="s">
        <v>5</v>
      </c>
      <c r="H13" s="1123"/>
      <c r="I13" s="1048" t="s">
        <v>6</v>
      </c>
      <c r="J13" s="1123" t="s">
        <v>1190</v>
      </c>
      <c r="K13" s="1123"/>
    </row>
    <row r="14" spans="1:12" ht="24" x14ac:dyDescent="0.2">
      <c r="A14" s="1102"/>
      <c r="B14" s="1102"/>
      <c r="C14" s="3" t="s">
        <v>7</v>
      </c>
      <c r="D14" s="3" t="s">
        <v>8</v>
      </c>
      <c r="E14" s="3" t="s">
        <v>7</v>
      </c>
      <c r="F14" s="3" t="s">
        <v>8</v>
      </c>
      <c r="G14" s="3" t="s">
        <v>7</v>
      </c>
      <c r="H14" s="3" t="s">
        <v>8</v>
      </c>
      <c r="I14" s="1045"/>
      <c r="J14" s="3" t="s">
        <v>7</v>
      </c>
      <c r="K14" s="3" t="s">
        <v>8</v>
      </c>
    </row>
    <row r="15" spans="1:12" x14ac:dyDescent="0.2">
      <c r="A15" s="1313" t="s">
        <v>300</v>
      </c>
      <c r="B15" s="1313"/>
      <c r="C15" s="377">
        <f>C16+C29+C46+C55+C60</f>
        <v>56710</v>
      </c>
      <c r="D15" s="377">
        <f t="shared" ref="D15:K15" si="0">D16+D29+D46+D55+D60</f>
        <v>7228</v>
      </c>
      <c r="E15" s="377">
        <f>E16+E29+E46+E55+E60</f>
        <v>48796</v>
      </c>
      <c r="F15" s="377">
        <f t="shared" si="0"/>
        <v>6858</v>
      </c>
      <c r="G15" s="377">
        <f>G16+G29+G46+G55+G60</f>
        <v>77042</v>
      </c>
      <c r="H15" s="377">
        <f t="shared" si="0"/>
        <v>18164</v>
      </c>
      <c r="I15" s="377"/>
      <c r="J15" s="377">
        <f>J16+J29+J46+J55+J60</f>
        <v>59678</v>
      </c>
      <c r="K15" s="377">
        <f t="shared" si="0"/>
        <v>18164</v>
      </c>
    </row>
    <row r="16" spans="1:12" x14ac:dyDescent="0.2">
      <c r="A16" s="647">
        <v>1</v>
      </c>
      <c r="B16" s="641" t="s">
        <v>9</v>
      </c>
      <c r="C16" s="422">
        <f t="shared" ref="C16:H16" si="1">C17+C24+C27+C28</f>
        <v>5759</v>
      </c>
      <c r="D16" s="422">
        <f t="shared" si="1"/>
        <v>1097</v>
      </c>
      <c r="E16" s="422">
        <f t="shared" si="1"/>
        <v>5254</v>
      </c>
      <c r="F16" s="422">
        <f t="shared" si="1"/>
        <v>1097</v>
      </c>
      <c r="G16" s="422">
        <f t="shared" si="1"/>
        <v>6292</v>
      </c>
      <c r="H16" s="422">
        <f t="shared" si="1"/>
        <v>1397</v>
      </c>
      <c r="I16" s="422"/>
      <c r="J16" s="642">
        <f>J17+J24+J27+J28</f>
        <v>5636</v>
      </c>
      <c r="K16" s="422">
        <f t="shared" ref="K16" si="2">K17+K24+K27+K28</f>
        <v>1397</v>
      </c>
    </row>
    <row r="17" spans="1:11" x14ac:dyDescent="0.2">
      <c r="A17" s="1303">
        <v>1.1000000000000001</v>
      </c>
      <c r="B17" s="1311" t="s">
        <v>10</v>
      </c>
      <c r="C17" s="422">
        <f>SUM(C18:C23)</f>
        <v>2846</v>
      </c>
      <c r="D17" s="422">
        <f t="shared" ref="D17:K17" si="3">SUM(D18:D23)</f>
        <v>0</v>
      </c>
      <c r="E17" s="422">
        <f t="shared" si="3"/>
        <v>2618</v>
      </c>
      <c r="F17" s="422">
        <f t="shared" si="3"/>
        <v>0</v>
      </c>
      <c r="G17" s="422">
        <f t="shared" si="3"/>
        <v>2622</v>
      </c>
      <c r="H17" s="422">
        <f t="shared" si="3"/>
        <v>0</v>
      </c>
      <c r="I17" s="422"/>
      <c r="J17" s="642">
        <f>SUM(J18:J23)</f>
        <v>2366</v>
      </c>
      <c r="K17" s="422">
        <f t="shared" si="3"/>
        <v>0</v>
      </c>
    </row>
    <row r="18" spans="1:11" ht="12.75" customHeight="1" x14ac:dyDescent="0.2">
      <c r="A18" s="1303"/>
      <c r="B18" s="1311"/>
      <c r="C18" s="33">
        <v>356</v>
      </c>
      <c r="D18" s="33"/>
      <c r="E18" s="33">
        <v>356</v>
      </c>
      <c r="F18" s="33"/>
      <c r="G18" s="33">
        <v>356</v>
      </c>
      <c r="H18" s="33"/>
      <c r="I18" s="422">
        <v>2370</v>
      </c>
      <c r="J18" s="643">
        <v>100</v>
      </c>
      <c r="K18" s="644"/>
    </row>
    <row r="19" spans="1:11" ht="12.75" customHeight="1" x14ac:dyDescent="0.2">
      <c r="A19" s="1303"/>
      <c r="B19" s="1311"/>
      <c r="C19" s="33">
        <v>1302</v>
      </c>
      <c r="D19" s="33"/>
      <c r="E19" s="33">
        <v>1155</v>
      </c>
      <c r="F19" s="33"/>
      <c r="G19" s="33">
        <v>1155</v>
      </c>
      <c r="H19" s="33"/>
      <c r="I19" s="422">
        <v>2314</v>
      </c>
      <c r="J19" s="643">
        <v>1155</v>
      </c>
      <c r="K19" s="644"/>
    </row>
    <row r="20" spans="1:11" ht="12.75" customHeight="1" x14ac:dyDescent="0.2">
      <c r="A20" s="1303"/>
      <c r="B20" s="1311"/>
      <c r="C20" s="33">
        <v>406</v>
      </c>
      <c r="D20" s="33"/>
      <c r="E20" s="33">
        <v>406</v>
      </c>
      <c r="F20" s="33"/>
      <c r="G20" s="33">
        <v>406</v>
      </c>
      <c r="H20" s="33"/>
      <c r="I20" s="422">
        <v>2261</v>
      </c>
      <c r="J20" s="643">
        <v>406</v>
      </c>
      <c r="K20" s="644"/>
    </row>
    <row r="21" spans="1:11" ht="12.75" customHeight="1" x14ac:dyDescent="0.2">
      <c r="A21" s="1303"/>
      <c r="B21" s="1311"/>
      <c r="C21" s="33">
        <v>100</v>
      </c>
      <c r="D21" s="33"/>
      <c r="E21" s="33">
        <v>100</v>
      </c>
      <c r="F21" s="33"/>
      <c r="G21" s="33">
        <v>100</v>
      </c>
      <c r="H21" s="33"/>
      <c r="I21" s="422">
        <v>2341</v>
      </c>
      <c r="J21" s="643">
        <v>100</v>
      </c>
      <c r="K21" s="644"/>
    </row>
    <row r="22" spans="1:11" ht="12.75" customHeight="1" x14ac:dyDescent="0.2">
      <c r="A22" s="1303"/>
      <c r="B22" s="1311"/>
      <c r="C22" s="33">
        <v>654</v>
      </c>
      <c r="D22" s="33"/>
      <c r="E22" s="33">
        <v>585</v>
      </c>
      <c r="F22" s="33"/>
      <c r="G22" s="33">
        <v>585</v>
      </c>
      <c r="H22" s="33"/>
      <c r="I22" s="422">
        <v>2239</v>
      </c>
      <c r="J22" s="643">
        <v>585</v>
      </c>
      <c r="K22" s="644"/>
    </row>
    <row r="23" spans="1:11" ht="12.75" customHeight="1" x14ac:dyDescent="0.2">
      <c r="A23" s="1303"/>
      <c r="B23" s="1311"/>
      <c r="C23" s="33">
        <v>28</v>
      </c>
      <c r="D23" s="33"/>
      <c r="E23" s="33">
        <v>16</v>
      </c>
      <c r="F23" s="33"/>
      <c r="G23" s="33">
        <v>20</v>
      </c>
      <c r="H23" s="33"/>
      <c r="I23" s="422">
        <v>2214</v>
      </c>
      <c r="J23" s="643">
        <v>20</v>
      </c>
      <c r="K23" s="644"/>
    </row>
    <row r="24" spans="1:11" x14ac:dyDescent="0.2">
      <c r="A24" s="1303">
        <v>1.2</v>
      </c>
      <c r="B24" s="1311" t="s">
        <v>12</v>
      </c>
      <c r="C24" s="422">
        <f>SUM(C25:C26)</f>
        <v>1642</v>
      </c>
      <c r="D24" s="422">
        <f t="shared" ref="D24:K24" si="4">SUM(D25:D26)</f>
        <v>700</v>
      </c>
      <c r="E24" s="422">
        <f t="shared" si="4"/>
        <v>1365</v>
      </c>
      <c r="F24" s="422">
        <f t="shared" si="4"/>
        <v>700</v>
      </c>
      <c r="G24" s="422">
        <f t="shared" si="4"/>
        <v>1642</v>
      </c>
      <c r="H24" s="422">
        <f t="shared" si="4"/>
        <v>1000</v>
      </c>
      <c r="I24" s="422"/>
      <c r="J24" s="642">
        <f>SUM(J25:J26)</f>
        <v>1642</v>
      </c>
      <c r="K24" s="422">
        <f t="shared" si="4"/>
        <v>1000</v>
      </c>
    </row>
    <row r="25" spans="1:11" ht="12.75" customHeight="1" x14ac:dyDescent="0.2">
      <c r="A25" s="1303"/>
      <c r="B25" s="1311"/>
      <c r="C25" s="33">
        <v>1215</v>
      </c>
      <c r="D25" s="33">
        <v>700</v>
      </c>
      <c r="E25" s="33">
        <v>1215</v>
      </c>
      <c r="F25" s="33">
        <v>700</v>
      </c>
      <c r="G25" s="33">
        <v>1492</v>
      </c>
      <c r="H25" s="33">
        <v>700</v>
      </c>
      <c r="I25" s="422">
        <v>2262</v>
      </c>
      <c r="J25" s="643">
        <v>1492</v>
      </c>
      <c r="K25" s="644">
        <v>700</v>
      </c>
    </row>
    <row r="26" spans="1:11" ht="12.75" customHeight="1" x14ac:dyDescent="0.2">
      <c r="A26" s="1303"/>
      <c r="B26" s="1311"/>
      <c r="C26" s="33">
        <v>427</v>
      </c>
      <c r="D26" s="33"/>
      <c r="E26" s="33">
        <v>150</v>
      </c>
      <c r="F26" s="33"/>
      <c r="G26" s="33">
        <v>150</v>
      </c>
      <c r="H26" s="33">
        <v>300</v>
      </c>
      <c r="I26" s="422">
        <v>2279</v>
      </c>
      <c r="J26" s="643">
        <v>150</v>
      </c>
      <c r="K26" s="644">
        <v>300</v>
      </c>
    </row>
    <row r="27" spans="1:11" s="5" customFormat="1" ht="12.75" customHeight="1" x14ac:dyDescent="0.2">
      <c r="A27" s="645">
        <v>1.3</v>
      </c>
      <c r="B27" s="646" t="s">
        <v>14</v>
      </c>
      <c r="C27" s="647">
        <v>266</v>
      </c>
      <c r="D27" s="647"/>
      <c r="E27" s="647">
        <v>266</v>
      </c>
      <c r="F27" s="647"/>
      <c r="G27" s="647">
        <v>266</v>
      </c>
      <c r="H27" s="647"/>
      <c r="I27" s="647">
        <v>2262</v>
      </c>
      <c r="J27" s="642">
        <v>266</v>
      </c>
      <c r="K27" s="648"/>
    </row>
    <row r="28" spans="1:11" s="5" customFormat="1" x14ac:dyDescent="0.2">
      <c r="A28" s="645">
        <v>1.4</v>
      </c>
      <c r="B28" s="649" t="s">
        <v>15</v>
      </c>
      <c r="C28" s="422">
        <v>1005</v>
      </c>
      <c r="D28" s="422">
        <v>397</v>
      </c>
      <c r="E28" s="422">
        <v>1005</v>
      </c>
      <c r="F28" s="422">
        <v>397</v>
      </c>
      <c r="G28" s="422">
        <v>1762</v>
      </c>
      <c r="H28" s="422">
        <v>397</v>
      </c>
      <c r="I28" s="422">
        <v>2361</v>
      </c>
      <c r="J28" s="642">
        <v>1362</v>
      </c>
      <c r="K28" s="642">
        <v>397</v>
      </c>
    </row>
    <row r="29" spans="1:11" s="5" customFormat="1" x14ac:dyDescent="0.2">
      <c r="A29" s="647">
        <v>2</v>
      </c>
      <c r="B29" s="641" t="s">
        <v>16</v>
      </c>
      <c r="C29" s="422">
        <f>C30+C34+C38+C42+C45</f>
        <v>19398</v>
      </c>
      <c r="D29" s="422">
        <f t="shared" ref="D29:K29" si="5">D30+D34+D38+D42+D45</f>
        <v>3105</v>
      </c>
      <c r="E29" s="422">
        <f t="shared" si="5"/>
        <v>19398</v>
      </c>
      <c r="F29" s="422">
        <f t="shared" si="5"/>
        <v>2961</v>
      </c>
      <c r="G29" s="422">
        <f t="shared" si="5"/>
        <v>26480</v>
      </c>
      <c r="H29" s="422">
        <f t="shared" si="5"/>
        <v>10741</v>
      </c>
      <c r="I29" s="422"/>
      <c r="J29" s="642">
        <f>J30+J34+J38+J42+J45</f>
        <v>16303</v>
      </c>
      <c r="K29" s="422">
        <f t="shared" si="5"/>
        <v>13741</v>
      </c>
    </row>
    <row r="30" spans="1:11" s="5" customFormat="1" x14ac:dyDescent="0.2">
      <c r="A30" s="1303">
        <v>2.1</v>
      </c>
      <c r="B30" s="1311" t="s">
        <v>17</v>
      </c>
      <c r="C30" s="422">
        <f>SUM(C31:C33)</f>
        <v>2078</v>
      </c>
      <c r="D30" s="422">
        <f t="shared" ref="D30:K30" si="6">SUM(D31:D33)</f>
        <v>569</v>
      </c>
      <c r="E30" s="422">
        <f t="shared" si="6"/>
        <v>2078</v>
      </c>
      <c r="F30" s="422">
        <f t="shared" si="6"/>
        <v>569</v>
      </c>
      <c r="G30" s="422">
        <f>SUM(G31:G33)</f>
        <v>2897</v>
      </c>
      <c r="H30" s="422">
        <f t="shared" si="6"/>
        <v>1872</v>
      </c>
      <c r="I30" s="422"/>
      <c r="J30" s="642">
        <f>SUM(J31:J33)</f>
        <v>2897</v>
      </c>
      <c r="K30" s="422">
        <f t="shared" si="6"/>
        <v>1872</v>
      </c>
    </row>
    <row r="31" spans="1:11" s="5" customFormat="1" ht="12.75" customHeight="1" x14ac:dyDescent="0.2">
      <c r="A31" s="1303"/>
      <c r="B31" s="1311"/>
      <c r="C31" s="33">
        <v>775</v>
      </c>
      <c r="D31" s="33">
        <v>569</v>
      </c>
      <c r="E31" s="33">
        <v>775</v>
      </c>
      <c r="F31" s="33">
        <v>569</v>
      </c>
      <c r="G31" s="33">
        <v>775</v>
      </c>
      <c r="H31" s="33">
        <v>569</v>
      </c>
      <c r="I31" s="422">
        <v>2262</v>
      </c>
      <c r="J31" s="643">
        <v>775</v>
      </c>
      <c r="K31" s="643">
        <v>569</v>
      </c>
    </row>
    <row r="32" spans="1:11" s="5" customFormat="1" ht="12.75" customHeight="1" x14ac:dyDescent="0.2">
      <c r="A32" s="1303"/>
      <c r="B32" s="1311"/>
      <c r="C32" s="33">
        <v>1303</v>
      </c>
      <c r="D32" s="33"/>
      <c r="E32" s="33">
        <v>1303</v>
      </c>
      <c r="F32" s="33"/>
      <c r="G32" s="33">
        <v>1303</v>
      </c>
      <c r="H32" s="33">
        <v>1303</v>
      </c>
      <c r="I32" s="422">
        <v>2279</v>
      </c>
      <c r="J32" s="643">
        <v>1303</v>
      </c>
      <c r="K32" s="643">
        <v>1303</v>
      </c>
    </row>
    <row r="33" spans="1:18" s="5" customFormat="1" ht="12.75" customHeight="1" x14ac:dyDescent="0.2">
      <c r="A33" s="1303"/>
      <c r="B33" s="1311"/>
      <c r="C33" s="650"/>
      <c r="D33" s="650"/>
      <c r="E33" s="650"/>
      <c r="F33" s="650"/>
      <c r="G33" s="33">
        <v>819</v>
      </c>
      <c r="H33" s="33"/>
      <c r="I33" s="422">
        <v>2363</v>
      </c>
      <c r="J33" s="643">
        <v>819</v>
      </c>
      <c r="K33" s="643"/>
    </row>
    <row r="34" spans="1:18" s="5" customFormat="1" x14ac:dyDescent="0.2">
      <c r="A34" s="1314">
        <v>2.2000000000000002</v>
      </c>
      <c r="B34" s="1311" t="s">
        <v>18</v>
      </c>
      <c r="C34" s="422">
        <f>SUM(C35:C37)</f>
        <v>7324</v>
      </c>
      <c r="D34" s="422">
        <f t="shared" ref="D34:K34" si="7">SUM(D35:D37)</f>
        <v>2536</v>
      </c>
      <c r="E34" s="422">
        <f t="shared" si="7"/>
        <v>7324</v>
      </c>
      <c r="F34" s="422">
        <f t="shared" si="7"/>
        <v>2392</v>
      </c>
      <c r="G34" s="422">
        <f t="shared" si="7"/>
        <v>7604</v>
      </c>
      <c r="H34" s="422">
        <f t="shared" si="7"/>
        <v>2392</v>
      </c>
      <c r="I34" s="422"/>
      <c r="J34" s="642">
        <f>SUM(J35:J37)</f>
        <v>7604</v>
      </c>
      <c r="K34" s="422">
        <f t="shared" si="7"/>
        <v>2392</v>
      </c>
    </row>
    <row r="35" spans="1:18" s="5" customFormat="1" ht="12.75" customHeight="1" x14ac:dyDescent="0.2">
      <c r="A35" s="1314"/>
      <c r="B35" s="1311"/>
      <c r="C35" s="33">
        <v>4040</v>
      </c>
      <c r="D35" s="33">
        <v>1500</v>
      </c>
      <c r="E35" s="33">
        <v>4040</v>
      </c>
      <c r="F35" s="33">
        <v>1500</v>
      </c>
      <c r="G35" s="33">
        <v>4040</v>
      </c>
      <c r="H35" s="33">
        <v>1500</v>
      </c>
      <c r="I35" s="422">
        <v>2262</v>
      </c>
      <c r="J35" s="643">
        <v>4040</v>
      </c>
      <c r="K35" s="643">
        <v>1500</v>
      </c>
    </row>
    <row r="36" spans="1:18" s="5" customFormat="1" ht="12.75" customHeight="1" x14ac:dyDescent="0.2">
      <c r="A36" s="1314"/>
      <c r="B36" s="1311"/>
      <c r="C36" s="33">
        <v>3284</v>
      </c>
      <c r="D36" s="33">
        <v>1036</v>
      </c>
      <c r="E36" s="33">
        <v>3284</v>
      </c>
      <c r="F36" s="33">
        <v>892</v>
      </c>
      <c r="G36" s="33">
        <v>3284</v>
      </c>
      <c r="H36" s="33">
        <v>892</v>
      </c>
      <c r="I36" s="422">
        <v>2279</v>
      </c>
      <c r="J36" s="643">
        <v>3284</v>
      </c>
      <c r="K36" s="643">
        <v>892</v>
      </c>
    </row>
    <row r="37" spans="1:18" s="5" customFormat="1" ht="12.75" customHeight="1" x14ac:dyDescent="0.2">
      <c r="A37" s="1314"/>
      <c r="B37" s="1311"/>
      <c r="C37" s="650"/>
      <c r="D37" s="650"/>
      <c r="E37" s="650"/>
      <c r="F37" s="650"/>
      <c r="G37" s="33">
        <v>280</v>
      </c>
      <c r="H37" s="33"/>
      <c r="I37" s="422">
        <v>2363</v>
      </c>
      <c r="J37" s="643">
        <v>280</v>
      </c>
      <c r="K37" s="643"/>
    </row>
    <row r="38" spans="1:18" s="5" customFormat="1" x14ac:dyDescent="0.2">
      <c r="A38" s="1303">
        <v>2.2999999999999998</v>
      </c>
      <c r="B38" s="1311" t="s">
        <v>19</v>
      </c>
      <c r="C38" s="422">
        <f>SUM(C39:C41)</f>
        <v>364</v>
      </c>
      <c r="D38" s="422">
        <f t="shared" ref="D38:K38" si="8">SUM(D39:D41)</f>
        <v>0</v>
      </c>
      <c r="E38" s="422">
        <f t="shared" si="8"/>
        <v>364</v>
      </c>
      <c r="F38" s="422">
        <f t="shared" si="8"/>
        <v>0</v>
      </c>
      <c r="G38" s="422">
        <f t="shared" si="8"/>
        <v>756</v>
      </c>
      <c r="H38" s="422">
        <f t="shared" si="8"/>
        <v>1300</v>
      </c>
      <c r="I38" s="422"/>
      <c r="J38" s="642">
        <f>SUM(J39:J41)</f>
        <v>756</v>
      </c>
      <c r="K38" s="422">
        <f t="shared" si="8"/>
        <v>1300</v>
      </c>
    </row>
    <row r="39" spans="1:18" s="5" customFormat="1" ht="12.75" customHeight="1" x14ac:dyDescent="0.2">
      <c r="A39" s="1303"/>
      <c r="B39" s="1311"/>
      <c r="C39" s="33"/>
      <c r="D39" s="33"/>
      <c r="E39" s="33"/>
      <c r="F39" s="33"/>
      <c r="G39" s="33"/>
      <c r="H39" s="33">
        <v>1000</v>
      </c>
      <c r="I39" s="422">
        <v>2262</v>
      </c>
      <c r="J39" s="643"/>
      <c r="K39" s="643">
        <v>1000</v>
      </c>
    </row>
    <row r="40" spans="1:18" s="5" customFormat="1" ht="12.75" customHeight="1" x14ac:dyDescent="0.2">
      <c r="A40" s="1303"/>
      <c r="B40" s="1311"/>
      <c r="C40" s="33">
        <v>364</v>
      </c>
      <c r="D40" s="33"/>
      <c r="E40" s="33">
        <v>364</v>
      </c>
      <c r="F40" s="33"/>
      <c r="G40" s="33">
        <v>364</v>
      </c>
      <c r="H40" s="33">
        <v>300</v>
      </c>
      <c r="I40" s="422">
        <v>2279</v>
      </c>
      <c r="J40" s="643">
        <v>364</v>
      </c>
      <c r="K40" s="643">
        <v>300</v>
      </c>
    </row>
    <row r="41" spans="1:18" s="5" customFormat="1" ht="12.75" customHeight="1" x14ac:dyDescent="0.2">
      <c r="A41" s="1303"/>
      <c r="B41" s="1311"/>
      <c r="C41" s="650"/>
      <c r="D41" s="650"/>
      <c r="E41" s="650"/>
      <c r="F41" s="650"/>
      <c r="G41" s="33">
        <v>392</v>
      </c>
      <c r="H41" s="33"/>
      <c r="I41" s="422">
        <v>2363</v>
      </c>
      <c r="J41" s="643">
        <v>392</v>
      </c>
      <c r="K41" s="643"/>
    </row>
    <row r="42" spans="1:18" s="5" customFormat="1" x14ac:dyDescent="0.2">
      <c r="A42" s="1303">
        <v>2.4</v>
      </c>
      <c r="B42" s="1311" t="s">
        <v>20</v>
      </c>
      <c r="C42" s="422">
        <f>SUM(C43:C44)</f>
        <v>2177</v>
      </c>
      <c r="D42" s="422">
        <f t="shared" ref="D42:K42" si="9">SUM(D43:D44)</f>
        <v>0</v>
      </c>
      <c r="E42" s="422">
        <f t="shared" si="9"/>
        <v>2177</v>
      </c>
      <c r="F42" s="422">
        <f t="shared" si="9"/>
        <v>0</v>
      </c>
      <c r="G42" s="422">
        <f t="shared" si="9"/>
        <v>2177</v>
      </c>
      <c r="H42" s="422">
        <f t="shared" si="9"/>
        <v>2177</v>
      </c>
      <c r="I42" s="422"/>
      <c r="J42" s="642">
        <f>SUM(J43:J44)</f>
        <v>0</v>
      </c>
      <c r="K42" s="422">
        <f t="shared" si="9"/>
        <v>2177</v>
      </c>
    </row>
    <row r="43" spans="1:18" s="5" customFormat="1" ht="12.75" customHeight="1" x14ac:dyDescent="0.2">
      <c r="A43" s="1303"/>
      <c r="B43" s="1311"/>
      <c r="C43" s="33">
        <v>1295</v>
      </c>
      <c r="D43" s="33"/>
      <c r="E43" s="33">
        <v>1295</v>
      </c>
      <c r="F43" s="33"/>
      <c r="G43" s="33">
        <v>1295</v>
      </c>
      <c r="H43" s="33">
        <v>1295</v>
      </c>
      <c r="I43" s="422">
        <v>2262</v>
      </c>
      <c r="J43" s="643">
        <v>0</v>
      </c>
      <c r="K43" s="643">
        <v>1295</v>
      </c>
    </row>
    <row r="44" spans="1:18" s="5" customFormat="1" ht="12.75" customHeight="1" x14ac:dyDescent="0.2">
      <c r="A44" s="1303"/>
      <c r="B44" s="1311"/>
      <c r="C44" s="33">
        <v>882</v>
      </c>
      <c r="D44" s="33"/>
      <c r="E44" s="33">
        <v>882</v>
      </c>
      <c r="F44" s="33"/>
      <c r="G44" s="33">
        <v>882</v>
      </c>
      <c r="H44" s="33">
        <v>882</v>
      </c>
      <c r="I44" s="422">
        <v>2279</v>
      </c>
      <c r="J44" s="643">
        <v>0</v>
      </c>
      <c r="K44" s="643">
        <v>882</v>
      </c>
    </row>
    <row r="45" spans="1:18" s="5" customFormat="1" x14ac:dyDescent="0.2">
      <c r="A45" s="645">
        <v>2.5</v>
      </c>
      <c r="B45" s="651" t="s">
        <v>15</v>
      </c>
      <c r="C45" s="422">
        <v>7455</v>
      </c>
      <c r="D45" s="422"/>
      <c r="E45" s="422">
        <v>7455</v>
      </c>
      <c r="F45" s="422"/>
      <c r="G45" s="422">
        <v>13046</v>
      </c>
      <c r="H45" s="422">
        <v>3000</v>
      </c>
      <c r="I45" s="422">
        <v>2361</v>
      </c>
      <c r="J45" s="642">
        <v>5046</v>
      </c>
      <c r="K45" s="642">
        <v>6000</v>
      </c>
    </row>
    <row r="46" spans="1:18" s="5" customFormat="1" x14ac:dyDescent="0.2">
      <c r="A46" s="647">
        <v>3</v>
      </c>
      <c r="B46" s="641" t="s">
        <v>21</v>
      </c>
      <c r="C46" s="422">
        <f>C47+C51+C54</f>
        <v>9242</v>
      </c>
      <c r="D46" s="422">
        <f t="shared" ref="D46:K46" si="10">D47+D51+D54</f>
        <v>3026</v>
      </c>
      <c r="E46" s="422">
        <f t="shared" si="10"/>
        <v>9242</v>
      </c>
      <c r="F46" s="422">
        <f t="shared" si="10"/>
        <v>2800</v>
      </c>
      <c r="G46" s="422">
        <f t="shared" si="10"/>
        <v>13123</v>
      </c>
      <c r="H46" s="422">
        <f t="shared" si="10"/>
        <v>6026</v>
      </c>
      <c r="I46" s="422"/>
      <c r="J46" s="422">
        <f>J47+J51+J54</f>
        <v>11123</v>
      </c>
      <c r="K46" s="422">
        <f t="shared" si="10"/>
        <v>3026</v>
      </c>
      <c r="L46" s="6"/>
      <c r="M46" s="7"/>
      <c r="N46" s="7"/>
      <c r="O46" s="7"/>
      <c r="P46" s="7"/>
      <c r="Q46" s="8"/>
      <c r="R46" s="8"/>
    </row>
    <row r="47" spans="1:18" s="5" customFormat="1" x14ac:dyDescent="0.2">
      <c r="A47" s="1303">
        <v>3.1</v>
      </c>
      <c r="B47" s="1311" t="s">
        <v>22</v>
      </c>
      <c r="C47" s="422">
        <f>SUM(C48:C50)</f>
        <v>3980</v>
      </c>
      <c r="D47" s="422">
        <f t="shared" ref="D47:K47" si="11">SUM(D48:D50)</f>
        <v>0</v>
      </c>
      <c r="E47" s="422">
        <f t="shared" si="11"/>
        <v>3980</v>
      </c>
      <c r="F47" s="422">
        <f t="shared" si="11"/>
        <v>0</v>
      </c>
      <c r="G47" s="422">
        <f t="shared" si="11"/>
        <v>4845</v>
      </c>
      <c r="H47" s="422">
        <f t="shared" si="11"/>
        <v>3000</v>
      </c>
      <c r="I47" s="422"/>
      <c r="J47" s="422">
        <f t="shared" si="11"/>
        <v>4845</v>
      </c>
      <c r="K47" s="422">
        <f t="shared" si="11"/>
        <v>0</v>
      </c>
      <c r="L47" s="6"/>
      <c r="M47" s="7"/>
      <c r="N47" s="7"/>
      <c r="O47" s="7"/>
      <c r="P47" s="7"/>
      <c r="Q47" s="8"/>
      <c r="R47" s="8"/>
    </row>
    <row r="48" spans="1:18" s="5" customFormat="1" ht="12.75" customHeight="1" x14ac:dyDescent="0.2">
      <c r="A48" s="1303"/>
      <c r="B48" s="1311"/>
      <c r="C48" s="33">
        <v>3404</v>
      </c>
      <c r="D48" s="33"/>
      <c r="E48" s="33">
        <v>3404</v>
      </c>
      <c r="F48" s="33"/>
      <c r="G48" s="33">
        <v>3404</v>
      </c>
      <c r="H48" s="33">
        <v>1500</v>
      </c>
      <c r="I48" s="422">
        <v>2262</v>
      </c>
      <c r="J48" s="33">
        <v>3404</v>
      </c>
      <c r="K48" s="33">
        <v>0</v>
      </c>
      <c r="L48" s="6"/>
      <c r="M48" s="7"/>
      <c r="N48" s="7"/>
      <c r="O48" s="7"/>
      <c r="P48" s="7"/>
      <c r="Q48" s="8"/>
      <c r="R48" s="8"/>
    </row>
    <row r="49" spans="1:18" s="5" customFormat="1" ht="12.75" customHeight="1" x14ac:dyDescent="0.2">
      <c r="A49" s="1303"/>
      <c r="B49" s="1311"/>
      <c r="C49" s="33">
        <v>576</v>
      </c>
      <c r="D49" s="33"/>
      <c r="E49" s="33">
        <v>576</v>
      </c>
      <c r="F49" s="33"/>
      <c r="G49" s="33">
        <v>576</v>
      </c>
      <c r="H49" s="33">
        <v>1500</v>
      </c>
      <c r="I49" s="422">
        <v>2279</v>
      </c>
      <c r="J49" s="33">
        <v>576</v>
      </c>
      <c r="K49" s="33">
        <v>0</v>
      </c>
      <c r="L49" s="6"/>
      <c r="M49" s="7"/>
      <c r="N49" s="7"/>
      <c r="O49" s="7"/>
      <c r="P49" s="7"/>
      <c r="Q49" s="8"/>
      <c r="R49" s="8"/>
    </row>
    <row r="50" spans="1:18" s="5" customFormat="1" ht="12.75" customHeight="1" x14ac:dyDescent="0.2">
      <c r="A50" s="1303"/>
      <c r="B50" s="1311"/>
      <c r="C50" s="650"/>
      <c r="D50" s="650"/>
      <c r="E50" s="650"/>
      <c r="F50" s="650"/>
      <c r="G50" s="33">
        <v>865</v>
      </c>
      <c r="H50" s="33"/>
      <c r="I50" s="422">
        <v>2363</v>
      </c>
      <c r="J50" s="33">
        <v>865</v>
      </c>
      <c r="K50" s="33"/>
      <c r="L50" s="6"/>
      <c r="M50" s="7"/>
      <c r="N50" s="7"/>
      <c r="O50" s="7"/>
      <c r="P50" s="7"/>
      <c r="Q50" s="8"/>
      <c r="R50" s="8"/>
    </row>
    <row r="51" spans="1:18" s="5" customFormat="1" x14ac:dyDescent="0.2">
      <c r="A51" s="1303">
        <v>3.2</v>
      </c>
      <c r="B51" s="1311" t="s">
        <v>23</v>
      </c>
      <c r="C51" s="422">
        <f>SUM(C52:C53)</f>
        <v>1241</v>
      </c>
      <c r="D51" s="422">
        <f t="shared" ref="D51:K51" si="12">SUM(D52:D53)</f>
        <v>2000</v>
      </c>
      <c r="E51" s="422">
        <f t="shared" si="12"/>
        <v>1241</v>
      </c>
      <c r="F51" s="422">
        <f t="shared" si="12"/>
        <v>2000</v>
      </c>
      <c r="G51" s="422">
        <f t="shared" si="12"/>
        <v>1241</v>
      </c>
      <c r="H51" s="422">
        <f t="shared" si="12"/>
        <v>2000</v>
      </c>
      <c r="I51" s="422"/>
      <c r="J51" s="422">
        <f t="shared" si="12"/>
        <v>1241</v>
      </c>
      <c r="K51" s="422">
        <f t="shared" si="12"/>
        <v>2000</v>
      </c>
      <c r="L51" s="6"/>
      <c r="M51" s="7"/>
      <c r="N51" s="7"/>
      <c r="O51" s="7"/>
      <c r="P51" s="7"/>
      <c r="Q51" s="8"/>
      <c r="R51" s="8"/>
    </row>
    <row r="52" spans="1:18" s="5" customFormat="1" ht="12.75" customHeight="1" x14ac:dyDescent="0.2">
      <c r="A52" s="1303"/>
      <c r="B52" s="1311"/>
      <c r="C52" s="33">
        <v>783</v>
      </c>
      <c r="D52" s="33">
        <v>1500</v>
      </c>
      <c r="E52" s="33">
        <v>783</v>
      </c>
      <c r="F52" s="33">
        <v>1500</v>
      </c>
      <c r="G52" s="33">
        <v>783</v>
      </c>
      <c r="H52" s="33">
        <v>1500</v>
      </c>
      <c r="I52" s="422">
        <v>2262</v>
      </c>
      <c r="J52" s="33">
        <v>783</v>
      </c>
      <c r="K52" s="33">
        <v>1500</v>
      </c>
      <c r="L52" s="6"/>
      <c r="M52" s="7"/>
      <c r="N52" s="7"/>
      <c r="O52" s="7"/>
      <c r="P52" s="7"/>
      <c r="Q52" s="8"/>
      <c r="R52" s="8"/>
    </row>
    <row r="53" spans="1:18" s="5" customFormat="1" ht="12.75" customHeight="1" x14ac:dyDescent="0.2">
      <c r="A53" s="1303"/>
      <c r="B53" s="1311"/>
      <c r="C53" s="33">
        <v>458</v>
      </c>
      <c r="D53" s="33">
        <v>500</v>
      </c>
      <c r="E53" s="33">
        <v>458</v>
      </c>
      <c r="F53" s="33">
        <v>500</v>
      </c>
      <c r="G53" s="33">
        <v>458</v>
      </c>
      <c r="H53" s="33">
        <v>500</v>
      </c>
      <c r="I53" s="422">
        <v>2279</v>
      </c>
      <c r="J53" s="33">
        <v>458</v>
      </c>
      <c r="K53" s="33">
        <v>500</v>
      </c>
      <c r="L53" s="6"/>
      <c r="M53" s="7"/>
      <c r="N53" s="7"/>
      <c r="O53" s="7"/>
      <c r="P53" s="7"/>
      <c r="Q53" s="8"/>
      <c r="R53" s="8"/>
    </row>
    <row r="54" spans="1:18" s="5" customFormat="1" x14ac:dyDescent="0.2">
      <c r="A54" s="645">
        <v>3.3</v>
      </c>
      <c r="B54" s="651" t="s">
        <v>15</v>
      </c>
      <c r="C54" s="422">
        <v>4021</v>
      </c>
      <c r="D54" s="422">
        <v>1026</v>
      </c>
      <c r="E54" s="422">
        <v>4021</v>
      </c>
      <c r="F54" s="422">
        <v>800</v>
      </c>
      <c r="G54" s="422">
        <v>7037</v>
      </c>
      <c r="H54" s="422">
        <v>1026</v>
      </c>
      <c r="I54" s="422">
        <v>2361</v>
      </c>
      <c r="J54" s="422">
        <v>5037</v>
      </c>
      <c r="K54" s="422">
        <v>1026</v>
      </c>
      <c r="L54" s="6"/>
      <c r="M54" s="7"/>
      <c r="N54" s="7"/>
      <c r="O54" s="7"/>
      <c r="P54" s="7"/>
      <c r="Q54" s="8"/>
      <c r="R54" s="8"/>
    </row>
    <row r="55" spans="1:18" s="5" customFormat="1" x14ac:dyDescent="0.2">
      <c r="A55" s="647">
        <v>4</v>
      </c>
      <c r="B55" s="641" t="s">
        <v>972</v>
      </c>
      <c r="C55" s="422">
        <f>C56</f>
        <v>0</v>
      </c>
      <c r="D55" s="422">
        <f t="shared" ref="D55:K55" si="13">D56</f>
        <v>0</v>
      </c>
      <c r="E55" s="422">
        <f t="shared" si="13"/>
        <v>0</v>
      </c>
      <c r="F55" s="422">
        <f t="shared" si="13"/>
        <v>0</v>
      </c>
      <c r="G55" s="422">
        <f t="shared" si="13"/>
        <v>8836</v>
      </c>
      <c r="H55" s="422">
        <f t="shared" si="13"/>
        <v>0</v>
      </c>
      <c r="I55" s="422"/>
      <c r="J55" s="422">
        <f>J56</f>
        <v>8836</v>
      </c>
      <c r="K55" s="422">
        <f t="shared" si="13"/>
        <v>0</v>
      </c>
      <c r="L55" s="6"/>
      <c r="M55" s="7"/>
      <c r="N55" s="7"/>
      <c r="O55" s="7"/>
      <c r="P55" s="7"/>
      <c r="Q55" s="8"/>
      <c r="R55" s="8"/>
    </row>
    <row r="56" spans="1:18" s="5" customFormat="1" x14ac:dyDescent="0.2">
      <c r="A56" s="1303" t="s">
        <v>42</v>
      </c>
      <c r="B56" s="1304" t="s">
        <v>973</v>
      </c>
      <c r="C56" s="33"/>
      <c r="D56" s="33"/>
      <c r="E56" s="33"/>
      <c r="F56" s="33"/>
      <c r="G56" s="422">
        <f>6270+2566</f>
        <v>8836</v>
      </c>
      <c r="H56" s="422"/>
      <c r="I56" s="422"/>
      <c r="J56" s="422">
        <f>SUM(J57:J59)</f>
        <v>8836</v>
      </c>
      <c r="K56" s="33"/>
      <c r="L56" s="6"/>
      <c r="M56" s="7"/>
      <c r="N56" s="7"/>
      <c r="O56" s="7"/>
      <c r="P56" s="7"/>
      <c r="Q56" s="8"/>
      <c r="R56" s="8"/>
    </row>
    <row r="57" spans="1:18" s="5" customFormat="1" ht="15" customHeight="1" x14ac:dyDescent="0.2">
      <c r="A57" s="1303"/>
      <c r="B57" s="1304"/>
      <c r="C57" s="33"/>
      <c r="D57" s="33"/>
      <c r="E57" s="33"/>
      <c r="F57" s="33"/>
      <c r="G57" s="33"/>
      <c r="H57" s="33"/>
      <c r="I57" s="422">
        <v>2121</v>
      </c>
      <c r="J57" s="33">
        <v>346</v>
      </c>
      <c r="K57" s="33"/>
      <c r="L57" s="6"/>
      <c r="M57" s="7"/>
      <c r="N57" s="7"/>
      <c r="O57" s="7"/>
      <c r="P57" s="7"/>
      <c r="Q57" s="8"/>
      <c r="R57" s="8"/>
    </row>
    <row r="58" spans="1:18" s="5" customFormat="1" ht="15" customHeight="1" x14ac:dyDescent="0.2">
      <c r="A58" s="1303"/>
      <c r="B58" s="1304"/>
      <c r="C58" s="33"/>
      <c r="D58" s="33"/>
      <c r="E58" s="33"/>
      <c r="F58" s="33"/>
      <c r="G58" s="33"/>
      <c r="H58" s="33"/>
      <c r="I58" s="422">
        <v>2122</v>
      </c>
      <c r="J58" s="33">
        <v>2220</v>
      </c>
      <c r="K58" s="33"/>
      <c r="L58" s="6"/>
      <c r="M58" s="7"/>
      <c r="N58" s="7"/>
      <c r="O58" s="7"/>
      <c r="P58" s="7"/>
      <c r="Q58" s="8"/>
      <c r="R58" s="8"/>
    </row>
    <row r="59" spans="1:18" s="5" customFormat="1" ht="15" customHeight="1" x14ac:dyDescent="0.2">
      <c r="A59" s="1303"/>
      <c r="B59" s="1304"/>
      <c r="C59" s="33"/>
      <c r="D59" s="33"/>
      <c r="E59" s="33"/>
      <c r="F59" s="33"/>
      <c r="G59" s="33"/>
      <c r="H59" s="33"/>
      <c r="I59" s="422">
        <v>2279</v>
      </c>
      <c r="J59" s="33">
        <v>6270</v>
      </c>
      <c r="K59" s="33"/>
      <c r="L59" s="6"/>
      <c r="M59" s="7"/>
      <c r="N59" s="7"/>
      <c r="O59" s="7"/>
      <c r="P59" s="7"/>
      <c r="Q59" s="8"/>
      <c r="R59" s="8"/>
    </row>
    <row r="60" spans="1:18" s="5" customFormat="1" x14ac:dyDescent="0.2">
      <c r="A60" s="647">
        <v>5</v>
      </c>
      <c r="B60" s="641" t="s">
        <v>222</v>
      </c>
      <c r="C60" s="422">
        <f>C61</f>
        <v>22311</v>
      </c>
      <c r="D60" s="422">
        <f t="shared" ref="D60:K60" si="14">D61</f>
        <v>0</v>
      </c>
      <c r="E60" s="422">
        <f t="shared" si="14"/>
        <v>14902</v>
      </c>
      <c r="F60" s="422">
        <f t="shared" si="14"/>
        <v>0</v>
      </c>
      <c r="G60" s="422">
        <f t="shared" si="14"/>
        <v>22311</v>
      </c>
      <c r="H60" s="422">
        <f t="shared" si="14"/>
        <v>0</v>
      </c>
      <c r="I60" s="422"/>
      <c r="J60" s="422">
        <f t="shared" si="14"/>
        <v>17780</v>
      </c>
      <c r="K60" s="422">
        <f t="shared" si="14"/>
        <v>0</v>
      </c>
      <c r="L60" s="6"/>
      <c r="M60" s="7"/>
      <c r="N60" s="7"/>
      <c r="O60" s="7"/>
      <c r="P60" s="7"/>
      <c r="Q60" s="8"/>
      <c r="R60" s="8"/>
    </row>
    <row r="61" spans="1:18" s="5" customFormat="1" x14ac:dyDescent="0.2">
      <c r="A61" s="652"/>
      <c r="B61" s="652"/>
      <c r="C61" s="4">
        <v>22311</v>
      </c>
      <c r="D61" s="4"/>
      <c r="E61" s="4">
        <v>14902</v>
      </c>
      <c r="F61" s="4"/>
      <c r="G61" s="4">
        <v>22311</v>
      </c>
      <c r="H61" s="4"/>
      <c r="I61" s="422">
        <v>2275</v>
      </c>
      <c r="J61" s="4">
        <v>17780</v>
      </c>
      <c r="K61" s="653"/>
    </row>
    <row r="62" spans="1:18" x14ac:dyDescent="0.2">
      <c r="A62" s="9"/>
      <c r="B62" s="9"/>
      <c r="C62" s="9"/>
      <c r="D62" s="9"/>
      <c r="E62" s="9"/>
      <c r="F62" s="9"/>
      <c r="G62" s="9"/>
      <c r="H62" s="9"/>
      <c r="I62" s="423"/>
      <c r="J62" s="9"/>
      <c r="K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423"/>
      <c r="J63" s="9"/>
      <c r="K63" s="9"/>
    </row>
  </sheetData>
  <mergeCells count="34">
    <mergeCell ref="A24:A26"/>
    <mergeCell ref="B24:B26"/>
    <mergeCell ref="A47:A50"/>
    <mergeCell ref="B47:B50"/>
    <mergeCell ref="A51:A53"/>
    <mergeCell ref="B51:B53"/>
    <mergeCell ref="A34:A37"/>
    <mergeCell ref="B34:B37"/>
    <mergeCell ref="A38:A41"/>
    <mergeCell ref="B38:B41"/>
    <mergeCell ref="A42:A44"/>
    <mergeCell ref="B42:B44"/>
    <mergeCell ref="G13:H13"/>
    <mergeCell ref="I13:I14"/>
    <mergeCell ref="J13:K13"/>
    <mergeCell ref="A15:B15"/>
    <mergeCell ref="A17:A23"/>
    <mergeCell ref="B17:B23"/>
    <mergeCell ref="F1:K1"/>
    <mergeCell ref="A56:A59"/>
    <mergeCell ref="B56:B59"/>
    <mergeCell ref="C11:K11"/>
    <mergeCell ref="C6:K6"/>
    <mergeCell ref="C7:K7"/>
    <mergeCell ref="A8:K8"/>
    <mergeCell ref="A10:B10"/>
    <mergeCell ref="C10:K10"/>
    <mergeCell ref="A30:A33"/>
    <mergeCell ref="B30:B33"/>
    <mergeCell ref="C12:K12"/>
    <mergeCell ref="A13:A14"/>
    <mergeCell ref="B13:B14"/>
    <mergeCell ref="C13:D13"/>
    <mergeCell ref="E13:F13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81"/>
  <sheetViews>
    <sheetView zoomScaleNormal="100" zoomScalePageLayoutView="80" workbookViewId="0">
      <selection activeCell="B2" sqref="B2"/>
    </sheetView>
  </sheetViews>
  <sheetFormatPr defaultRowHeight="11.25" x14ac:dyDescent="0.2"/>
  <cols>
    <col min="1" max="1" width="5" style="463" customWidth="1"/>
    <col min="2" max="2" width="51.85546875" style="465" customWidth="1"/>
    <col min="3" max="3" width="10" style="465" hidden="1" customWidth="1"/>
    <col min="4" max="4" width="9" style="465" hidden="1" customWidth="1"/>
    <col min="5" max="6" width="9.85546875" style="465" hidden="1" customWidth="1"/>
    <col min="7" max="7" width="10" style="465" hidden="1" customWidth="1"/>
    <col min="8" max="8" width="9.28515625" style="465" hidden="1" customWidth="1"/>
    <col min="9" max="9" width="10.42578125" style="467" customWidth="1"/>
    <col min="10" max="10" width="10.7109375" style="468" customWidth="1"/>
    <col min="11" max="11" width="9.85546875" style="468" customWidth="1"/>
    <col min="12" max="16384" width="9.140625" style="465"/>
  </cols>
  <sheetData>
    <row r="1" spans="1:11" ht="16.5" x14ac:dyDescent="0.25">
      <c r="F1" s="1034" t="s">
        <v>1362</v>
      </c>
      <c r="G1" s="1034"/>
      <c r="H1" s="1034"/>
      <c r="I1" s="1034"/>
      <c r="J1" s="1034"/>
      <c r="K1" s="1034"/>
    </row>
    <row r="2" spans="1:11" ht="16.5" x14ac:dyDescent="0.25">
      <c r="F2" s="1"/>
      <c r="G2" s="950"/>
      <c r="H2" s="950"/>
      <c r="I2" s="950"/>
      <c r="J2" s="950"/>
      <c r="K2" s="951" t="s">
        <v>1184</v>
      </c>
    </row>
    <row r="3" spans="1:11" ht="16.5" x14ac:dyDescent="0.25">
      <c r="F3" s="1"/>
      <c r="G3" s="950"/>
      <c r="H3" s="950"/>
      <c r="I3" s="950"/>
      <c r="J3" s="950"/>
      <c r="K3" s="951" t="s">
        <v>1185</v>
      </c>
    </row>
    <row r="6" spans="1:11" ht="15.75" x14ac:dyDescent="0.25">
      <c r="A6" s="654" t="s">
        <v>1359</v>
      </c>
      <c r="B6" s="655"/>
      <c r="C6" s="1328"/>
      <c r="D6" s="1328"/>
      <c r="E6" s="1328"/>
      <c r="F6" s="1328"/>
      <c r="G6" s="1328"/>
      <c r="H6" s="1328"/>
      <c r="I6" s="1328"/>
      <c r="J6" s="1328"/>
      <c r="K6" s="1328"/>
    </row>
    <row r="7" spans="1:11" ht="12" x14ac:dyDescent="0.2">
      <c r="A7" s="654" t="s">
        <v>1360</v>
      </c>
      <c r="B7" s="655"/>
      <c r="C7" s="1329"/>
      <c r="D7" s="1329"/>
      <c r="E7" s="1329"/>
      <c r="F7" s="1329"/>
      <c r="G7" s="1329"/>
      <c r="H7" s="1329"/>
      <c r="I7" s="1329"/>
      <c r="J7" s="1329"/>
      <c r="K7" s="1329"/>
    </row>
    <row r="8" spans="1:11" ht="15.75" x14ac:dyDescent="0.25">
      <c r="A8" s="1330" t="s">
        <v>291</v>
      </c>
      <c r="B8" s="1330"/>
      <c r="C8" s="1330"/>
      <c r="D8" s="1330"/>
      <c r="E8" s="1330"/>
      <c r="F8" s="1330"/>
      <c r="G8" s="1330"/>
      <c r="H8" s="1330"/>
      <c r="I8" s="1330"/>
      <c r="J8" s="1330"/>
      <c r="K8" s="1330"/>
    </row>
    <row r="9" spans="1:11" ht="12" x14ac:dyDescent="0.2">
      <c r="A9" s="654" t="s">
        <v>25</v>
      </c>
      <c r="B9" s="656"/>
      <c r="C9" s="1329"/>
      <c r="D9" s="1329"/>
      <c r="E9" s="1329"/>
      <c r="F9" s="1329"/>
      <c r="G9" s="1329"/>
      <c r="H9" s="1329"/>
      <c r="I9" s="1329"/>
      <c r="J9" s="1329"/>
      <c r="K9" s="1329"/>
    </row>
    <row r="10" spans="1:11" ht="12" x14ac:dyDescent="0.2">
      <c r="A10" s="654" t="s">
        <v>1361</v>
      </c>
      <c r="B10" s="656"/>
      <c r="C10" s="1331"/>
      <c r="D10" s="1331"/>
      <c r="E10" s="1331"/>
      <c r="F10" s="1331"/>
      <c r="G10" s="1331"/>
      <c r="H10" s="1331"/>
      <c r="I10" s="1331"/>
      <c r="J10" s="1331"/>
      <c r="K10" s="1331"/>
    </row>
    <row r="11" spans="1:11" ht="12" x14ac:dyDescent="0.2">
      <c r="A11" s="654" t="s">
        <v>1245</v>
      </c>
      <c r="B11" s="656"/>
      <c r="C11" s="1332"/>
      <c r="D11" s="1332"/>
      <c r="E11" s="1332"/>
      <c r="F11" s="1332"/>
      <c r="G11" s="1332"/>
      <c r="H11" s="1332"/>
      <c r="I11" s="1332"/>
      <c r="J11" s="1332"/>
      <c r="K11" s="1332"/>
    </row>
    <row r="12" spans="1:11" ht="12" x14ac:dyDescent="0.2">
      <c r="A12" s="1326" t="s">
        <v>1</v>
      </c>
      <c r="B12" s="1326" t="s">
        <v>2</v>
      </c>
      <c r="C12" s="1321" t="s">
        <v>26</v>
      </c>
      <c r="D12" s="1321"/>
      <c r="E12" s="1321" t="s">
        <v>27</v>
      </c>
      <c r="F12" s="1321"/>
      <c r="G12" s="1321" t="s">
        <v>28</v>
      </c>
      <c r="H12" s="1321"/>
      <c r="I12" s="1324" t="s">
        <v>6</v>
      </c>
      <c r="J12" s="1321" t="s">
        <v>1190</v>
      </c>
      <c r="K12" s="1321"/>
    </row>
    <row r="13" spans="1:11" ht="33.75" x14ac:dyDescent="0.2">
      <c r="A13" s="1327"/>
      <c r="B13" s="1327"/>
      <c r="C13" s="559" t="s">
        <v>164</v>
      </c>
      <c r="D13" s="559" t="s">
        <v>362</v>
      </c>
      <c r="E13" s="559" t="s">
        <v>164</v>
      </c>
      <c r="F13" s="559" t="s">
        <v>362</v>
      </c>
      <c r="G13" s="559" t="s">
        <v>164</v>
      </c>
      <c r="H13" s="559" t="s">
        <v>362</v>
      </c>
      <c r="I13" s="1325"/>
      <c r="J13" s="934" t="s">
        <v>164</v>
      </c>
      <c r="K13" s="934" t="s">
        <v>362</v>
      </c>
    </row>
    <row r="14" spans="1:11" ht="12" x14ac:dyDescent="0.2">
      <c r="A14" s="1323" t="s">
        <v>300</v>
      </c>
      <c r="B14" s="1323"/>
      <c r="C14" s="504" t="e">
        <f t="shared" ref="C14:H14" si="0">C16+C34+C52+C66+C82+C109+C123+C140+C159+C174+C183+C210+C231+C268+C272</f>
        <v>#REF!</v>
      </c>
      <c r="D14" s="504" t="e">
        <f t="shared" si="0"/>
        <v>#REF!</v>
      </c>
      <c r="E14" s="504" t="e">
        <f t="shared" si="0"/>
        <v>#REF!</v>
      </c>
      <c r="F14" s="504" t="e">
        <f t="shared" si="0"/>
        <v>#REF!</v>
      </c>
      <c r="G14" s="504" t="e">
        <f t="shared" si="0"/>
        <v>#REF!</v>
      </c>
      <c r="H14" s="504" t="e">
        <f t="shared" si="0"/>
        <v>#REF!</v>
      </c>
      <c r="I14" s="692"/>
      <c r="J14" s="504">
        <f>J16+J34+J52+J66+J82+J109+J123+J140+J159+J174+J183+J210+J231+J268+J272</f>
        <v>198310</v>
      </c>
      <c r="K14" s="504">
        <f>K16+K34+K52+K66+K82+K109+K123+K140+K159+K174+K183+K210+K231+K268+K272</f>
        <v>12000</v>
      </c>
    </row>
    <row r="15" spans="1:11" ht="12" x14ac:dyDescent="0.2">
      <c r="A15" s="676"/>
      <c r="B15" s="657"/>
      <c r="C15" s="657"/>
      <c r="D15" s="657"/>
      <c r="E15" s="657"/>
      <c r="F15" s="657"/>
      <c r="G15" s="658"/>
      <c r="H15" s="658"/>
      <c r="I15" s="659"/>
      <c r="J15" s="660"/>
      <c r="K15" s="660"/>
    </row>
    <row r="16" spans="1:11" ht="24" x14ac:dyDescent="0.2">
      <c r="A16" s="713">
        <v>1</v>
      </c>
      <c r="B16" s="696" t="s">
        <v>1070</v>
      </c>
      <c r="C16" s="673">
        <f>C17+C24+C26+C27+C28</f>
        <v>6037</v>
      </c>
      <c r="D16" s="673">
        <f>D17+D24+D26+D27+D28</f>
        <v>0</v>
      </c>
      <c r="E16" s="673">
        <f t="shared" ref="E16:F16" si="1">E17+E24+E26+E27+E28</f>
        <v>6037</v>
      </c>
      <c r="F16" s="673">
        <f t="shared" si="1"/>
        <v>0</v>
      </c>
      <c r="G16" s="673">
        <f>G17+G24+G26+G27+G28</f>
        <v>7589</v>
      </c>
      <c r="H16" s="673">
        <f>H17+H24+H26+H27+H28</f>
        <v>0</v>
      </c>
      <c r="I16" s="706"/>
      <c r="J16" s="679">
        <f>J17+J24+J26+J27+J28</f>
        <v>6939</v>
      </c>
      <c r="K16" s="679">
        <f>K17+K24+K26+K27+K28</f>
        <v>0</v>
      </c>
    </row>
    <row r="17" spans="1:11" ht="12" x14ac:dyDescent="0.2">
      <c r="A17" s="1320">
        <v>1.1000000000000001</v>
      </c>
      <c r="B17" s="1316" t="s">
        <v>105</v>
      </c>
      <c r="C17" s="696">
        <f t="shared" ref="C17:H17" si="2">SUM(C18:C23)</f>
        <v>4699</v>
      </c>
      <c r="D17" s="696">
        <f t="shared" si="2"/>
        <v>0</v>
      </c>
      <c r="E17" s="696">
        <f t="shared" si="2"/>
        <v>4699</v>
      </c>
      <c r="F17" s="696">
        <f t="shared" si="2"/>
        <v>0</v>
      </c>
      <c r="G17" s="673">
        <f t="shared" si="2"/>
        <v>3269</v>
      </c>
      <c r="H17" s="673">
        <f t="shared" si="2"/>
        <v>0</v>
      </c>
      <c r="I17" s="706"/>
      <c r="J17" s="679">
        <f>SUM(J18:J23)</f>
        <v>3269</v>
      </c>
      <c r="K17" s="661">
        <f t="shared" ref="K17" si="3">SUM(K18:K23)</f>
        <v>0</v>
      </c>
    </row>
    <row r="18" spans="1:11" ht="12" x14ac:dyDescent="0.2">
      <c r="A18" s="1320"/>
      <c r="B18" s="1316"/>
      <c r="C18" s="657">
        <v>2308</v>
      </c>
      <c r="D18" s="657"/>
      <c r="E18" s="657">
        <v>2308</v>
      </c>
      <c r="F18" s="657"/>
      <c r="G18" s="658">
        <v>1440</v>
      </c>
      <c r="H18" s="658"/>
      <c r="I18" s="659">
        <v>2261</v>
      </c>
      <c r="J18" s="660">
        <v>1440</v>
      </c>
      <c r="K18" s="660"/>
    </row>
    <row r="19" spans="1:11" ht="12" x14ac:dyDescent="0.2">
      <c r="A19" s="1320"/>
      <c r="B19" s="1316"/>
      <c r="C19" s="657">
        <v>2134</v>
      </c>
      <c r="D19" s="657"/>
      <c r="E19" s="657">
        <v>2134</v>
      </c>
      <c r="F19" s="657"/>
      <c r="G19" s="658">
        <v>1400</v>
      </c>
      <c r="H19" s="658"/>
      <c r="I19" s="659">
        <v>2363</v>
      </c>
      <c r="J19" s="660">
        <v>1400</v>
      </c>
      <c r="K19" s="660"/>
    </row>
    <row r="20" spans="1:11" ht="12" x14ac:dyDescent="0.2">
      <c r="A20" s="1320"/>
      <c r="B20" s="1316"/>
      <c r="C20" s="657"/>
      <c r="D20" s="657"/>
      <c r="E20" s="657"/>
      <c r="F20" s="657"/>
      <c r="G20" s="658">
        <v>54</v>
      </c>
      <c r="H20" s="658"/>
      <c r="I20" s="659">
        <v>2111</v>
      </c>
      <c r="J20" s="660">
        <v>54</v>
      </c>
      <c r="K20" s="660"/>
    </row>
    <row r="21" spans="1:11" ht="12" x14ac:dyDescent="0.2">
      <c r="A21" s="1320"/>
      <c r="B21" s="1316"/>
      <c r="C21" s="657">
        <v>128</v>
      </c>
      <c r="D21" s="657"/>
      <c r="E21" s="657">
        <v>128</v>
      </c>
      <c r="F21" s="657"/>
      <c r="G21" s="658">
        <v>80</v>
      </c>
      <c r="H21" s="658"/>
      <c r="I21" s="659">
        <v>2341</v>
      </c>
      <c r="J21" s="660">
        <v>80</v>
      </c>
      <c r="K21" s="660"/>
    </row>
    <row r="22" spans="1:11" ht="12" x14ac:dyDescent="0.2">
      <c r="A22" s="1320"/>
      <c r="B22" s="1316"/>
      <c r="C22" s="657"/>
      <c r="D22" s="657"/>
      <c r="E22" s="657"/>
      <c r="F22" s="657"/>
      <c r="G22" s="658">
        <v>295</v>
      </c>
      <c r="H22" s="658"/>
      <c r="I22" s="659">
        <v>2370</v>
      </c>
      <c r="J22" s="660">
        <v>295</v>
      </c>
      <c r="K22" s="660"/>
    </row>
    <row r="23" spans="1:11" ht="12" x14ac:dyDescent="0.2">
      <c r="A23" s="1320"/>
      <c r="B23" s="1316"/>
      <c r="C23" s="657">
        <v>129</v>
      </c>
      <c r="D23" s="657"/>
      <c r="E23" s="657">
        <v>129</v>
      </c>
      <c r="F23" s="657"/>
      <c r="G23" s="658"/>
      <c r="H23" s="658"/>
      <c r="I23" s="659">
        <v>2322</v>
      </c>
      <c r="J23" s="660"/>
      <c r="K23" s="660"/>
    </row>
    <row r="24" spans="1:11" ht="12" x14ac:dyDescent="0.2">
      <c r="A24" s="1316">
        <v>1.2</v>
      </c>
      <c r="B24" s="1316" t="s">
        <v>106</v>
      </c>
      <c r="C24" s="661">
        <f>C25</f>
        <v>0</v>
      </c>
      <c r="D24" s="661">
        <f>D25</f>
        <v>0</v>
      </c>
      <c r="E24" s="661">
        <f t="shared" ref="E24:K24" si="4">E25</f>
        <v>0</v>
      </c>
      <c r="F24" s="661">
        <f t="shared" si="4"/>
        <v>0</v>
      </c>
      <c r="G24" s="661">
        <f t="shared" si="4"/>
        <v>700</v>
      </c>
      <c r="H24" s="661">
        <f t="shared" si="4"/>
        <v>0</v>
      </c>
      <c r="I24" s="662"/>
      <c r="J24" s="661">
        <f t="shared" si="4"/>
        <v>700</v>
      </c>
      <c r="K24" s="661">
        <f t="shared" si="4"/>
        <v>0</v>
      </c>
    </row>
    <row r="25" spans="1:11" ht="12" x14ac:dyDescent="0.2">
      <c r="A25" s="1316"/>
      <c r="B25" s="1316"/>
      <c r="C25" s="663"/>
      <c r="D25" s="663"/>
      <c r="E25" s="663"/>
      <c r="F25" s="663"/>
      <c r="G25" s="658">
        <v>700</v>
      </c>
      <c r="H25" s="658"/>
      <c r="I25" s="659">
        <v>2363</v>
      </c>
      <c r="J25" s="660">
        <v>700</v>
      </c>
      <c r="K25" s="660"/>
    </row>
    <row r="26" spans="1:11" ht="12" x14ac:dyDescent="0.2">
      <c r="A26" s="664">
        <v>1.3</v>
      </c>
      <c r="B26" s="664" t="s">
        <v>107</v>
      </c>
      <c r="C26" s="665"/>
      <c r="D26" s="665"/>
      <c r="E26" s="665"/>
      <c r="F26" s="665"/>
      <c r="G26" s="666">
        <v>400</v>
      </c>
      <c r="H26" s="666"/>
      <c r="I26" s="667">
        <v>2361</v>
      </c>
      <c r="J26" s="666">
        <v>400</v>
      </c>
      <c r="K26" s="668"/>
    </row>
    <row r="27" spans="1:11" ht="12" x14ac:dyDescent="0.2">
      <c r="A27" s="664">
        <v>1.4</v>
      </c>
      <c r="B27" s="664" t="s">
        <v>11</v>
      </c>
      <c r="C27" s="665"/>
      <c r="D27" s="665"/>
      <c r="E27" s="665"/>
      <c r="F27" s="665"/>
      <c r="G27" s="666">
        <v>450</v>
      </c>
      <c r="H27" s="666"/>
      <c r="I27" s="667">
        <v>2370</v>
      </c>
      <c r="J27" s="666">
        <v>200</v>
      </c>
      <c r="K27" s="668"/>
    </row>
    <row r="28" spans="1:11" ht="12" x14ac:dyDescent="0.2">
      <c r="A28" s="1316">
        <v>1.5</v>
      </c>
      <c r="B28" s="1316" t="s">
        <v>108</v>
      </c>
      <c r="C28" s="669">
        <f t="shared" ref="C28:H28" si="5">SUM(C29:C33)</f>
        <v>1338</v>
      </c>
      <c r="D28" s="669">
        <f t="shared" si="5"/>
        <v>0</v>
      </c>
      <c r="E28" s="669">
        <f t="shared" si="5"/>
        <v>1338</v>
      </c>
      <c r="F28" s="669">
        <f t="shared" si="5"/>
        <v>0</v>
      </c>
      <c r="G28" s="666">
        <f t="shared" si="5"/>
        <v>2770</v>
      </c>
      <c r="H28" s="666">
        <f t="shared" si="5"/>
        <v>0</v>
      </c>
      <c r="I28" s="670"/>
      <c r="J28" s="666">
        <f>SUM(J29:J33)</f>
        <v>2370</v>
      </c>
      <c r="K28" s="669">
        <f>SUM(K29:K33)</f>
        <v>0</v>
      </c>
    </row>
    <row r="29" spans="1:11" ht="12" x14ac:dyDescent="0.2">
      <c r="A29" s="1316"/>
      <c r="B29" s="1316"/>
      <c r="C29" s="665">
        <v>570</v>
      </c>
      <c r="D29" s="665"/>
      <c r="E29" s="665">
        <v>570</v>
      </c>
      <c r="F29" s="665"/>
      <c r="G29" s="668">
        <v>600</v>
      </c>
      <c r="H29" s="668"/>
      <c r="I29" s="672">
        <v>2279</v>
      </c>
      <c r="J29" s="668">
        <v>600</v>
      </c>
      <c r="K29" s="668"/>
    </row>
    <row r="30" spans="1:11" ht="12" x14ac:dyDescent="0.2">
      <c r="A30" s="1316"/>
      <c r="B30" s="1316"/>
      <c r="C30" s="665"/>
      <c r="D30" s="665"/>
      <c r="E30" s="665"/>
      <c r="F30" s="665"/>
      <c r="G30" s="668">
        <v>50</v>
      </c>
      <c r="H30" s="668"/>
      <c r="I30" s="667">
        <v>2279</v>
      </c>
      <c r="J30" s="668">
        <v>50</v>
      </c>
      <c r="K30" s="668"/>
    </row>
    <row r="31" spans="1:11" ht="12" x14ac:dyDescent="0.2">
      <c r="A31" s="1316"/>
      <c r="B31" s="1316"/>
      <c r="C31" s="665">
        <v>768</v>
      </c>
      <c r="D31" s="665"/>
      <c r="E31" s="665">
        <v>768</v>
      </c>
      <c r="F31" s="665"/>
      <c r="G31" s="668">
        <v>1400</v>
      </c>
      <c r="H31" s="668"/>
      <c r="I31" s="667">
        <v>2262</v>
      </c>
      <c r="J31" s="668">
        <v>1000</v>
      </c>
      <c r="K31" s="668"/>
    </row>
    <row r="32" spans="1:11" ht="12" x14ac:dyDescent="0.2">
      <c r="A32" s="1316"/>
      <c r="B32" s="1316"/>
      <c r="C32" s="665"/>
      <c r="D32" s="665"/>
      <c r="E32" s="665"/>
      <c r="F32" s="665"/>
      <c r="G32" s="658">
        <v>672</v>
      </c>
      <c r="H32" s="658"/>
      <c r="I32" s="667">
        <v>2363</v>
      </c>
      <c r="J32" s="668">
        <v>672</v>
      </c>
      <c r="K32" s="668"/>
    </row>
    <row r="33" spans="1:11" ht="12" x14ac:dyDescent="0.2">
      <c r="A33" s="1316"/>
      <c r="B33" s="1316"/>
      <c r="C33" s="657"/>
      <c r="D33" s="657"/>
      <c r="E33" s="657"/>
      <c r="F33" s="657"/>
      <c r="G33" s="668">
        <v>48</v>
      </c>
      <c r="H33" s="668"/>
      <c r="I33" s="667">
        <v>2111</v>
      </c>
      <c r="J33" s="668">
        <v>48</v>
      </c>
      <c r="K33" s="668"/>
    </row>
    <row r="34" spans="1:11" ht="24" x14ac:dyDescent="0.2">
      <c r="A34" s="712">
        <v>2</v>
      </c>
      <c r="B34" s="708" t="s">
        <v>1056</v>
      </c>
      <c r="C34" s="504" t="e">
        <f>C35+C36+#REF!+#REF!+C44+C49+C42</f>
        <v>#REF!</v>
      </c>
      <c r="D34" s="504" t="e">
        <f>D35+D36+#REF!+#REF!+D44+D49+D42</f>
        <v>#REF!</v>
      </c>
      <c r="E34" s="504" t="e">
        <f>E35+E36+#REF!+#REF!+E44+E49+E42</f>
        <v>#REF!</v>
      </c>
      <c r="F34" s="504" t="e">
        <f>F35+F36+#REF!+#REF!+F44+F49+F42</f>
        <v>#REF!</v>
      </c>
      <c r="G34" s="504" t="e">
        <f>G35+G36+#REF!+#REF!+G44+G49+G42</f>
        <v>#REF!</v>
      </c>
      <c r="H34" s="504" t="e">
        <f>H35+H36+#REF!+#REF!+H44+H49+H42</f>
        <v>#REF!</v>
      </c>
      <c r="I34" s="692"/>
      <c r="J34" s="504">
        <f>J35+J36+J44+J49+J42</f>
        <v>13927</v>
      </c>
      <c r="K34" s="504">
        <f>K35+K36+K44+K49+K42</f>
        <v>0</v>
      </c>
    </row>
    <row r="35" spans="1:11" ht="12" x14ac:dyDescent="0.2">
      <c r="A35" s="671">
        <v>2.1</v>
      </c>
      <c r="B35" s="690" t="s">
        <v>111</v>
      </c>
      <c r="C35" s="696">
        <v>889</v>
      </c>
      <c r="D35" s="696"/>
      <c r="E35" s="696">
        <v>889</v>
      </c>
      <c r="F35" s="696"/>
      <c r="G35" s="673">
        <v>500</v>
      </c>
      <c r="H35" s="673"/>
      <c r="I35" s="659">
        <v>2261</v>
      </c>
      <c r="J35" s="660">
        <v>500</v>
      </c>
      <c r="K35" s="660"/>
    </row>
    <row r="36" spans="1:11" ht="12" x14ac:dyDescent="0.2">
      <c r="A36" s="1315">
        <v>2.2000000000000002</v>
      </c>
      <c r="B36" s="1316" t="s">
        <v>112</v>
      </c>
      <c r="C36" s="673">
        <f t="shared" ref="C36:H36" si="6">SUM(C37:C41)</f>
        <v>2671</v>
      </c>
      <c r="D36" s="673">
        <f t="shared" si="6"/>
        <v>0</v>
      </c>
      <c r="E36" s="673">
        <f t="shared" si="6"/>
        <v>2671</v>
      </c>
      <c r="F36" s="673">
        <f t="shared" si="6"/>
        <v>0</v>
      </c>
      <c r="G36" s="673">
        <f t="shared" si="6"/>
        <v>4915</v>
      </c>
      <c r="H36" s="673">
        <f t="shared" si="6"/>
        <v>0</v>
      </c>
      <c r="I36" s="659"/>
      <c r="J36" s="673">
        <f>SUM(J37:J41)</f>
        <v>4915</v>
      </c>
      <c r="K36" s="673">
        <f>SUM(K37:K41)</f>
        <v>0</v>
      </c>
    </row>
    <row r="37" spans="1:11" ht="12" x14ac:dyDescent="0.2">
      <c r="A37" s="1315"/>
      <c r="B37" s="1316"/>
      <c r="C37" s="674">
        <v>400</v>
      </c>
      <c r="D37" s="674"/>
      <c r="E37" s="674">
        <v>400</v>
      </c>
      <c r="F37" s="674"/>
      <c r="G37" s="658">
        <v>446</v>
      </c>
      <c r="H37" s="658"/>
      <c r="I37" s="659">
        <v>2279</v>
      </c>
      <c r="J37" s="660">
        <f>400+46</f>
        <v>446</v>
      </c>
      <c r="K37" s="660"/>
    </row>
    <row r="38" spans="1:11" ht="12" x14ac:dyDescent="0.2">
      <c r="A38" s="1315"/>
      <c r="B38" s="1316"/>
      <c r="C38" s="674">
        <f>598+1673</f>
        <v>2271</v>
      </c>
      <c r="D38" s="674"/>
      <c r="E38" s="674">
        <v>2271</v>
      </c>
      <c r="F38" s="674"/>
      <c r="G38" s="658">
        <v>1800</v>
      </c>
      <c r="H38" s="658"/>
      <c r="I38" s="675">
        <v>2262</v>
      </c>
      <c r="J38" s="660">
        <v>1800</v>
      </c>
      <c r="K38" s="660"/>
    </row>
    <row r="39" spans="1:11" ht="12" x14ac:dyDescent="0.2">
      <c r="A39" s="1315"/>
      <c r="B39" s="1316"/>
      <c r="C39" s="674"/>
      <c r="D39" s="674"/>
      <c r="E39" s="674"/>
      <c r="F39" s="674"/>
      <c r="G39" s="658">
        <v>1943</v>
      </c>
      <c r="H39" s="658"/>
      <c r="I39" s="677">
        <v>2363</v>
      </c>
      <c r="J39" s="660">
        <f>893+1050</f>
        <v>1943</v>
      </c>
      <c r="K39" s="660"/>
    </row>
    <row r="40" spans="1:11" ht="12" x14ac:dyDescent="0.2">
      <c r="A40" s="1315"/>
      <c r="B40" s="1316"/>
      <c r="C40" s="674"/>
      <c r="D40" s="674"/>
      <c r="E40" s="674"/>
      <c r="F40" s="674"/>
      <c r="G40" s="678">
        <v>630</v>
      </c>
      <c r="H40" s="678"/>
      <c r="I40" s="677">
        <v>2261</v>
      </c>
      <c r="J40" s="660">
        <v>630</v>
      </c>
      <c r="K40" s="660"/>
    </row>
    <row r="41" spans="1:11" ht="12" x14ac:dyDescent="0.2">
      <c r="A41" s="1315"/>
      <c r="B41" s="1316"/>
      <c r="C41" s="674"/>
      <c r="D41" s="674"/>
      <c r="E41" s="674"/>
      <c r="F41" s="674"/>
      <c r="G41" s="660">
        <v>96</v>
      </c>
      <c r="H41" s="660"/>
      <c r="I41" s="677">
        <v>2111</v>
      </c>
      <c r="J41" s="668">
        <v>96</v>
      </c>
      <c r="K41" s="668"/>
    </row>
    <row r="42" spans="1:11" ht="12" x14ac:dyDescent="0.2">
      <c r="A42" s="1319">
        <v>2.2999999999999998</v>
      </c>
      <c r="B42" s="1316" t="s">
        <v>113</v>
      </c>
      <c r="C42" s="679">
        <f t="shared" ref="C42:F42" si="7">C43</f>
        <v>0</v>
      </c>
      <c r="D42" s="679">
        <f t="shared" si="7"/>
        <v>0</v>
      </c>
      <c r="E42" s="679">
        <f t="shared" si="7"/>
        <v>0</v>
      </c>
      <c r="F42" s="679">
        <f t="shared" si="7"/>
        <v>0</v>
      </c>
      <c r="G42" s="679">
        <f>G43</f>
        <v>2520</v>
      </c>
      <c r="H42" s="679">
        <f>H43</f>
        <v>0</v>
      </c>
      <c r="I42" s="680"/>
      <c r="J42" s="679">
        <f t="shared" ref="J42:K42" si="8">J43</f>
        <v>2520</v>
      </c>
      <c r="K42" s="679">
        <f t="shared" si="8"/>
        <v>0</v>
      </c>
    </row>
    <row r="43" spans="1:11" ht="12" x14ac:dyDescent="0.2">
      <c r="A43" s="1319"/>
      <c r="B43" s="1316"/>
      <c r="C43" s="674"/>
      <c r="D43" s="674"/>
      <c r="E43" s="674"/>
      <c r="F43" s="674"/>
      <c r="G43" s="660">
        <v>2520</v>
      </c>
      <c r="H43" s="660"/>
      <c r="I43" s="675">
        <v>2279</v>
      </c>
      <c r="J43" s="660">
        <v>2520</v>
      </c>
      <c r="K43" s="660"/>
    </row>
    <row r="44" spans="1:11" ht="12" x14ac:dyDescent="0.2">
      <c r="A44" s="1315">
        <v>2.4</v>
      </c>
      <c r="B44" s="1316" t="s">
        <v>114</v>
      </c>
      <c r="C44" s="679">
        <f t="shared" ref="C44:H44" si="9">SUM(C45:C48)</f>
        <v>9418</v>
      </c>
      <c r="D44" s="679">
        <f t="shared" si="9"/>
        <v>0</v>
      </c>
      <c r="E44" s="679">
        <f t="shared" si="9"/>
        <v>9418</v>
      </c>
      <c r="F44" s="679">
        <f t="shared" si="9"/>
        <v>0</v>
      </c>
      <c r="G44" s="679">
        <f t="shared" si="9"/>
        <v>5292</v>
      </c>
      <c r="H44" s="679">
        <f t="shared" si="9"/>
        <v>0</v>
      </c>
      <c r="I44" s="681"/>
      <c r="J44" s="679">
        <f>SUM(J45:J48)</f>
        <v>5292</v>
      </c>
      <c r="K44" s="679">
        <f>SUM(K45:K48)</f>
        <v>0</v>
      </c>
    </row>
    <row r="45" spans="1:11" ht="12" x14ac:dyDescent="0.2">
      <c r="A45" s="1315"/>
      <c r="B45" s="1316"/>
      <c r="C45" s="674">
        <v>5148</v>
      </c>
      <c r="D45" s="674"/>
      <c r="E45" s="674">
        <v>5148</v>
      </c>
      <c r="F45" s="674"/>
      <c r="G45" s="660">
        <v>2688</v>
      </c>
      <c r="H45" s="660"/>
      <c r="I45" s="677">
        <v>2261</v>
      </c>
      <c r="J45" s="660">
        <v>2688</v>
      </c>
      <c r="K45" s="660"/>
    </row>
    <row r="46" spans="1:11" ht="12" x14ac:dyDescent="0.2">
      <c r="A46" s="1315"/>
      <c r="B46" s="1316"/>
      <c r="C46" s="674">
        <v>4270</v>
      </c>
      <c r="D46" s="674"/>
      <c r="E46" s="674">
        <v>4270</v>
      </c>
      <c r="F46" s="674"/>
      <c r="G46" s="660">
        <v>2352</v>
      </c>
      <c r="H46" s="660"/>
      <c r="I46" s="677">
        <v>2363</v>
      </c>
      <c r="J46" s="660">
        <v>2352</v>
      </c>
      <c r="K46" s="660"/>
    </row>
    <row r="47" spans="1:11" ht="12" x14ac:dyDescent="0.2">
      <c r="A47" s="1315"/>
      <c r="B47" s="1316"/>
      <c r="C47" s="674"/>
      <c r="D47" s="674"/>
      <c r="E47" s="674"/>
      <c r="F47" s="674"/>
      <c r="G47" s="660">
        <v>132</v>
      </c>
      <c r="H47" s="660"/>
      <c r="I47" s="677">
        <v>2111</v>
      </c>
      <c r="J47" s="660">
        <v>132</v>
      </c>
      <c r="K47" s="660"/>
    </row>
    <row r="48" spans="1:11" ht="15" customHeight="1" x14ac:dyDescent="0.2">
      <c r="A48" s="1315"/>
      <c r="B48" s="1316"/>
      <c r="C48" s="674"/>
      <c r="D48" s="674"/>
      <c r="E48" s="674"/>
      <c r="F48" s="674"/>
      <c r="G48" s="660">
        <v>120</v>
      </c>
      <c r="H48" s="660"/>
      <c r="I48" s="677">
        <v>2341</v>
      </c>
      <c r="J48" s="660">
        <v>120</v>
      </c>
      <c r="K48" s="660"/>
    </row>
    <row r="49" spans="1:11" ht="12" x14ac:dyDescent="0.2">
      <c r="A49" s="1322">
        <v>2.5</v>
      </c>
      <c r="B49" s="1316" t="s">
        <v>115</v>
      </c>
      <c r="C49" s="679">
        <f t="shared" ref="C49:H49" si="10">SUM(C50:C51)</f>
        <v>0</v>
      </c>
      <c r="D49" s="679">
        <f t="shared" si="10"/>
        <v>0</v>
      </c>
      <c r="E49" s="679">
        <f t="shared" si="10"/>
        <v>0</v>
      </c>
      <c r="F49" s="679">
        <f t="shared" si="10"/>
        <v>0</v>
      </c>
      <c r="G49" s="679">
        <f t="shared" si="10"/>
        <v>700</v>
      </c>
      <c r="H49" s="679">
        <f t="shared" si="10"/>
        <v>0</v>
      </c>
      <c r="I49" s="680"/>
      <c r="J49" s="679">
        <f>SUM(J50:J51)</f>
        <v>700</v>
      </c>
      <c r="K49" s="679">
        <f>SUM(K50:K51)</f>
        <v>0</v>
      </c>
    </row>
    <row r="50" spans="1:11" ht="12" x14ac:dyDescent="0.2">
      <c r="A50" s="1322"/>
      <c r="B50" s="1316"/>
      <c r="C50" s="674"/>
      <c r="D50" s="674"/>
      <c r="E50" s="674"/>
      <c r="F50" s="674"/>
      <c r="G50" s="660">
        <v>490</v>
      </c>
      <c r="H50" s="660"/>
      <c r="I50" s="677">
        <v>2363</v>
      </c>
      <c r="J50" s="660">
        <v>490</v>
      </c>
      <c r="K50" s="660"/>
    </row>
    <row r="51" spans="1:11" ht="15" customHeight="1" x14ac:dyDescent="0.2">
      <c r="A51" s="1322"/>
      <c r="B51" s="1316"/>
      <c r="C51" s="674"/>
      <c r="D51" s="674"/>
      <c r="E51" s="674"/>
      <c r="F51" s="674"/>
      <c r="G51" s="660">
        <v>210</v>
      </c>
      <c r="H51" s="660"/>
      <c r="I51" s="677">
        <v>2370</v>
      </c>
      <c r="J51" s="660">
        <v>210</v>
      </c>
      <c r="K51" s="660"/>
    </row>
    <row r="52" spans="1:11" ht="12" x14ac:dyDescent="0.2">
      <c r="A52" s="712">
        <v>3</v>
      </c>
      <c r="B52" s="708" t="s">
        <v>1057</v>
      </c>
      <c r="C52" s="504">
        <f>SUM(C54:C65)</f>
        <v>996</v>
      </c>
      <c r="D52" s="504">
        <f>SUM(D54:D65)</f>
        <v>0</v>
      </c>
      <c r="E52" s="504">
        <f>SUM(E54:E65)</f>
        <v>996</v>
      </c>
      <c r="F52" s="504">
        <f>SUM(F54:F65)</f>
        <v>0</v>
      </c>
      <c r="G52" s="504">
        <f>G53+G63</f>
        <v>12997</v>
      </c>
      <c r="H52" s="504">
        <f>H53+H63</f>
        <v>1000</v>
      </c>
      <c r="I52" s="692"/>
      <c r="J52" s="504">
        <f>J53+J63</f>
        <v>12997</v>
      </c>
      <c r="K52" s="504">
        <f>K53+K63</f>
        <v>1000</v>
      </c>
    </row>
    <row r="53" spans="1:11" ht="12" x14ac:dyDescent="0.2">
      <c r="A53" s="1321">
        <v>3.1</v>
      </c>
      <c r="B53" s="1316" t="s">
        <v>116</v>
      </c>
      <c r="C53" s="504">
        <f t="shared" ref="C53:H53" si="11">SUM(C54:C62)</f>
        <v>996</v>
      </c>
      <c r="D53" s="504">
        <f t="shared" si="11"/>
        <v>0</v>
      </c>
      <c r="E53" s="504">
        <f t="shared" si="11"/>
        <v>996</v>
      </c>
      <c r="F53" s="504">
        <f t="shared" si="11"/>
        <v>0</v>
      </c>
      <c r="G53" s="504">
        <f t="shared" si="11"/>
        <v>12417</v>
      </c>
      <c r="H53" s="504">
        <f t="shared" si="11"/>
        <v>0</v>
      </c>
      <c r="I53" s="692"/>
      <c r="J53" s="504">
        <f>SUM(J54:J62)</f>
        <v>12417</v>
      </c>
      <c r="K53" s="504">
        <f>SUM(K54:K62)</f>
        <v>0</v>
      </c>
    </row>
    <row r="54" spans="1:11" ht="12" x14ac:dyDescent="0.2">
      <c r="A54" s="1321"/>
      <c r="B54" s="1316"/>
      <c r="C54" s="506">
        <v>996</v>
      </c>
      <c r="D54" s="506"/>
      <c r="E54" s="506">
        <v>996</v>
      </c>
      <c r="F54" s="506"/>
      <c r="G54" s="506">
        <v>896</v>
      </c>
      <c r="H54" s="506"/>
      <c r="I54" s="507">
        <v>2361</v>
      </c>
      <c r="J54" s="683">
        <v>896</v>
      </c>
      <c r="K54" s="684"/>
    </row>
    <row r="55" spans="1:11" ht="12" x14ac:dyDescent="0.2">
      <c r="A55" s="1321"/>
      <c r="B55" s="1316"/>
      <c r="C55" s="504"/>
      <c r="D55" s="504"/>
      <c r="E55" s="504"/>
      <c r="F55" s="504"/>
      <c r="G55" s="506">
        <v>6174</v>
      </c>
      <c r="H55" s="506"/>
      <c r="I55" s="507">
        <v>2261</v>
      </c>
      <c r="J55" s="683">
        <v>6174</v>
      </c>
      <c r="K55" s="684"/>
    </row>
    <row r="56" spans="1:11" ht="12" x14ac:dyDescent="0.2">
      <c r="A56" s="1321"/>
      <c r="B56" s="1316"/>
      <c r="C56" s="504"/>
      <c r="D56" s="504"/>
      <c r="E56" s="504"/>
      <c r="F56" s="504"/>
      <c r="G56" s="506">
        <v>2856</v>
      </c>
      <c r="H56" s="506"/>
      <c r="I56" s="507">
        <v>2363</v>
      </c>
      <c r="J56" s="683">
        <v>2856</v>
      </c>
      <c r="K56" s="684"/>
    </row>
    <row r="57" spans="1:11" s="466" customFormat="1" ht="12" x14ac:dyDescent="0.2">
      <c r="A57" s="1321"/>
      <c r="B57" s="1316"/>
      <c r="C57" s="685"/>
      <c r="D57" s="685"/>
      <c r="E57" s="685"/>
      <c r="F57" s="685"/>
      <c r="G57" s="686">
        <v>780</v>
      </c>
      <c r="H57" s="686"/>
      <c r="I57" s="507">
        <v>1150</v>
      </c>
      <c r="J57" s="687">
        <v>780</v>
      </c>
      <c r="K57" s="688"/>
    </row>
    <row r="58" spans="1:11" s="466" customFormat="1" ht="12" x14ac:dyDescent="0.2">
      <c r="A58" s="1321"/>
      <c r="B58" s="1316"/>
      <c r="C58" s="685"/>
      <c r="D58" s="685"/>
      <c r="E58" s="685"/>
      <c r="F58" s="685"/>
      <c r="G58" s="686">
        <v>184</v>
      </c>
      <c r="H58" s="686"/>
      <c r="I58" s="507">
        <v>1210</v>
      </c>
      <c r="J58" s="687">
        <v>184</v>
      </c>
      <c r="K58" s="688"/>
    </row>
    <row r="59" spans="1:11" ht="12" x14ac:dyDescent="0.2">
      <c r="A59" s="1321"/>
      <c r="B59" s="1316"/>
      <c r="C59" s="504"/>
      <c r="D59" s="504"/>
      <c r="E59" s="504"/>
      <c r="F59" s="504"/>
      <c r="G59" s="506">
        <v>70</v>
      </c>
      <c r="H59" s="506"/>
      <c r="I59" s="507">
        <v>2341</v>
      </c>
      <c r="J59" s="683">
        <v>70</v>
      </c>
      <c r="K59" s="684"/>
    </row>
    <row r="60" spans="1:11" ht="12" x14ac:dyDescent="0.2">
      <c r="A60" s="1321"/>
      <c r="B60" s="1316"/>
      <c r="C60" s="504"/>
      <c r="D60" s="504"/>
      <c r="E60" s="504"/>
      <c r="F60" s="504"/>
      <c r="G60" s="506">
        <v>84</v>
      </c>
      <c r="H60" s="506"/>
      <c r="I60" s="507">
        <v>2239</v>
      </c>
      <c r="J60" s="683">
        <v>84</v>
      </c>
      <c r="K60" s="684"/>
    </row>
    <row r="61" spans="1:11" ht="12" x14ac:dyDescent="0.2">
      <c r="A61" s="1321"/>
      <c r="B61" s="1316"/>
      <c r="C61" s="504"/>
      <c r="D61" s="504"/>
      <c r="E61" s="504"/>
      <c r="F61" s="504"/>
      <c r="G61" s="506">
        <v>953</v>
      </c>
      <c r="H61" s="506"/>
      <c r="I61" s="507">
        <v>2314</v>
      </c>
      <c r="J61" s="683">
        <f>700+40+157+56</f>
        <v>953</v>
      </c>
      <c r="K61" s="684"/>
    </row>
    <row r="62" spans="1:11" ht="12" x14ac:dyDescent="0.2">
      <c r="A62" s="1321"/>
      <c r="B62" s="1316"/>
      <c r="C62" s="504"/>
      <c r="D62" s="504"/>
      <c r="E62" s="504"/>
      <c r="F62" s="504"/>
      <c r="G62" s="506">
        <v>420</v>
      </c>
      <c r="H62" s="506"/>
      <c r="I62" s="507">
        <v>2262</v>
      </c>
      <c r="J62" s="683">
        <v>420</v>
      </c>
      <c r="K62" s="684"/>
    </row>
    <row r="63" spans="1:11" ht="12" x14ac:dyDescent="0.2">
      <c r="A63" s="1315">
        <v>3.2</v>
      </c>
      <c r="B63" s="1316" t="s">
        <v>117</v>
      </c>
      <c r="C63" s="673">
        <f>SUM(C64:C65)</f>
        <v>0</v>
      </c>
      <c r="D63" s="673">
        <f>SUM(D64:D65)</f>
        <v>0</v>
      </c>
      <c r="E63" s="673">
        <f t="shared" ref="E63:F63" si="12">SUM(E64:E65)</f>
        <v>0</v>
      </c>
      <c r="F63" s="673">
        <f t="shared" si="12"/>
        <v>0</v>
      </c>
      <c r="G63" s="673">
        <f>SUM(G64:G65)</f>
        <v>580</v>
      </c>
      <c r="H63" s="673">
        <f>SUM(H64:H65)</f>
        <v>1000</v>
      </c>
      <c r="I63" s="689"/>
      <c r="J63" s="673">
        <f>SUM(J64:J65)</f>
        <v>580</v>
      </c>
      <c r="K63" s="673">
        <f>SUM(K64:K65)</f>
        <v>1000</v>
      </c>
    </row>
    <row r="64" spans="1:11" ht="12" x14ac:dyDescent="0.2">
      <c r="A64" s="1315"/>
      <c r="B64" s="1316"/>
      <c r="C64" s="658"/>
      <c r="D64" s="658"/>
      <c r="E64" s="658"/>
      <c r="F64" s="658"/>
      <c r="G64" s="658">
        <v>140</v>
      </c>
      <c r="H64" s="658">
        <v>1000</v>
      </c>
      <c r="I64" s="659">
        <v>2262</v>
      </c>
      <c r="J64" s="660">
        <v>140</v>
      </c>
      <c r="K64" s="660">
        <v>1000</v>
      </c>
    </row>
    <row r="65" spans="1:11" ht="12" x14ac:dyDescent="0.2">
      <c r="A65" s="1315"/>
      <c r="B65" s="1316"/>
      <c r="C65" s="658"/>
      <c r="D65" s="658"/>
      <c r="E65" s="658"/>
      <c r="F65" s="658"/>
      <c r="G65" s="658">
        <v>440</v>
      </c>
      <c r="H65" s="658"/>
      <c r="I65" s="659">
        <v>2279</v>
      </c>
      <c r="J65" s="660">
        <f>140+300</f>
        <v>440</v>
      </c>
      <c r="K65" s="660"/>
    </row>
    <row r="66" spans="1:11" ht="24" x14ac:dyDescent="0.2">
      <c r="A66" s="712">
        <v>4</v>
      </c>
      <c r="B66" s="708" t="s">
        <v>1058</v>
      </c>
      <c r="C66" s="504">
        <f t="shared" ref="C66:H66" si="13">C67+C73+C76</f>
        <v>9739</v>
      </c>
      <c r="D66" s="504">
        <f t="shared" si="13"/>
        <v>0</v>
      </c>
      <c r="E66" s="504">
        <f t="shared" si="13"/>
        <v>9739</v>
      </c>
      <c r="F66" s="504">
        <f t="shared" si="13"/>
        <v>0</v>
      </c>
      <c r="G66" s="504">
        <f t="shared" si="13"/>
        <v>10818</v>
      </c>
      <c r="H66" s="504">
        <f t="shared" si="13"/>
        <v>0</v>
      </c>
      <c r="I66" s="692"/>
      <c r="J66" s="504">
        <f>J67+J73+J76</f>
        <v>10818</v>
      </c>
      <c r="K66" s="504">
        <f>K67+K73+K76</f>
        <v>0</v>
      </c>
    </row>
    <row r="67" spans="1:11" ht="12" x14ac:dyDescent="0.2">
      <c r="A67" s="1315">
        <v>4.0999999999999996</v>
      </c>
      <c r="B67" s="1316" t="s">
        <v>118</v>
      </c>
      <c r="C67" s="669">
        <f t="shared" ref="C67:H67" si="14">SUM(C68:C72)</f>
        <v>8039</v>
      </c>
      <c r="D67" s="669">
        <f t="shared" si="14"/>
        <v>0</v>
      </c>
      <c r="E67" s="669">
        <f t="shared" si="14"/>
        <v>8039</v>
      </c>
      <c r="F67" s="669">
        <f t="shared" si="14"/>
        <v>0</v>
      </c>
      <c r="G67" s="669">
        <f t="shared" si="14"/>
        <v>4515</v>
      </c>
      <c r="H67" s="669">
        <f t="shared" si="14"/>
        <v>0</v>
      </c>
      <c r="I67" s="691"/>
      <c r="J67" s="669">
        <f>SUM(J68:J72)</f>
        <v>4515</v>
      </c>
      <c r="K67" s="669">
        <f>SUM(K68:K72)</f>
        <v>0</v>
      </c>
    </row>
    <row r="68" spans="1:11" ht="12" x14ac:dyDescent="0.2">
      <c r="A68" s="1315"/>
      <c r="B68" s="1316"/>
      <c r="C68" s="690">
        <v>4610</v>
      </c>
      <c r="D68" s="690"/>
      <c r="E68" s="690">
        <v>4610</v>
      </c>
      <c r="F68" s="690"/>
      <c r="G68" s="665">
        <v>2160</v>
      </c>
      <c r="H68" s="665"/>
      <c r="I68" s="659">
        <v>2261</v>
      </c>
      <c r="J68" s="660">
        <v>2160</v>
      </c>
      <c r="K68" s="660"/>
    </row>
    <row r="69" spans="1:11" ht="12" x14ac:dyDescent="0.2">
      <c r="A69" s="1315"/>
      <c r="B69" s="1316"/>
      <c r="C69" s="690">
        <v>2917</v>
      </c>
      <c r="D69" s="690"/>
      <c r="E69" s="690">
        <v>2917</v>
      </c>
      <c r="F69" s="690"/>
      <c r="G69" s="665">
        <v>1890</v>
      </c>
      <c r="H69" s="665"/>
      <c r="I69" s="659">
        <v>2363</v>
      </c>
      <c r="J69" s="660">
        <v>1890</v>
      </c>
      <c r="K69" s="660"/>
    </row>
    <row r="70" spans="1:11" ht="12" x14ac:dyDescent="0.2">
      <c r="A70" s="1315"/>
      <c r="B70" s="1316"/>
      <c r="C70" s="690"/>
      <c r="D70" s="690"/>
      <c r="E70" s="690"/>
      <c r="F70" s="690"/>
      <c r="G70" s="665">
        <v>60</v>
      </c>
      <c r="H70" s="665"/>
      <c r="I70" s="659">
        <v>2111</v>
      </c>
      <c r="J70" s="660">
        <v>60</v>
      </c>
      <c r="K70" s="660"/>
    </row>
    <row r="71" spans="1:11" ht="12" x14ac:dyDescent="0.2">
      <c r="A71" s="1315"/>
      <c r="B71" s="1316"/>
      <c r="C71" s="690"/>
      <c r="D71" s="690"/>
      <c r="E71" s="690"/>
      <c r="F71" s="690"/>
      <c r="G71" s="665">
        <v>108</v>
      </c>
      <c r="H71" s="665"/>
      <c r="I71" s="659">
        <v>2341</v>
      </c>
      <c r="J71" s="660">
        <v>108</v>
      </c>
      <c r="K71" s="660"/>
    </row>
    <row r="72" spans="1:11" ht="12" x14ac:dyDescent="0.2">
      <c r="A72" s="1315"/>
      <c r="B72" s="1316"/>
      <c r="C72" s="690">
        <v>512</v>
      </c>
      <c r="D72" s="690"/>
      <c r="E72" s="690">
        <v>512</v>
      </c>
      <c r="F72" s="690"/>
      <c r="G72" s="665">
        <v>297</v>
      </c>
      <c r="H72" s="665"/>
      <c r="I72" s="659">
        <v>2370</v>
      </c>
      <c r="J72" s="660">
        <v>297</v>
      </c>
      <c r="K72" s="660"/>
    </row>
    <row r="73" spans="1:11" ht="12" x14ac:dyDescent="0.2">
      <c r="A73" s="1315">
        <v>4.2</v>
      </c>
      <c r="B73" s="1316" t="s">
        <v>119</v>
      </c>
      <c r="C73" s="669">
        <f t="shared" ref="C73:H73" si="15">SUM(C74:C75)</f>
        <v>0</v>
      </c>
      <c r="D73" s="669">
        <f t="shared" si="15"/>
        <v>0</v>
      </c>
      <c r="E73" s="669">
        <f t="shared" si="15"/>
        <v>0</v>
      </c>
      <c r="F73" s="669">
        <f t="shared" si="15"/>
        <v>0</v>
      </c>
      <c r="G73" s="669">
        <f t="shared" si="15"/>
        <v>650</v>
      </c>
      <c r="H73" s="669">
        <f t="shared" si="15"/>
        <v>0</v>
      </c>
      <c r="I73" s="691"/>
      <c r="J73" s="666">
        <f>SUM(J74:J75)</f>
        <v>650</v>
      </c>
      <c r="K73" s="666">
        <f>SUM(K74:K75)</f>
        <v>0</v>
      </c>
    </row>
    <row r="74" spans="1:11" ht="12" x14ac:dyDescent="0.2">
      <c r="A74" s="1315"/>
      <c r="B74" s="1316"/>
      <c r="C74" s="665"/>
      <c r="D74" s="665"/>
      <c r="E74" s="665"/>
      <c r="F74" s="665"/>
      <c r="G74" s="665">
        <v>455</v>
      </c>
      <c r="H74" s="665"/>
      <c r="I74" s="659">
        <v>2363</v>
      </c>
      <c r="J74" s="660">
        <v>455</v>
      </c>
      <c r="K74" s="660"/>
    </row>
    <row r="75" spans="1:11" ht="12" x14ac:dyDescent="0.2">
      <c r="A75" s="1315"/>
      <c r="B75" s="1316"/>
      <c r="C75" s="665"/>
      <c r="D75" s="665"/>
      <c r="E75" s="665"/>
      <c r="F75" s="665"/>
      <c r="G75" s="665">
        <v>195</v>
      </c>
      <c r="H75" s="665"/>
      <c r="I75" s="659">
        <v>2370</v>
      </c>
      <c r="J75" s="660">
        <v>195</v>
      </c>
      <c r="K75" s="660"/>
    </row>
    <row r="76" spans="1:11" ht="12" x14ac:dyDescent="0.2">
      <c r="A76" s="1315">
        <v>4.3</v>
      </c>
      <c r="B76" s="1316" t="s">
        <v>108</v>
      </c>
      <c r="C76" s="669">
        <f t="shared" ref="C76:H76" si="16">SUM(C77:C81)</f>
        <v>1700</v>
      </c>
      <c r="D76" s="669">
        <f t="shared" si="16"/>
        <v>0</v>
      </c>
      <c r="E76" s="669">
        <f t="shared" si="16"/>
        <v>1700</v>
      </c>
      <c r="F76" s="669">
        <f t="shared" si="16"/>
        <v>0</v>
      </c>
      <c r="G76" s="669">
        <f t="shared" si="16"/>
        <v>5653</v>
      </c>
      <c r="H76" s="669">
        <f t="shared" si="16"/>
        <v>0</v>
      </c>
      <c r="I76" s="691"/>
      <c r="J76" s="666">
        <f>SUM(J77:J81)</f>
        <v>5653</v>
      </c>
      <c r="K76" s="666">
        <f>SUM(K77:K81)</f>
        <v>0</v>
      </c>
    </row>
    <row r="77" spans="1:11" ht="12" x14ac:dyDescent="0.2">
      <c r="A77" s="1315"/>
      <c r="B77" s="1316"/>
      <c r="C77" s="665">
        <v>676</v>
      </c>
      <c r="D77" s="665"/>
      <c r="E77" s="665">
        <v>676</v>
      </c>
      <c r="F77" s="665"/>
      <c r="G77" s="665">
        <v>650</v>
      </c>
      <c r="H77" s="665"/>
      <c r="I77" s="672">
        <v>2279</v>
      </c>
      <c r="J77" s="668">
        <f>600+50</f>
        <v>650</v>
      </c>
      <c r="K77" s="668"/>
    </row>
    <row r="78" spans="1:11" ht="12" x14ac:dyDescent="0.2">
      <c r="A78" s="1315"/>
      <c r="B78" s="1316"/>
      <c r="C78" s="665">
        <v>341</v>
      </c>
      <c r="D78" s="665"/>
      <c r="E78" s="665">
        <v>341</v>
      </c>
      <c r="F78" s="665"/>
      <c r="G78" s="665">
        <v>2600</v>
      </c>
      <c r="H78" s="665"/>
      <c r="I78" s="667">
        <v>2262</v>
      </c>
      <c r="J78" s="668">
        <v>2600</v>
      </c>
      <c r="K78" s="668"/>
    </row>
    <row r="79" spans="1:11" ht="12" x14ac:dyDescent="0.2">
      <c r="A79" s="1315"/>
      <c r="B79" s="1316"/>
      <c r="C79" s="665"/>
      <c r="D79" s="665"/>
      <c r="E79" s="665"/>
      <c r="F79" s="665"/>
      <c r="G79" s="665">
        <v>1239</v>
      </c>
      <c r="H79" s="665"/>
      <c r="I79" s="667">
        <v>2363</v>
      </c>
      <c r="J79" s="668">
        <f>294+945</f>
        <v>1239</v>
      </c>
      <c r="K79" s="668"/>
    </row>
    <row r="80" spans="1:11" ht="12" x14ac:dyDescent="0.2">
      <c r="A80" s="1315"/>
      <c r="B80" s="1316"/>
      <c r="C80" s="665">
        <v>683</v>
      </c>
      <c r="D80" s="665"/>
      <c r="E80" s="665">
        <v>683</v>
      </c>
      <c r="F80" s="665"/>
      <c r="G80" s="665">
        <v>1080</v>
      </c>
      <c r="H80" s="665"/>
      <c r="I80" s="667">
        <v>2261</v>
      </c>
      <c r="J80" s="668">
        <v>1080</v>
      </c>
      <c r="K80" s="668"/>
    </row>
    <row r="81" spans="1:11" ht="12" x14ac:dyDescent="0.2">
      <c r="A81" s="1315"/>
      <c r="B81" s="1316"/>
      <c r="C81" s="665"/>
      <c r="D81" s="665"/>
      <c r="E81" s="665"/>
      <c r="F81" s="665"/>
      <c r="G81" s="665">
        <v>84</v>
      </c>
      <c r="H81" s="665"/>
      <c r="I81" s="667">
        <v>2111</v>
      </c>
      <c r="J81" s="668">
        <v>84</v>
      </c>
      <c r="K81" s="668"/>
    </row>
    <row r="82" spans="1:11" ht="24" x14ac:dyDescent="0.2">
      <c r="A82" s="712">
        <v>5</v>
      </c>
      <c r="B82" s="708" t="s">
        <v>1059</v>
      </c>
      <c r="C82" s="504">
        <f t="shared" ref="C82:H82" si="17">C83+C90+C92+C100+C104+C108</f>
        <v>16385</v>
      </c>
      <c r="D82" s="504">
        <f t="shared" si="17"/>
        <v>0</v>
      </c>
      <c r="E82" s="504">
        <f t="shared" si="17"/>
        <v>16385</v>
      </c>
      <c r="F82" s="504">
        <f t="shared" si="17"/>
        <v>0</v>
      </c>
      <c r="G82" s="504">
        <f t="shared" si="17"/>
        <v>14828</v>
      </c>
      <c r="H82" s="504">
        <f t="shared" si="17"/>
        <v>0</v>
      </c>
      <c r="I82" s="692"/>
      <c r="J82" s="504">
        <f>J83+J90+J92+J100+J104+J108</f>
        <v>13478</v>
      </c>
      <c r="K82" s="504">
        <f>K83+K90+K92+K100+K104+K108</f>
        <v>0</v>
      </c>
    </row>
    <row r="83" spans="1:11" ht="12" x14ac:dyDescent="0.2">
      <c r="A83" s="1315">
        <v>5.0999999999999996</v>
      </c>
      <c r="B83" s="1316" t="s">
        <v>122</v>
      </c>
      <c r="C83" s="669">
        <f t="shared" ref="C83:H83" si="18">SUM(C84:C89)</f>
        <v>13616</v>
      </c>
      <c r="D83" s="669">
        <f t="shared" si="18"/>
        <v>0</v>
      </c>
      <c r="E83" s="669">
        <f t="shared" si="18"/>
        <v>13616</v>
      </c>
      <c r="F83" s="669">
        <f t="shared" si="18"/>
        <v>0</v>
      </c>
      <c r="G83" s="669">
        <f t="shared" si="18"/>
        <v>5832</v>
      </c>
      <c r="H83" s="669">
        <f t="shared" si="18"/>
        <v>0</v>
      </c>
      <c r="I83" s="691"/>
      <c r="J83" s="669">
        <f>SUM(J84:J89)</f>
        <v>5832</v>
      </c>
      <c r="K83" s="669">
        <f>SUM(K84:K89)</f>
        <v>0</v>
      </c>
    </row>
    <row r="84" spans="1:11" ht="12" x14ac:dyDescent="0.2">
      <c r="A84" s="1315"/>
      <c r="B84" s="1316"/>
      <c r="C84" s="674">
        <f>2191+3073</f>
        <v>5264</v>
      </c>
      <c r="D84" s="674"/>
      <c r="E84" s="674">
        <f>2191+3073</f>
        <v>5264</v>
      </c>
      <c r="F84" s="674"/>
      <c r="G84" s="674">
        <v>2208</v>
      </c>
      <c r="H84" s="674"/>
      <c r="I84" s="659">
        <v>2261</v>
      </c>
      <c r="J84" s="660">
        <v>2208</v>
      </c>
      <c r="K84" s="660"/>
    </row>
    <row r="85" spans="1:11" ht="12" x14ac:dyDescent="0.2">
      <c r="A85" s="1315"/>
      <c r="B85" s="1316"/>
      <c r="C85" s="674">
        <f>2561+3984</f>
        <v>6545</v>
      </c>
      <c r="D85" s="674"/>
      <c r="E85" s="674">
        <f>2561+3984</f>
        <v>6545</v>
      </c>
      <c r="F85" s="674"/>
      <c r="G85" s="674">
        <v>1932</v>
      </c>
      <c r="H85" s="674"/>
      <c r="I85" s="659">
        <v>2363</v>
      </c>
      <c r="J85" s="660">
        <v>1932</v>
      </c>
      <c r="K85" s="660"/>
    </row>
    <row r="86" spans="1:11" ht="12" x14ac:dyDescent="0.2">
      <c r="A86" s="1315"/>
      <c r="B86" s="1316"/>
      <c r="C86" s="674"/>
      <c r="D86" s="674"/>
      <c r="E86" s="674"/>
      <c r="F86" s="674"/>
      <c r="G86" s="674">
        <v>288</v>
      </c>
      <c r="H86" s="674"/>
      <c r="I86" s="659">
        <v>2111</v>
      </c>
      <c r="J86" s="660">
        <v>288</v>
      </c>
      <c r="K86" s="660"/>
    </row>
    <row r="87" spans="1:11" ht="12" x14ac:dyDescent="0.2">
      <c r="A87" s="1315"/>
      <c r="B87" s="1316"/>
      <c r="C87" s="665">
        <v>128</v>
      </c>
      <c r="D87" s="665"/>
      <c r="E87" s="665">
        <v>128</v>
      </c>
      <c r="F87" s="665"/>
      <c r="G87" s="665">
        <v>120</v>
      </c>
      <c r="H87" s="665"/>
      <c r="I87" s="659">
        <v>2341</v>
      </c>
      <c r="J87" s="660">
        <v>120</v>
      </c>
      <c r="K87" s="660"/>
    </row>
    <row r="88" spans="1:11" ht="12" x14ac:dyDescent="0.2">
      <c r="A88" s="1315"/>
      <c r="B88" s="1316"/>
      <c r="C88" s="665">
        <v>256</v>
      </c>
      <c r="D88" s="665"/>
      <c r="E88" s="665">
        <v>256</v>
      </c>
      <c r="F88" s="665"/>
      <c r="G88" s="665">
        <v>284</v>
      </c>
      <c r="H88" s="665"/>
      <c r="I88" s="659">
        <v>2370</v>
      </c>
      <c r="J88" s="660">
        <v>284</v>
      </c>
      <c r="K88" s="660"/>
    </row>
    <row r="89" spans="1:11" ht="12" x14ac:dyDescent="0.2">
      <c r="A89" s="1315"/>
      <c r="B89" s="1316"/>
      <c r="C89" s="665">
        <v>1423</v>
      </c>
      <c r="D89" s="665"/>
      <c r="E89" s="665">
        <v>1423</v>
      </c>
      <c r="F89" s="665"/>
      <c r="G89" s="665">
        <v>1000</v>
      </c>
      <c r="H89" s="665"/>
      <c r="I89" s="659">
        <v>2262</v>
      </c>
      <c r="J89" s="660">
        <v>1000</v>
      </c>
      <c r="K89" s="660"/>
    </row>
    <row r="90" spans="1:11" ht="12" x14ac:dyDescent="0.2">
      <c r="A90" s="1315">
        <v>5.2</v>
      </c>
      <c r="B90" s="1316" t="s">
        <v>123</v>
      </c>
      <c r="C90" s="669">
        <f t="shared" ref="C90:H90" si="19">SUM(C91:C91)</f>
        <v>0</v>
      </c>
      <c r="D90" s="669">
        <f t="shared" si="19"/>
        <v>0</v>
      </c>
      <c r="E90" s="669">
        <f t="shared" si="19"/>
        <v>0</v>
      </c>
      <c r="F90" s="669">
        <f t="shared" si="19"/>
        <v>0</v>
      </c>
      <c r="G90" s="669">
        <f t="shared" si="19"/>
        <v>420</v>
      </c>
      <c r="H90" s="669">
        <f t="shared" si="19"/>
        <v>0</v>
      </c>
      <c r="I90" s="691"/>
      <c r="J90" s="669">
        <f>SUM(J91:J91)</f>
        <v>420</v>
      </c>
      <c r="K90" s="669">
        <f>SUM(K91:K91)</f>
        <v>0</v>
      </c>
    </row>
    <row r="91" spans="1:11" ht="12" x14ac:dyDescent="0.2">
      <c r="A91" s="1315"/>
      <c r="B91" s="1316"/>
      <c r="C91" s="665"/>
      <c r="D91" s="665"/>
      <c r="E91" s="665"/>
      <c r="F91" s="665"/>
      <c r="G91" s="665">
        <v>420</v>
      </c>
      <c r="H91" s="665"/>
      <c r="I91" s="659">
        <v>2363</v>
      </c>
      <c r="J91" s="660">
        <v>420</v>
      </c>
      <c r="K91" s="660"/>
    </row>
    <row r="92" spans="1:11" ht="12" x14ac:dyDescent="0.2">
      <c r="A92" s="1315">
        <v>5.3</v>
      </c>
      <c r="B92" s="1316" t="s">
        <v>108</v>
      </c>
      <c r="C92" s="669">
        <f t="shared" ref="C92:H92" si="20">SUM(C93:C99)</f>
        <v>2769</v>
      </c>
      <c r="D92" s="669">
        <f t="shared" si="20"/>
        <v>0</v>
      </c>
      <c r="E92" s="669">
        <f t="shared" si="20"/>
        <v>2769</v>
      </c>
      <c r="F92" s="669">
        <f t="shared" si="20"/>
        <v>0</v>
      </c>
      <c r="G92" s="669">
        <f t="shared" si="20"/>
        <v>6556</v>
      </c>
      <c r="H92" s="669">
        <f t="shared" si="20"/>
        <v>0</v>
      </c>
      <c r="I92" s="691"/>
      <c r="J92" s="669">
        <f>SUM(J93:J99)</f>
        <v>5206</v>
      </c>
      <c r="K92" s="669">
        <f>SUM(K93:K99)</f>
        <v>0</v>
      </c>
    </row>
    <row r="93" spans="1:11" ht="12" x14ac:dyDescent="0.2">
      <c r="A93" s="1315"/>
      <c r="B93" s="1316"/>
      <c r="C93" s="665">
        <v>655</v>
      </c>
      <c r="D93" s="665"/>
      <c r="E93" s="665">
        <v>655</v>
      </c>
      <c r="F93" s="665"/>
      <c r="G93" s="665">
        <v>705</v>
      </c>
      <c r="H93" s="665"/>
      <c r="I93" s="672">
        <v>2279</v>
      </c>
      <c r="J93" s="668">
        <f>655+50</f>
        <v>705</v>
      </c>
      <c r="K93" s="668"/>
    </row>
    <row r="94" spans="1:11" ht="12" x14ac:dyDescent="0.2">
      <c r="A94" s="1315"/>
      <c r="B94" s="1316"/>
      <c r="C94" s="665">
        <v>1580</v>
      </c>
      <c r="D94" s="665"/>
      <c r="E94" s="665">
        <v>1580</v>
      </c>
      <c r="F94" s="665"/>
      <c r="G94" s="665">
        <v>2480</v>
      </c>
      <c r="H94" s="665"/>
      <c r="I94" s="667">
        <v>2262</v>
      </c>
      <c r="J94" s="668">
        <v>2480</v>
      </c>
      <c r="K94" s="668"/>
    </row>
    <row r="95" spans="1:11" ht="12" x14ac:dyDescent="0.2">
      <c r="A95" s="1315"/>
      <c r="B95" s="1316"/>
      <c r="C95" s="665"/>
      <c r="D95" s="665"/>
      <c r="E95" s="665"/>
      <c r="F95" s="665"/>
      <c r="G95" s="665">
        <v>504</v>
      </c>
      <c r="H95" s="665"/>
      <c r="I95" s="667">
        <v>2363</v>
      </c>
      <c r="J95" s="668">
        <f>252+252</f>
        <v>504</v>
      </c>
      <c r="K95" s="668"/>
    </row>
    <row r="96" spans="1:11" ht="12" x14ac:dyDescent="0.2">
      <c r="A96" s="1315"/>
      <c r="B96" s="1316"/>
      <c r="C96" s="665"/>
      <c r="D96" s="665"/>
      <c r="E96" s="665"/>
      <c r="F96" s="665"/>
      <c r="G96" s="665">
        <v>288</v>
      </c>
      <c r="H96" s="665"/>
      <c r="I96" s="667">
        <v>2261</v>
      </c>
      <c r="J96" s="668">
        <v>288</v>
      </c>
      <c r="K96" s="668"/>
    </row>
    <row r="97" spans="1:11" ht="12" x14ac:dyDescent="0.2">
      <c r="A97" s="1315"/>
      <c r="B97" s="1316"/>
      <c r="C97" s="665"/>
      <c r="D97" s="665"/>
      <c r="E97" s="665"/>
      <c r="F97" s="665"/>
      <c r="G97" s="665">
        <v>54</v>
      </c>
      <c r="H97" s="665"/>
      <c r="I97" s="667">
        <v>2111</v>
      </c>
      <c r="J97" s="668">
        <v>54</v>
      </c>
      <c r="K97" s="668"/>
    </row>
    <row r="98" spans="1:11" ht="12" x14ac:dyDescent="0.2">
      <c r="A98" s="1315"/>
      <c r="B98" s="1316"/>
      <c r="C98" s="665">
        <v>534</v>
      </c>
      <c r="D98" s="665"/>
      <c r="E98" s="665">
        <v>534</v>
      </c>
      <c r="F98" s="665"/>
      <c r="G98" s="665">
        <v>1725</v>
      </c>
      <c r="H98" s="665"/>
      <c r="I98" s="667">
        <v>2361</v>
      </c>
      <c r="J98" s="668">
        <v>600</v>
      </c>
      <c r="K98" s="668"/>
    </row>
    <row r="99" spans="1:11" ht="12" x14ac:dyDescent="0.2">
      <c r="A99" s="1315"/>
      <c r="B99" s="1316"/>
      <c r="C99" s="665"/>
      <c r="D99" s="665"/>
      <c r="E99" s="665"/>
      <c r="F99" s="665"/>
      <c r="G99" s="665">
        <f>150+650</f>
        <v>800</v>
      </c>
      <c r="H99" s="665"/>
      <c r="I99" s="667">
        <v>2370</v>
      </c>
      <c r="J99" s="668">
        <v>575</v>
      </c>
      <c r="K99" s="668"/>
    </row>
    <row r="100" spans="1:11" ht="12" x14ac:dyDescent="0.2">
      <c r="A100" s="1315">
        <v>5.4</v>
      </c>
      <c r="B100" s="1316" t="s">
        <v>124</v>
      </c>
      <c r="C100" s="669">
        <f>SUM(C101:C103)</f>
        <v>0</v>
      </c>
      <c r="D100" s="669">
        <f>SUM(D101:D103)</f>
        <v>0</v>
      </c>
      <c r="E100" s="669">
        <f t="shared" ref="E100:F100" si="21">SUM(E101:E103)</f>
        <v>0</v>
      </c>
      <c r="F100" s="669">
        <f t="shared" si="21"/>
        <v>0</v>
      </c>
      <c r="G100" s="669">
        <f>SUM(G101:G103)</f>
        <v>760</v>
      </c>
      <c r="H100" s="669">
        <f>SUM(H101:H103)</f>
        <v>0</v>
      </c>
      <c r="I100" s="691"/>
      <c r="J100" s="669">
        <f t="shared" ref="J100:K100" si="22">SUM(J101:J103)</f>
        <v>760</v>
      </c>
      <c r="K100" s="669">
        <f t="shared" si="22"/>
        <v>0</v>
      </c>
    </row>
    <row r="101" spans="1:11" ht="12" x14ac:dyDescent="0.2">
      <c r="A101" s="1315"/>
      <c r="B101" s="1316"/>
      <c r="C101" s="665"/>
      <c r="D101" s="665"/>
      <c r="E101" s="665"/>
      <c r="F101" s="665"/>
      <c r="G101" s="665">
        <v>192</v>
      </c>
      <c r="H101" s="665"/>
      <c r="I101" s="667">
        <v>2261</v>
      </c>
      <c r="J101" s="668">
        <v>192</v>
      </c>
      <c r="K101" s="668"/>
    </row>
    <row r="102" spans="1:11" ht="12" x14ac:dyDescent="0.2">
      <c r="A102" s="1315"/>
      <c r="B102" s="1316"/>
      <c r="C102" s="665"/>
      <c r="D102" s="665"/>
      <c r="E102" s="665"/>
      <c r="F102" s="665"/>
      <c r="G102" s="665">
        <v>168</v>
      </c>
      <c r="H102" s="665"/>
      <c r="I102" s="667">
        <v>2363</v>
      </c>
      <c r="J102" s="668">
        <v>168</v>
      </c>
      <c r="K102" s="668"/>
    </row>
    <row r="103" spans="1:11" ht="12" x14ac:dyDescent="0.2">
      <c r="A103" s="1315"/>
      <c r="B103" s="1316"/>
      <c r="C103" s="665"/>
      <c r="D103" s="665"/>
      <c r="E103" s="665"/>
      <c r="F103" s="665"/>
      <c r="G103" s="665">
        <v>400</v>
      </c>
      <c r="H103" s="665"/>
      <c r="I103" s="667">
        <v>2262</v>
      </c>
      <c r="J103" s="668">
        <v>400</v>
      </c>
      <c r="K103" s="668"/>
    </row>
    <row r="104" spans="1:11" ht="12" x14ac:dyDescent="0.2">
      <c r="A104" s="1315">
        <v>5.5</v>
      </c>
      <c r="B104" s="1316" t="s">
        <v>125</v>
      </c>
      <c r="C104" s="669">
        <f>SUM(C105:C107)</f>
        <v>0</v>
      </c>
      <c r="D104" s="669">
        <f>SUM(D105:D107)</f>
        <v>0</v>
      </c>
      <c r="E104" s="669">
        <f t="shared" ref="E104:F104" si="23">SUM(E105:E107)</f>
        <v>0</v>
      </c>
      <c r="F104" s="669">
        <f t="shared" si="23"/>
        <v>0</v>
      </c>
      <c r="G104" s="669">
        <f>SUM(G105:G107)</f>
        <v>760</v>
      </c>
      <c r="H104" s="669">
        <f>SUM(H105:H107)</f>
        <v>0</v>
      </c>
      <c r="I104" s="691"/>
      <c r="J104" s="666">
        <f>SUM(J105:J107)</f>
        <v>760</v>
      </c>
      <c r="K104" s="669">
        <f t="shared" ref="K104" si="24">SUM(K105:K107)</f>
        <v>0</v>
      </c>
    </row>
    <row r="105" spans="1:11" ht="12" x14ac:dyDescent="0.2">
      <c r="A105" s="1315"/>
      <c r="B105" s="1316"/>
      <c r="C105" s="665"/>
      <c r="D105" s="665"/>
      <c r="E105" s="665"/>
      <c r="F105" s="665"/>
      <c r="G105" s="665">
        <v>192</v>
      </c>
      <c r="H105" s="665"/>
      <c r="I105" s="667">
        <v>2261</v>
      </c>
      <c r="J105" s="668">
        <v>192</v>
      </c>
      <c r="K105" s="668"/>
    </row>
    <row r="106" spans="1:11" ht="12" x14ac:dyDescent="0.2">
      <c r="A106" s="1315"/>
      <c r="B106" s="1316"/>
      <c r="C106" s="665"/>
      <c r="D106" s="665"/>
      <c r="E106" s="665"/>
      <c r="F106" s="665"/>
      <c r="G106" s="665">
        <v>168</v>
      </c>
      <c r="H106" s="665"/>
      <c r="I106" s="667">
        <v>2363</v>
      </c>
      <c r="J106" s="668">
        <v>168</v>
      </c>
      <c r="K106" s="668"/>
    </row>
    <row r="107" spans="1:11" ht="12" x14ac:dyDescent="0.2">
      <c r="A107" s="1315"/>
      <c r="B107" s="1316"/>
      <c r="C107" s="665"/>
      <c r="D107" s="665"/>
      <c r="E107" s="665"/>
      <c r="F107" s="665"/>
      <c r="G107" s="665">
        <v>400</v>
      </c>
      <c r="H107" s="665"/>
      <c r="I107" s="667">
        <v>2262</v>
      </c>
      <c r="J107" s="668">
        <v>400</v>
      </c>
      <c r="K107" s="668"/>
    </row>
    <row r="108" spans="1:11" ht="12" x14ac:dyDescent="0.2">
      <c r="A108" s="671">
        <v>5.6</v>
      </c>
      <c r="B108" s="664" t="s">
        <v>147</v>
      </c>
      <c r="C108" s="665"/>
      <c r="D108" s="665"/>
      <c r="E108" s="665"/>
      <c r="F108" s="665"/>
      <c r="G108" s="661">
        <v>500</v>
      </c>
      <c r="H108" s="661"/>
      <c r="I108" s="659">
        <v>2261</v>
      </c>
      <c r="J108" s="679">
        <v>500</v>
      </c>
      <c r="K108" s="679"/>
    </row>
    <row r="109" spans="1:11" ht="12" x14ac:dyDescent="0.2">
      <c r="A109" s="709">
        <v>6</v>
      </c>
      <c r="B109" s="708" t="s">
        <v>1060</v>
      </c>
      <c r="C109" s="504" t="e">
        <f>#REF!+#REF!+C110+C120</f>
        <v>#REF!</v>
      </c>
      <c r="D109" s="504" t="e">
        <f>#REF!+#REF!+D110+D120</f>
        <v>#REF!</v>
      </c>
      <c r="E109" s="504" t="e">
        <f>#REF!+#REF!+E110+E120</f>
        <v>#REF!</v>
      </c>
      <c r="F109" s="504" t="e">
        <f>#REF!+#REF!+F110+F120</f>
        <v>#REF!</v>
      </c>
      <c r="G109" s="504" t="e">
        <f>#REF!+#REF!+G110+G120</f>
        <v>#REF!</v>
      </c>
      <c r="H109" s="504" t="e">
        <f>#REF!+#REF!+H110+H120</f>
        <v>#REF!</v>
      </c>
      <c r="I109" s="692"/>
      <c r="J109" s="504">
        <f>J110+J120</f>
        <v>13997</v>
      </c>
      <c r="K109" s="504">
        <f>K110+K120</f>
        <v>0</v>
      </c>
    </row>
    <row r="110" spans="1:11" ht="12" x14ac:dyDescent="0.2">
      <c r="A110" s="1315">
        <v>6.1</v>
      </c>
      <c r="B110" s="1316" t="s">
        <v>116</v>
      </c>
      <c r="C110" s="504">
        <f t="shared" ref="C110:H110" si="25">SUM(C111:C119)</f>
        <v>0</v>
      </c>
      <c r="D110" s="504">
        <f t="shared" si="25"/>
        <v>0</v>
      </c>
      <c r="E110" s="504">
        <f t="shared" si="25"/>
        <v>0</v>
      </c>
      <c r="F110" s="504">
        <f t="shared" si="25"/>
        <v>0</v>
      </c>
      <c r="G110" s="504">
        <f t="shared" si="25"/>
        <v>12417</v>
      </c>
      <c r="H110" s="504">
        <f t="shared" si="25"/>
        <v>0</v>
      </c>
      <c r="I110" s="692"/>
      <c r="J110" s="504">
        <f>SUM(J111:J119)</f>
        <v>12417</v>
      </c>
      <c r="K110" s="504">
        <f>SUM(K111:K119)</f>
        <v>0</v>
      </c>
    </row>
    <row r="111" spans="1:11" ht="12" x14ac:dyDescent="0.2">
      <c r="A111" s="1315"/>
      <c r="B111" s="1316"/>
      <c r="C111" s="504"/>
      <c r="D111" s="504"/>
      <c r="E111" s="504"/>
      <c r="F111" s="504"/>
      <c r="G111" s="506">
        <v>6174</v>
      </c>
      <c r="H111" s="506"/>
      <c r="I111" s="507">
        <v>2261</v>
      </c>
      <c r="J111" s="683">
        <v>6174</v>
      </c>
      <c r="K111" s="684"/>
    </row>
    <row r="112" spans="1:11" ht="15" customHeight="1" x14ac:dyDescent="0.2">
      <c r="A112" s="1315"/>
      <c r="B112" s="1316"/>
      <c r="C112" s="504"/>
      <c r="D112" s="504"/>
      <c r="E112" s="504"/>
      <c r="F112" s="504"/>
      <c r="G112" s="506">
        <v>2856</v>
      </c>
      <c r="H112" s="506"/>
      <c r="I112" s="507">
        <v>2363</v>
      </c>
      <c r="J112" s="683">
        <v>2856</v>
      </c>
      <c r="K112" s="684"/>
    </row>
    <row r="113" spans="1:11" s="467" customFormat="1" ht="15" customHeight="1" x14ac:dyDescent="0.2">
      <c r="A113" s="1315"/>
      <c r="B113" s="1316"/>
      <c r="C113" s="692"/>
      <c r="D113" s="692"/>
      <c r="E113" s="692"/>
      <c r="F113" s="692"/>
      <c r="G113" s="507">
        <v>780</v>
      </c>
      <c r="H113" s="507"/>
      <c r="I113" s="507">
        <v>1150</v>
      </c>
      <c r="J113" s="693">
        <v>780</v>
      </c>
      <c r="K113" s="694"/>
    </row>
    <row r="114" spans="1:11" s="467" customFormat="1" ht="15" customHeight="1" x14ac:dyDescent="0.2">
      <c r="A114" s="1315"/>
      <c r="B114" s="1316"/>
      <c r="C114" s="692"/>
      <c r="D114" s="692"/>
      <c r="E114" s="692"/>
      <c r="F114" s="692"/>
      <c r="G114" s="507">
        <v>184</v>
      </c>
      <c r="H114" s="507"/>
      <c r="I114" s="507">
        <v>1210</v>
      </c>
      <c r="J114" s="693">
        <v>184</v>
      </c>
      <c r="K114" s="694"/>
    </row>
    <row r="115" spans="1:11" ht="15" customHeight="1" x14ac:dyDescent="0.2">
      <c r="A115" s="1315"/>
      <c r="B115" s="1316"/>
      <c r="C115" s="504"/>
      <c r="D115" s="504"/>
      <c r="E115" s="504"/>
      <c r="F115" s="504"/>
      <c r="G115" s="506">
        <v>70</v>
      </c>
      <c r="H115" s="506"/>
      <c r="I115" s="507">
        <v>2341</v>
      </c>
      <c r="J115" s="683">
        <v>70</v>
      </c>
      <c r="K115" s="684"/>
    </row>
    <row r="116" spans="1:11" ht="15" customHeight="1" x14ac:dyDescent="0.2">
      <c r="A116" s="1315"/>
      <c r="B116" s="1316"/>
      <c r="C116" s="504"/>
      <c r="D116" s="504"/>
      <c r="E116" s="504"/>
      <c r="F116" s="504"/>
      <c r="G116" s="506">
        <v>84</v>
      </c>
      <c r="H116" s="506"/>
      <c r="I116" s="507">
        <v>2239</v>
      </c>
      <c r="J116" s="683">
        <v>84</v>
      </c>
      <c r="K116" s="684"/>
    </row>
    <row r="117" spans="1:11" ht="12" x14ac:dyDescent="0.2">
      <c r="A117" s="1315"/>
      <c r="B117" s="1316"/>
      <c r="C117" s="504"/>
      <c r="D117" s="504"/>
      <c r="E117" s="504"/>
      <c r="F117" s="504"/>
      <c r="G117" s="506">
        <v>953</v>
      </c>
      <c r="H117" s="506"/>
      <c r="I117" s="507">
        <v>2314</v>
      </c>
      <c r="J117" s="683">
        <f>700+40+157+56</f>
        <v>953</v>
      </c>
      <c r="K117" s="684"/>
    </row>
    <row r="118" spans="1:11" ht="12" x14ac:dyDescent="0.2">
      <c r="A118" s="1315"/>
      <c r="B118" s="1316"/>
      <c r="C118" s="504"/>
      <c r="D118" s="504"/>
      <c r="E118" s="504"/>
      <c r="F118" s="504"/>
      <c r="G118" s="506">
        <v>896</v>
      </c>
      <c r="H118" s="506"/>
      <c r="I118" s="507">
        <v>2361</v>
      </c>
      <c r="J118" s="683">
        <v>896</v>
      </c>
      <c r="K118" s="684"/>
    </row>
    <row r="119" spans="1:11" ht="12" x14ac:dyDescent="0.2">
      <c r="A119" s="1315"/>
      <c r="B119" s="1316"/>
      <c r="C119" s="504"/>
      <c r="D119" s="504"/>
      <c r="E119" s="504"/>
      <c r="F119" s="504"/>
      <c r="G119" s="506">
        <v>420</v>
      </c>
      <c r="H119" s="506"/>
      <c r="I119" s="507">
        <v>2262</v>
      </c>
      <c r="J119" s="683">
        <v>420</v>
      </c>
      <c r="K119" s="684"/>
    </row>
    <row r="120" spans="1:11" ht="12" x14ac:dyDescent="0.2">
      <c r="A120" s="1315" t="s">
        <v>52</v>
      </c>
      <c r="B120" s="1316" t="s">
        <v>117</v>
      </c>
      <c r="C120" s="673">
        <f t="shared" ref="C120:H120" si="26">SUM(C121:C122)</f>
        <v>0</v>
      </c>
      <c r="D120" s="673">
        <f t="shared" si="26"/>
        <v>0</v>
      </c>
      <c r="E120" s="673">
        <f t="shared" si="26"/>
        <v>0</v>
      </c>
      <c r="F120" s="673">
        <f t="shared" si="26"/>
        <v>0</v>
      </c>
      <c r="G120" s="673">
        <f t="shared" si="26"/>
        <v>1580</v>
      </c>
      <c r="H120" s="673">
        <f t="shared" si="26"/>
        <v>0</v>
      </c>
      <c r="I120" s="689"/>
      <c r="J120" s="673">
        <f t="shared" ref="J120:K120" si="27">SUM(J121:J122)</f>
        <v>1580</v>
      </c>
      <c r="K120" s="673">
        <f t="shared" si="27"/>
        <v>0</v>
      </c>
    </row>
    <row r="121" spans="1:11" ht="15" customHeight="1" x14ac:dyDescent="0.2">
      <c r="A121" s="1315"/>
      <c r="B121" s="1316"/>
      <c r="C121" s="658"/>
      <c r="D121" s="658"/>
      <c r="E121" s="658"/>
      <c r="F121" s="658"/>
      <c r="G121" s="658">
        <v>1140</v>
      </c>
      <c r="H121" s="658"/>
      <c r="I121" s="659">
        <v>2262</v>
      </c>
      <c r="J121" s="660">
        <v>1140</v>
      </c>
      <c r="K121" s="660"/>
    </row>
    <row r="122" spans="1:11" ht="12" x14ac:dyDescent="0.2">
      <c r="A122" s="1315"/>
      <c r="B122" s="1316"/>
      <c r="C122" s="658"/>
      <c r="D122" s="658"/>
      <c r="E122" s="658"/>
      <c r="F122" s="658"/>
      <c r="G122" s="658">
        <v>440</v>
      </c>
      <c r="H122" s="658"/>
      <c r="I122" s="659">
        <v>2279</v>
      </c>
      <c r="J122" s="660">
        <f>140+300</f>
        <v>440</v>
      </c>
      <c r="K122" s="660"/>
    </row>
    <row r="123" spans="1:11" ht="24" x14ac:dyDescent="0.2">
      <c r="A123" s="707">
        <v>7</v>
      </c>
      <c r="B123" s="708" t="s">
        <v>1061</v>
      </c>
      <c r="C123" s="504" t="e">
        <f>C124+#REF!+C128+C129+C130+C132+#REF!+C134+C137+#REF!</f>
        <v>#REF!</v>
      </c>
      <c r="D123" s="504" t="e">
        <f>D124+#REF!+D128+D129+D130+D132+#REF!+D134+D137+#REF!</f>
        <v>#REF!</v>
      </c>
      <c r="E123" s="504" t="e">
        <f>E124+#REF!+E128+E129+E130+E132+#REF!+E134+E137+#REF!</f>
        <v>#REF!</v>
      </c>
      <c r="F123" s="504" t="e">
        <f>F124+#REF!+F128+F129+F130+F132+#REF!+F134+F137+#REF!</f>
        <v>#REF!</v>
      </c>
      <c r="G123" s="504" t="e">
        <f>G124+#REF!+G128+G129+G130+G132+#REF!+G134+G137+#REF!</f>
        <v>#REF!</v>
      </c>
      <c r="H123" s="504" t="e">
        <f>H124+#REF!+H128+H129+H130+H132+#REF!+H134+H137+#REF!</f>
        <v>#REF!</v>
      </c>
      <c r="I123" s="692"/>
      <c r="J123" s="504">
        <f>J124+J128+J129+J130+J132+J134+J137</f>
        <v>9238</v>
      </c>
      <c r="K123" s="504">
        <f>K124+K128+K129+K130+K132+K134+K137</f>
        <v>0</v>
      </c>
    </row>
    <row r="124" spans="1:11" ht="12" x14ac:dyDescent="0.2">
      <c r="A124" s="1316">
        <v>7.1</v>
      </c>
      <c r="B124" s="1316" t="s">
        <v>126</v>
      </c>
      <c r="C124" s="666">
        <f t="shared" ref="C124:H124" si="28">SUM(C125:C127)</f>
        <v>142</v>
      </c>
      <c r="D124" s="666">
        <f t="shared" si="28"/>
        <v>0</v>
      </c>
      <c r="E124" s="666">
        <f t="shared" si="28"/>
        <v>142</v>
      </c>
      <c r="F124" s="666">
        <f t="shared" si="28"/>
        <v>0</v>
      </c>
      <c r="G124" s="666">
        <f t="shared" si="28"/>
        <v>556</v>
      </c>
      <c r="H124" s="666">
        <f t="shared" si="28"/>
        <v>0</v>
      </c>
      <c r="I124" s="697"/>
      <c r="J124" s="666">
        <f>SUM(J125:J127)</f>
        <v>556</v>
      </c>
      <c r="K124" s="666">
        <f t="shared" ref="K124" si="29">SUM(K125:K127)</f>
        <v>0</v>
      </c>
    </row>
    <row r="125" spans="1:11" ht="12" x14ac:dyDescent="0.2">
      <c r="A125" s="1316"/>
      <c r="B125" s="1316"/>
      <c r="C125" s="665">
        <v>142</v>
      </c>
      <c r="D125" s="665"/>
      <c r="E125" s="665">
        <v>142</v>
      </c>
      <c r="F125" s="665"/>
      <c r="G125" s="668">
        <v>140</v>
      </c>
      <c r="H125" s="668"/>
      <c r="I125" s="672">
        <v>2279</v>
      </c>
      <c r="J125" s="668">
        <v>140</v>
      </c>
      <c r="K125" s="668"/>
    </row>
    <row r="126" spans="1:11" ht="12" x14ac:dyDescent="0.2">
      <c r="A126" s="1316"/>
      <c r="B126" s="1316"/>
      <c r="C126" s="665"/>
      <c r="D126" s="665"/>
      <c r="E126" s="665"/>
      <c r="F126" s="665"/>
      <c r="G126" s="658">
        <v>392</v>
      </c>
      <c r="H126" s="658"/>
      <c r="I126" s="667">
        <v>2363</v>
      </c>
      <c r="J126" s="668">
        <v>392</v>
      </c>
      <c r="K126" s="668"/>
    </row>
    <row r="127" spans="1:11" ht="12" x14ac:dyDescent="0.2">
      <c r="A127" s="1316"/>
      <c r="B127" s="1316"/>
      <c r="C127" s="657"/>
      <c r="D127" s="657"/>
      <c r="E127" s="657"/>
      <c r="F127" s="657"/>
      <c r="G127" s="668">
        <v>24</v>
      </c>
      <c r="H127" s="668"/>
      <c r="I127" s="667">
        <v>2111</v>
      </c>
      <c r="J127" s="668">
        <v>24</v>
      </c>
      <c r="K127" s="668"/>
    </row>
    <row r="128" spans="1:11" ht="12" x14ac:dyDescent="0.2">
      <c r="A128" s="664">
        <v>7.2</v>
      </c>
      <c r="B128" s="690" t="s">
        <v>127</v>
      </c>
      <c r="C128" s="665"/>
      <c r="D128" s="665"/>
      <c r="E128" s="665"/>
      <c r="F128" s="665"/>
      <c r="G128" s="679">
        <v>585</v>
      </c>
      <c r="H128" s="679"/>
      <c r="I128" s="667">
        <v>2279</v>
      </c>
      <c r="J128" s="666">
        <v>585</v>
      </c>
      <c r="K128" s="668"/>
    </row>
    <row r="129" spans="1:11" ht="12" x14ac:dyDescent="0.2">
      <c r="A129" s="664">
        <v>7.3</v>
      </c>
      <c r="B129" s="690" t="s">
        <v>128</v>
      </c>
      <c r="C129" s="696">
        <v>655</v>
      </c>
      <c r="D129" s="696"/>
      <c r="E129" s="696">
        <v>655</v>
      </c>
      <c r="F129" s="696"/>
      <c r="G129" s="679">
        <v>655</v>
      </c>
      <c r="H129" s="679"/>
      <c r="I129" s="667">
        <v>2279</v>
      </c>
      <c r="J129" s="666">
        <v>655</v>
      </c>
      <c r="K129" s="668"/>
    </row>
    <row r="130" spans="1:11" ht="12" x14ac:dyDescent="0.2">
      <c r="A130" s="1320">
        <v>7.4</v>
      </c>
      <c r="B130" s="1316" t="s">
        <v>129</v>
      </c>
      <c r="C130" s="666">
        <f t="shared" ref="C130:H130" si="30">SUM(C131:C131)</f>
        <v>820</v>
      </c>
      <c r="D130" s="666">
        <f t="shared" si="30"/>
        <v>0</v>
      </c>
      <c r="E130" s="666">
        <f t="shared" si="30"/>
        <v>820</v>
      </c>
      <c r="F130" s="666">
        <f t="shared" si="30"/>
        <v>0</v>
      </c>
      <c r="G130" s="666">
        <f t="shared" si="30"/>
        <v>820</v>
      </c>
      <c r="H130" s="666">
        <f t="shared" si="30"/>
        <v>0</v>
      </c>
      <c r="I130" s="697"/>
      <c r="J130" s="666">
        <f>SUM(J131:J131)</f>
        <v>820</v>
      </c>
      <c r="K130" s="666">
        <f>SUM(K131:K131)</f>
        <v>0</v>
      </c>
    </row>
    <row r="131" spans="1:11" ht="12" x14ac:dyDescent="0.2">
      <c r="A131" s="1320"/>
      <c r="B131" s="1316"/>
      <c r="C131" s="660">
        <v>820</v>
      </c>
      <c r="D131" s="660"/>
      <c r="E131" s="660">
        <v>820</v>
      </c>
      <c r="F131" s="660"/>
      <c r="G131" s="660">
        <v>820</v>
      </c>
      <c r="H131" s="660"/>
      <c r="I131" s="677">
        <v>2279</v>
      </c>
      <c r="J131" s="668">
        <f>360+460</f>
        <v>820</v>
      </c>
      <c r="K131" s="668"/>
    </row>
    <row r="132" spans="1:11" ht="12" x14ac:dyDescent="0.2">
      <c r="A132" s="1316">
        <v>7.5</v>
      </c>
      <c r="B132" s="1316" t="s">
        <v>130</v>
      </c>
      <c r="C132" s="666">
        <f>C133</f>
        <v>1420</v>
      </c>
      <c r="D132" s="666">
        <f>D133</f>
        <v>0</v>
      </c>
      <c r="E132" s="666">
        <f t="shared" ref="E132:F132" si="31">E133</f>
        <v>1420</v>
      </c>
      <c r="F132" s="666">
        <f t="shared" si="31"/>
        <v>0</v>
      </c>
      <c r="G132" s="666">
        <f>G133</f>
        <v>1420</v>
      </c>
      <c r="H132" s="666">
        <f>H133</f>
        <v>0</v>
      </c>
      <c r="I132" s="697"/>
      <c r="J132" s="666">
        <f>J133</f>
        <v>1420</v>
      </c>
      <c r="K132" s="666">
        <f t="shared" ref="K132" si="32">K133</f>
        <v>0</v>
      </c>
    </row>
    <row r="133" spans="1:11" ht="12" x14ac:dyDescent="0.2">
      <c r="A133" s="1316"/>
      <c r="B133" s="1316"/>
      <c r="C133" s="657">
        <v>1420</v>
      </c>
      <c r="D133" s="657"/>
      <c r="E133" s="657">
        <v>1420</v>
      </c>
      <c r="F133" s="657"/>
      <c r="G133" s="660">
        <v>1420</v>
      </c>
      <c r="H133" s="660"/>
      <c r="I133" s="677">
        <v>2279</v>
      </c>
      <c r="J133" s="668">
        <f>720+700</f>
        <v>1420</v>
      </c>
      <c r="K133" s="668"/>
    </row>
    <row r="134" spans="1:11" ht="12" x14ac:dyDescent="0.2">
      <c r="A134" s="1320">
        <v>7.6</v>
      </c>
      <c r="B134" s="1320" t="s">
        <v>1019</v>
      </c>
      <c r="C134" s="698">
        <f>SUM(C135:C136)</f>
        <v>3628</v>
      </c>
      <c r="D134" s="698">
        <f>SUM(D135:D136)</f>
        <v>0</v>
      </c>
      <c r="E134" s="698">
        <f t="shared" ref="E134:F134" si="33">SUM(E135:E136)</f>
        <v>3627</v>
      </c>
      <c r="F134" s="698">
        <f t="shared" si="33"/>
        <v>0</v>
      </c>
      <c r="G134" s="698">
        <f>SUM(G135:G136)</f>
        <v>3736</v>
      </c>
      <c r="H134" s="698">
        <f>SUM(H135:H136)</f>
        <v>0</v>
      </c>
      <c r="I134" s="699"/>
      <c r="J134" s="698">
        <f>SUM(J135:J136)</f>
        <v>3402</v>
      </c>
      <c r="K134" s="698">
        <f t="shared" ref="K134" si="34">SUM(K135:K136)</f>
        <v>0</v>
      </c>
    </row>
    <row r="135" spans="1:11" s="464" customFormat="1" ht="12" x14ac:dyDescent="0.2">
      <c r="A135" s="1320"/>
      <c r="B135" s="1320"/>
      <c r="C135" s="695">
        <v>3130</v>
      </c>
      <c r="D135" s="695"/>
      <c r="E135" s="695">
        <v>3129</v>
      </c>
      <c r="F135" s="695"/>
      <c r="G135" s="677">
        <v>3130</v>
      </c>
      <c r="H135" s="677"/>
      <c r="I135" s="677">
        <v>5239</v>
      </c>
      <c r="J135" s="660">
        <v>3130</v>
      </c>
      <c r="K135" s="660"/>
    </row>
    <row r="136" spans="1:11" s="464" customFormat="1" ht="12" x14ac:dyDescent="0.2">
      <c r="A136" s="1320"/>
      <c r="B136" s="1320"/>
      <c r="C136" s="657">
        <v>498</v>
      </c>
      <c r="D136" s="657"/>
      <c r="E136" s="657">
        <v>498</v>
      </c>
      <c r="F136" s="657"/>
      <c r="G136" s="660">
        <v>606</v>
      </c>
      <c r="H136" s="660"/>
      <c r="I136" s="677">
        <v>2312</v>
      </c>
      <c r="J136" s="660">
        <v>272</v>
      </c>
      <c r="K136" s="660"/>
    </row>
    <row r="137" spans="1:11" ht="12" x14ac:dyDescent="0.2">
      <c r="A137" s="1316">
        <v>7.7</v>
      </c>
      <c r="B137" s="1316" t="s">
        <v>132</v>
      </c>
      <c r="C137" s="666">
        <f t="shared" ref="C137:H137" si="35">SUM(C138:C139)</f>
        <v>0</v>
      </c>
      <c r="D137" s="666">
        <f t="shared" si="35"/>
        <v>0</v>
      </c>
      <c r="E137" s="666">
        <f t="shared" si="35"/>
        <v>0</v>
      </c>
      <c r="F137" s="666">
        <f t="shared" si="35"/>
        <v>0</v>
      </c>
      <c r="G137" s="666">
        <f t="shared" si="35"/>
        <v>2220</v>
      </c>
      <c r="H137" s="666">
        <f t="shared" si="35"/>
        <v>0</v>
      </c>
      <c r="I137" s="697"/>
      <c r="J137" s="666">
        <f>SUM(J138:J139)</f>
        <v>1800</v>
      </c>
      <c r="K137" s="666">
        <f>SUM(K138:K139)</f>
        <v>0</v>
      </c>
    </row>
    <row r="138" spans="1:11" ht="15" customHeight="1" x14ac:dyDescent="0.2">
      <c r="A138" s="1316"/>
      <c r="B138" s="1316"/>
      <c r="C138" s="671"/>
      <c r="D138" s="671"/>
      <c r="E138" s="671"/>
      <c r="F138" s="671"/>
      <c r="G138" s="668">
        <v>2100</v>
      </c>
      <c r="H138" s="668"/>
      <c r="I138" s="667">
        <v>2322</v>
      </c>
      <c r="J138" s="668">
        <v>1680</v>
      </c>
      <c r="K138" s="668"/>
    </row>
    <row r="139" spans="1:11" ht="12" x14ac:dyDescent="0.2">
      <c r="A139" s="1316"/>
      <c r="B139" s="1316"/>
      <c r="C139" s="671"/>
      <c r="D139" s="671"/>
      <c r="E139" s="671"/>
      <c r="F139" s="671"/>
      <c r="G139" s="668">
        <v>120</v>
      </c>
      <c r="H139" s="668"/>
      <c r="I139" s="667">
        <v>2242</v>
      </c>
      <c r="J139" s="668">
        <v>120</v>
      </c>
      <c r="K139" s="668"/>
    </row>
    <row r="140" spans="1:11" ht="24" x14ac:dyDescent="0.2">
      <c r="A140" s="712">
        <v>8</v>
      </c>
      <c r="B140" s="708" t="s">
        <v>1062</v>
      </c>
      <c r="C140" s="504">
        <f t="shared" ref="C140:H140" si="36">C141+C145+C150+C155+C158</f>
        <v>9890</v>
      </c>
      <c r="D140" s="504">
        <f t="shared" si="36"/>
        <v>0</v>
      </c>
      <c r="E140" s="504">
        <f t="shared" si="36"/>
        <v>9890</v>
      </c>
      <c r="F140" s="504">
        <f t="shared" si="36"/>
        <v>0</v>
      </c>
      <c r="G140" s="504">
        <f t="shared" si="36"/>
        <v>25739</v>
      </c>
      <c r="H140" s="504">
        <f t="shared" si="36"/>
        <v>0</v>
      </c>
      <c r="I140" s="692"/>
      <c r="J140" s="504">
        <f>J141+J145+J150+J155+J158</f>
        <v>18919</v>
      </c>
      <c r="K140" s="504">
        <f>K141+K145+K150+K155+K158</f>
        <v>0</v>
      </c>
    </row>
    <row r="141" spans="1:11" ht="12" x14ac:dyDescent="0.2">
      <c r="A141" s="1315">
        <v>8.1</v>
      </c>
      <c r="B141" s="1316" t="s">
        <v>126</v>
      </c>
      <c r="C141" s="673">
        <f t="shared" ref="C141:H141" si="37">SUM(C142:C144)</f>
        <v>500</v>
      </c>
      <c r="D141" s="673">
        <f t="shared" si="37"/>
        <v>0</v>
      </c>
      <c r="E141" s="673">
        <f t="shared" si="37"/>
        <v>500</v>
      </c>
      <c r="F141" s="673">
        <f t="shared" si="37"/>
        <v>0</v>
      </c>
      <c r="G141" s="673">
        <f t="shared" si="37"/>
        <v>892</v>
      </c>
      <c r="H141" s="673">
        <f t="shared" si="37"/>
        <v>0</v>
      </c>
      <c r="I141" s="689"/>
      <c r="J141" s="673">
        <f>SUM(J142:J144)</f>
        <v>892</v>
      </c>
      <c r="K141" s="673">
        <f>SUM(K142:K144)</f>
        <v>0</v>
      </c>
    </row>
    <row r="142" spans="1:11" ht="12" x14ac:dyDescent="0.2">
      <c r="A142" s="1315"/>
      <c r="B142" s="1316"/>
      <c r="C142" s="658">
        <v>500</v>
      </c>
      <c r="D142" s="658"/>
      <c r="E142" s="658">
        <v>500</v>
      </c>
      <c r="F142" s="658"/>
      <c r="G142" s="658">
        <v>740</v>
      </c>
      <c r="H142" s="658"/>
      <c r="I142" s="659">
        <v>2279</v>
      </c>
      <c r="J142" s="660">
        <f>140+600</f>
        <v>740</v>
      </c>
      <c r="K142" s="660"/>
    </row>
    <row r="143" spans="1:11" ht="12" x14ac:dyDescent="0.2">
      <c r="A143" s="1315"/>
      <c r="B143" s="1316"/>
      <c r="C143" s="658"/>
      <c r="D143" s="658"/>
      <c r="E143" s="658"/>
      <c r="F143" s="658"/>
      <c r="G143" s="658">
        <v>140</v>
      </c>
      <c r="H143" s="658"/>
      <c r="I143" s="659">
        <v>2363</v>
      </c>
      <c r="J143" s="660">
        <v>140</v>
      </c>
      <c r="K143" s="660"/>
    </row>
    <row r="144" spans="1:11" ht="12" x14ac:dyDescent="0.2">
      <c r="A144" s="1315"/>
      <c r="B144" s="1316"/>
      <c r="C144" s="658"/>
      <c r="D144" s="658"/>
      <c r="E144" s="658"/>
      <c r="F144" s="658"/>
      <c r="G144" s="658">
        <v>12</v>
      </c>
      <c r="H144" s="658"/>
      <c r="I144" s="659">
        <v>2111</v>
      </c>
      <c r="J144" s="660">
        <v>12</v>
      </c>
      <c r="K144" s="660"/>
    </row>
    <row r="145" spans="1:11" ht="12" x14ac:dyDescent="0.2">
      <c r="A145" s="1315">
        <v>8.1999999999999993</v>
      </c>
      <c r="B145" s="1316" t="s">
        <v>133</v>
      </c>
      <c r="C145" s="673">
        <f>SUM(C146:C149)</f>
        <v>0</v>
      </c>
      <c r="D145" s="673">
        <f>SUM(D146:D149)</f>
        <v>0</v>
      </c>
      <c r="E145" s="673">
        <f t="shared" ref="E145" si="38">SUM(E146:E149)</f>
        <v>0</v>
      </c>
      <c r="F145" s="673">
        <f>SUM(F146:F149)</f>
        <v>0</v>
      </c>
      <c r="G145" s="673">
        <f>SUM(G146:G149)</f>
        <v>892</v>
      </c>
      <c r="H145" s="673">
        <f>SUM(H146:H149)</f>
        <v>0</v>
      </c>
      <c r="I145" s="689"/>
      <c r="J145" s="673">
        <f t="shared" ref="J145:K145" si="39">SUM(J146:J149)</f>
        <v>752</v>
      </c>
      <c r="K145" s="673">
        <f t="shared" si="39"/>
        <v>0</v>
      </c>
    </row>
    <row r="146" spans="1:11" ht="12" x14ac:dyDescent="0.2">
      <c r="A146" s="1315"/>
      <c r="B146" s="1316"/>
      <c r="C146" s="658"/>
      <c r="D146" s="658"/>
      <c r="E146" s="658"/>
      <c r="F146" s="658"/>
      <c r="G146" s="658">
        <v>600</v>
      </c>
      <c r="H146" s="658"/>
      <c r="I146" s="659">
        <v>2279</v>
      </c>
      <c r="J146" s="660">
        <v>600</v>
      </c>
      <c r="K146" s="660"/>
    </row>
    <row r="147" spans="1:11" ht="12" x14ac:dyDescent="0.2">
      <c r="A147" s="1315"/>
      <c r="B147" s="1316"/>
      <c r="C147" s="658"/>
      <c r="D147" s="658"/>
      <c r="E147" s="658"/>
      <c r="F147" s="658"/>
      <c r="G147" s="658">
        <v>140</v>
      </c>
      <c r="H147" s="658"/>
      <c r="I147" s="659">
        <v>2363</v>
      </c>
      <c r="J147" s="660">
        <v>140</v>
      </c>
      <c r="K147" s="660"/>
    </row>
    <row r="148" spans="1:11" ht="12" x14ac:dyDescent="0.2">
      <c r="A148" s="1315"/>
      <c r="B148" s="1316"/>
      <c r="C148" s="658"/>
      <c r="D148" s="658"/>
      <c r="E148" s="658"/>
      <c r="F148" s="658"/>
      <c r="G148" s="658">
        <v>12</v>
      </c>
      <c r="H148" s="658"/>
      <c r="I148" s="659">
        <v>2111</v>
      </c>
      <c r="J148" s="660">
        <v>12</v>
      </c>
      <c r="K148" s="660"/>
    </row>
    <row r="149" spans="1:11" ht="12" x14ac:dyDescent="0.2">
      <c r="A149" s="1315"/>
      <c r="B149" s="1316"/>
      <c r="C149" s="658"/>
      <c r="D149" s="658"/>
      <c r="E149" s="658"/>
      <c r="F149" s="658"/>
      <c r="G149" s="658">
        <v>140</v>
      </c>
      <c r="H149" s="658"/>
      <c r="I149" s="659">
        <v>2262</v>
      </c>
      <c r="J149" s="660">
        <v>0</v>
      </c>
      <c r="K149" s="660"/>
    </row>
    <row r="150" spans="1:11" ht="12" x14ac:dyDescent="0.2">
      <c r="A150" s="1315">
        <v>8.3000000000000007</v>
      </c>
      <c r="B150" s="1316" t="s">
        <v>134</v>
      </c>
      <c r="C150" s="673">
        <f>SUM(C151:C154)</f>
        <v>750</v>
      </c>
      <c r="D150" s="673">
        <f t="shared" ref="D150:F150" si="40">SUM(D151:D154)</f>
        <v>0</v>
      </c>
      <c r="E150" s="673">
        <f t="shared" si="40"/>
        <v>750</v>
      </c>
      <c r="F150" s="673">
        <f t="shared" si="40"/>
        <v>0</v>
      </c>
      <c r="G150" s="673">
        <f>SUM(G151:G154)</f>
        <v>952</v>
      </c>
      <c r="H150" s="673">
        <f>SUM(H151:H154)</f>
        <v>0</v>
      </c>
      <c r="I150" s="689"/>
      <c r="J150" s="673">
        <f t="shared" ref="J150" si="41">SUM(J151:J154)</f>
        <v>752</v>
      </c>
      <c r="K150" s="673">
        <f>SUM(K151:K154)</f>
        <v>0</v>
      </c>
    </row>
    <row r="151" spans="1:11" ht="12" x14ac:dyDescent="0.2">
      <c r="A151" s="1315"/>
      <c r="B151" s="1316"/>
      <c r="C151" s="658">
        <v>550</v>
      </c>
      <c r="D151" s="658"/>
      <c r="E151" s="658">
        <v>550</v>
      </c>
      <c r="F151" s="658"/>
      <c r="G151" s="658">
        <v>600</v>
      </c>
      <c r="H151" s="658"/>
      <c r="I151" s="659">
        <v>2279</v>
      </c>
      <c r="J151" s="660">
        <v>600</v>
      </c>
      <c r="K151" s="660"/>
    </row>
    <row r="152" spans="1:11" ht="12" x14ac:dyDescent="0.2">
      <c r="A152" s="1315"/>
      <c r="B152" s="1316"/>
      <c r="C152" s="658"/>
      <c r="D152" s="658"/>
      <c r="E152" s="658"/>
      <c r="F152" s="658"/>
      <c r="G152" s="658">
        <v>140</v>
      </c>
      <c r="H152" s="658"/>
      <c r="I152" s="659">
        <v>2363</v>
      </c>
      <c r="J152" s="660">
        <v>140</v>
      </c>
      <c r="K152" s="660"/>
    </row>
    <row r="153" spans="1:11" ht="12" x14ac:dyDescent="0.2">
      <c r="A153" s="1315"/>
      <c r="B153" s="1316"/>
      <c r="C153" s="658"/>
      <c r="D153" s="658"/>
      <c r="E153" s="658"/>
      <c r="F153" s="658"/>
      <c r="G153" s="658">
        <v>12</v>
      </c>
      <c r="H153" s="658"/>
      <c r="I153" s="659">
        <v>2111</v>
      </c>
      <c r="J153" s="660">
        <v>12</v>
      </c>
      <c r="K153" s="660"/>
    </row>
    <row r="154" spans="1:11" ht="12" x14ac:dyDescent="0.2">
      <c r="A154" s="1315"/>
      <c r="B154" s="1316"/>
      <c r="C154" s="658">
        <v>200</v>
      </c>
      <c r="D154" s="658"/>
      <c r="E154" s="658">
        <v>200</v>
      </c>
      <c r="F154" s="658"/>
      <c r="G154" s="658">
        <v>200</v>
      </c>
      <c r="H154" s="658"/>
      <c r="I154" s="659">
        <v>2262</v>
      </c>
      <c r="J154" s="660">
        <v>0</v>
      </c>
      <c r="K154" s="660"/>
    </row>
    <row r="155" spans="1:11" ht="12" x14ac:dyDescent="0.2">
      <c r="A155" s="1315">
        <v>8.4</v>
      </c>
      <c r="B155" s="1316" t="s">
        <v>135</v>
      </c>
      <c r="C155" s="673">
        <f>SUM(C156:C157)</f>
        <v>0</v>
      </c>
      <c r="D155" s="673">
        <f>SUM(D156:D157)</f>
        <v>0</v>
      </c>
      <c r="E155" s="673">
        <f t="shared" ref="E155:F155" si="42">SUM(E156:E157)</f>
        <v>0</v>
      </c>
      <c r="F155" s="673">
        <f t="shared" si="42"/>
        <v>0</v>
      </c>
      <c r="G155" s="673">
        <f>SUM(G156:G157)</f>
        <v>1403</v>
      </c>
      <c r="H155" s="673">
        <f>SUM(H156:H157)</f>
        <v>0</v>
      </c>
      <c r="I155" s="689"/>
      <c r="J155" s="673">
        <f t="shared" ref="J155:K155" si="43">SUM(J156:J157)</f>
        <v>1403</v>
      </c>
      <c r="K155" s="673">
        <f t="shared" si="43"/>
        <v>0</v>
      </c>
    </row>
    <row r="156" spans="1:11" ht="15" customHeight="1" x14ac:dyDescent="0.2">
      <c r="A156" s="1315"/>
      <c r="B156" s="1316"/>
      <c r="C156" s="658"/>
      <c r="D156" s="658"/>
      <c r="E156" s="658"/>
      <c r="F156" s="658"/>
      <c r="G156" s="658">
        <v>1103</v>
      </c>
      <c r="H156" s="658"/>
      <c r="I156" s="659">
        <v>2363</v>
      </c>
      <c r="J156" s="660">
        <v>1103</v>
      </c>
      <c r="K156" s="660"/>
    </row>
    <row r="157" spans="1:11" ht="15" customHeight="1" x14ac:dyDescent="0.2">
      <c r="A157" s="1315"/>
      <c r="B157" s="1316"/>
      <c r="C157" s="658"/>
      <c r="D157" s="658"/>
      <c r="E157" s="658"/>
      <c r="F157" s="658"/>
      <c r="G157" s="678">
        <v>300</v>
      </c>
      <c r="H157" s="678"/>
      <c r="I157" s="659">
        <v>2261</v>
      </c>
      <c r="J157" s="660">
        <v>300</v>
      </c>
      <c r="K157" s="660"/>
    </row>
    <row r="158" spans="1:11" ht="12" x14ac:dyDescent="0.2">
      <c r="A158" s="710">
        <v>8.5</v>
      </c>
      <c r="B158" s="705" t="s">
        <v>136</v>
      </c>
      <c r="C158" s="673">
        <v>8640</v>
      </c>
      <c r="D158" s="673"/>
      <c r="E158" s="673">
        <v>8640</v>
      </c>
      <c r="F158" s="673"/>
      <c r="G158" s="701">
        <v>21600</v>
      </c>
      <c r="H158" s="701"/>
      <c r="I158" s="659">
        <v>2261</v>
      </c>
      <c r="J158" s="679">
        <v>15120</v>
      </c>
      <c r="K158" s="660"/>
    </row>
    <row r="159" spans="1:11" ht="12" x14ac:dyDescent="0.2">
      <c r="A159" s="712">
        <v>9</v>
      </c>
      <c r="B159" s="708" t="s">
        <v>1063</v>
      </c>
      <c r="C159" s="504">
        <f>SUM(C160:C173)</f>
        <v>0</v>
      </c>
      <c r="D159" s="504">
        <f>SUM(D160:D173)</f>
        <v>0</v>
      </c>
      <c r="E159" s="504">
        <f>SUM(E160:E173)</f>
        <v>0</v>
      </c>
      <c r="F159" s="504">
        <f>SUM(F160:F173)</f>
        <v>0</v>
      </c>
      <c r="G159" s="504" t="e">
        <f>G160+G162+#REF!+G167+G172</f>
        <v>#REF!</v>
      </c>
      <c r="H159" s="504" t="e">
        <f>H160+H162+#REF!+H167+H172</f>
        <v>#REF!</v>
      </c>
      <c r="I159" s="692"/>
      <c r="J159" s="684">
        <f>J160+J162+J167+J172</f>
        <v>1804</v>
      </c>
      <c r="K159" s="684">
        <f>K160+K162+K167+K172</f>
        <v>0</v>
      </c>
    </row>
    <row r="160" spans="1:11" ht="12" x14ac:dyDescent="0.2">
      <c r="A160" s="1315">
        <v>9.1</v>
      </c>
      <c r="B160" s="1316" t="s">
        <v>137</v>
      </c>
      <c r="C160" s="504">
        <f>SUM(C161)</f>
        <v>0</v>
      </c>
      <c r="D160" s="504"/>
      <c r="E160" s="504">
        <f t="shared" ref="E160" si="44">SUM(E161)</f>
        <v>0</v>
      </c>
      <c r="F160" s="504"/>
      <c r="G160" s="504">
        <f>SUM(G161)</f>
        <v>700</v>
      </c>
      <c r="H160" s="504"/>
      <c r="I160" s="692"/>
      <c r="J160" s="504">
        <f t="shared" ref="J160" si="45">SUM(J161)</f>
        <v>700</v>
      </c>
      <c r="K160" s="504"/>
    </row>
    <row r="161" spans="1:11" ht="12" x14ac:dyDescent="0.2">
      <c r="A161" s="1315"/>
      <c r="B161" s="1316"/>
      <c r="C161" s="504"/>
      <c r="D161" s="504"/>
      <c r="E161" s="504"/>
      <c r="F161" s="504"/>
      <c r="G161" s="506">
        <v>700</v>
      </c>
      <c r="H161" s="506"/>
      <c r="I161" s="507">
        <v>2363</v>
      </c>
      <c r="J161" s="683">
        <v>700</v>
      </c>
      <c r="K161" s="683"/>
    </row>
    <row r="162" spans="1:11" ht="12" x14ac:dyDescent="0.2">
      <c r="A162" s="1315">
        <v>9.1999999999999993</v>
      </c>
      <c r="B162" s="1316" t="s">
        <v>138</v>
      </c>
      <c r="C162" s="504">
        <f t="shared" ref="C162:E162" si="46">SUM(C163:C166)</f>
        <v>0</v>
      </c>
      <c r="D162" s="504"/>
      <c r="E162" s="504">
        <f t="shared" si="46"/>
        <v>0</v>
      </c>
      <c r="F162" s="504"/>
      <c r="G162" s="504">
        <f>SUM(G163:G166)</f>
        <v>542</v>
      </c>
      <c r="H162" s="504"/>
      <c r="I162" s="692"/>
      <c r="J162" s="504">
        <f t="shared" ref="J162" si="47">SUM(J163:J166)</f>
        <v>542</v>
      </c>
      <c r="K162" s="504"/>
    </row>
    <row r="163" spans="1:11" ht="12" x14ac:dyDescent="0.2">
      <c r="A163" s="1315"/>
      <c r="B163" s="1316"/>
      <c r="C163" s="504"/>
      <c r="D163" s="504"/>
      <c r="E163" s="504"/>
      <c r="F163" s="504"/>
      <c r="G163" s="506">
        <v>120</v>
      </c>
      <c r="H163" s="506"/>
      <c r="I163" s="507">
        <v>2261</v>
      </c>
      <c r="J163" s="683">
        <v>120</v>
      </c>
      <c r="K163" s="683"/>
    </row>
    <row r="164" spans="1:11" ht="12" x14ac:dyDescent="0.2">
      <c r="A164" s="1315"/>
      <c r="B164" s="1316"/>
      <c r="C164" s="504"/>
      <c r="D164" s="504"/>
      <c r="E164" s="504"/>
      <c r="F164" s="504"/>
      <c r="G164" s="506">
        <v>210</v>
      </c>
      <c r="H164" s="506"/>
      <c r="I164" s="507">
        <v>2363</v>
      </c>
      <c r="J164" s="683">
        <v>210</v>
      </c>
      <c r="K164" s="683"/>
    </row>
    <row r="165" spans="1:11" ht="12" x14ac:dyDescent="0.2">
      <c r="A165" s="1315"/>
      <c r="B165" s="1316"/>
      <c r="C165" s="504"/>
      <c r="D165" s="504"/>
      <c r="E165" s="504"/>
      <c r="F165" s="504"/>
      <c r="G165" s="506">
        <v>12</v>
      </c>
      <c r="H165" s="506"/>
      <c r="I165" s="507">
        <v>2111</v>
      </c>
      <c r="J165" s="683">
        <v>12</v>
      </c>
      <c r="K165" s="683"/>
    </row>
    <row r="166" spans="1:11" ht="12" x14ac:dyDescent="0.2">
      <c r="A166" s="1315"/>
      <c r="B166" s="1316"/>
      <c r="C166" s="504"/>
      <c r="D166" s="504"/>
      <c r="E166" s="504"/>
      <c r="F166" s="504"/>
      <c r="G166" s="506">
        <v>200</v>
      </c>
      <c r="H166" s="506"/>
      <c r="I166" s="507">
        <v>2262</v>
      </c>
      <c r="J166" s="683">
        <v>200</v>
      </c>
      <c r="K166" s="683"/>
    </row>
    <row r="167" spans="1:11" ht="12" x14ac:dyDescent="0.2">
      <c r="A167" s="1315">
        <v>9.3000000000000007</v>
      </c>
      <c r="B167" s="1316" t="s">
        <v>139</v>
      </c>
      <c r="C167" s="504">
        <f t="shared" ref="C167:E167" si="48">SUM(C168:C171)</f>
        <v>0</v>
      </c>
      <c r="D167" s="504"/>
      <c r="E167" s="504">
        <f t="shared" si="48"/>
        <v>0</v>
      </c>
      <c r="F167" s="504"/>
      <c r="G167" s="504">
        <f>SUM(G168:G171)</f>
        <v>462</v>
      </c>
      <c r="H167" s="504"/>
      <c r="I167" s="692"/>
      <c r="J167" s="504">
        <f>SUM(J168:J171)</f>
        <v>462</v>
      </c>
      <c r="K167" s="504"/>
    </row>
    <row r="168" spans="1:11" ht="12" x14ac:dyDescent="0.2">
      <c r="A168" s="1315"/>
      <c r="B168" s="1316"/>
      <c r="C168" s="504"/>
      <c r="D168" s="504"/>
      <c r="E168" s="504"/>
      <c r="F168" s="504"/>
      <c r="G168" s="506">
        <v>120</v>
      </c>
      <c r="H168" s="506"/>
      <c r="I168" s="507">
        <v>2261</v>
      </c>
      <c r="J168" s="683">
        <v>120</v>
      </c>
      <c r="K168" s="683"/>
    </row>
    <row r="169" spans="1:11" ht="12" x14ac:dyDescent="0.2">
      <c r="A169" s="1315"/>
      <c r="B169" s="1316"/>
      <c r="C169" s="504"/>
      <c r="D169" s="504"/>
      <c r="E169" s="504"/>
      <c r="F169" s="504"/>
      <c r="G169" s="506">
        <v>210</v>
      </c>
      <c r="H169" s="506"/>
      <c r="I169" s="507">
        <v>2363</v>
      </c>
      <c r="J169" s="683">
        <v>210</v>
      </c>
      <c r="K169" s="683"/>
    </row>
    <row r="170" spans="1:11" ht="12" x14ac:dyDescent="0.2">
      <c r="A170" s="1315"/>
      <c r="B170" s="1316"/>
      <c r="C170" s="504"/>
      <c r="D170" s="504"/>
      <c r="E170" s="504"/>
      <c r="F170" s="504"/>
      <c r="G170" s="506">
        <v>12</v>
      </c>
      <c r="H170" s="506"/>
      <c r="I170" s="507">
        <v>2111</v>
      </c>
      <c r="J170" s="683">
        <v>12</v>
      </c>
      <c r="K170" s="683"/>
    </row>
    <row r="171" spans="1:11" ht="12" x14ac:dyDescent="0.2">
      <c r="A171" s="1315"/>
      <c r="B171" s="1316"/>
      <c r="C171" s="504"/>
      <c r="D171" s="504"/>
      <c r="E171" s="504"/>
      <c r="F171" s="504"/>
      <c r="G171" s="506">
        <v>120</v>
      </c>
      <c r="H171" s="506"/>
      <c r="I171" s="507">
        <v>2262</v>
      </c>
      <c r="J171" s="683">
        <v>120</v>
      </c>
      <c r="K171" s="683"/>
    </row>
    <row r="172" spans="1:11" ht="12" x14ac:dyDescent="0.2">
      <c r="A172" s="1315">
        <v>9.4</v>
      </c>
      <c r="B172" s="1316" t="s">
        <v>131</v>
      </c>
      <c r="C172" s="504">
        <f>SUM(C173:C173)</f>
        <v>0</v>
      </c>
      <c r="D172" s="504"/>
      <c r="E172" s="504">
        <f>SUM(E173:E173)</f>
        <v>0</v>
      </c>
      <c r="F172" s="504"/>
      <c r="G172" s="504">
        <f>SUM(G173:G173)</f>
        <v>300</v>
      </c>
      <c r="H172" s="504"/>
      <c r="I172" s="692"/>
      <c r="J172" s="504">
        <f>SUM(J173:J173)</f>
        <v>100</v>
      </c>
      <c r="K172" s="504"/>
    </row>
    <row r="173" spans="1:11" ht="12" x14ac:dyDescent="0.2">
      <c r="A173" s="1315"/>
      <c r="B173" s="1316"/>
      <c r="C173" s="658"/>
      <c r="D173" s="658"/>
      <c r="E173" s="658"/>
      <c r="F173" s="658"/>
      <c r="G173" s="658">
        <v>300</v>
      </c>
      <c r="H173" s="658"/>
      <c r="I173" s="659">
        <v>2370</v>
      </c>
      <c r="J173" s="660">
        <v>100</v>
      </c>
      <c r="K173" s="660"/>
    </row>
    <row r="174" spans="1:11" ht="24" x14ac:dyDescent="0.2">
      <c r="A174" s="712">
        <v>10</v>
      </c>
      <c r="B174" s="711" t="s">
        <v>1064</v>
      </c>
      <c r="C174" s="504">
        <f>C175+C177</f>
        <v>4291</v>
      </c>
      <c r="D174" s="504">
        <f>D175+D177</f>
        <v>0</v>
      </c>
      <c r="E174" s="504">
        <f t="shared" ref="E174:F174" si="49">E175+E177</f>
        <v>4291</v>
      </c>
      <c r="F174" s="504">
        <f t="shared" si="49"/>
        <v>0</v>
      </c>
      <c r="G174" s="504">
        <f>G175+G177</f>
        <v>7086</v>
      </c>
      <c r="H174" s="504">
        <f>H175+H177</f>
        <v>0</v>
      </c>
      <c r="I174" s="692"/>
      <c r="J174" s="504">
        <f>J175+J177</f>
        <v>6686</v>
      </c>
      <c r="K174" s="504">
        <f t="shared" ref="K174" si="50">K175+K177</f>
        <v>0</v>
      </c>
    </row>
    <row r="175" spans="1:11" ht="12" x14ac:dyDescent="0.2">
      <c r="A175" s="1316">
        <v>10.1</v>
      </c>
      <c r="B175" s="1316" t="s">
        <v>140</v>
      </c>
      <c r="C175" s="673">
        <f>SUM(C176:C176)</f>
        <v>889</v>
      </c>
      <c r="D175" s="673">
        <f>SUM(D176:D176)</f>
        <v>0</v>
      </c>
      <c r="E175" s="673">
        <f t="shared" ref="E175:F175" si="51">SUM(E176:E176)</f>
        <v>889</v>
      </c>
      <c r="F175" s="673">
        <f t="shared" si="51"/>
        <v>0</v>
      </c>
      <c r="G175" s="673">
        <f>SUM(G176:G176)</f>
        <v>420</v>
      </c>
      <c r="H175" s="673">
        <f>SUM(H176:H176)</f>
        <v>0</v>
      </c>
      <c r="I175" s="689"/>
      <c r="J175" s="673">
        <f>SUM(J176:J176)</f>
        <v>420</v>
      </c>
      <c r="K175" s="673">
        <f t="shared" ref="K175" si="52">SUM(K176:K176)</f>
        <v>0</v>
      </c>
    </row>
    <row r="176" spans="1:11" ht="12" x14ac:dyDescent="0.2">
      <c r="A176" s="1316"/>
      <c r="B176" s="1316"/>
      <c r="C176" s="658">
        <v>889</v>
      </c>
      <c r="D176" s="658"/>
      <c r="E176" s="658">
        <v>889</v>
      </c>
      <c r="F176" s="658"/>
      <c r="G176" s="658">
        <v>420</v>
      </c>
      <c r="H176" s="658"/>
      <c r="I176" s="659">
        <v>2363</v>
      </c>
      <c r="J176" s="660">
        <v>420</v>
      </c>
      <c r="K176" s="660"/>
    </row>
    <row r="177" spans="1:11" ht="12" x14ac:dyDescent="0.2">
      <c r="A177" s="1316">
        <v>10.199999999999999</v>
      </c>
      <c r="B177" s="1316" t="s">
        <v>126</v>
      </c>
      <c r="C177" s="673">
        <f t="shared" ref="C177:H177" si="53">SUM(C178:C182)</f>
        <v>3402</v>
      </c>
      <c r="D177" s="673">
        <f t="shared" si="53"/>
        <v>0</v>
      </c>
      <c r="E177" s="673">
        <f t="shared" si="53"/>
        <v>3402</v>
      </c>
      <c r="F177" s="673">
        <f t="shared" si="53"/>
        <v>0</v>
      </c>
      <c r="G177" s="673">
        <f t="shared" si="53"/>
        <v>6666</v>
      </c>
      <c r="H177" s="673">
        <f t="shared" si="53"/>
        <v>0</v>
      </c>
      <c r="I177" s="689"/>
      <c r="J177" s="673">
        <f>SUM(J178:J182)</f>
        <v>6266</v>
      </c>
      <c r="K177" s="673">
        <f>SUM(K178:K182)</f>
        <v>0</v>
      </c>
    </row>
    <row r="178" spans="1:11" ht="12" x14ac:dyDescent="0.2">
      <c r="A178" s="1316"/>
      <c r="B178" s="1316"/>
      <c r="C178" s="658"/>
      <c r="D178" s="658"/>
      <c r="E178" s="658"/>
      <c r="F178" s="658"/>
      <c r="G178" s="658">
        <v>2688</v>
      </c>
      <c r="H178" s="658"/>
      <c r="I178" s="659">
        <v>2363</v>
      </c>
      <c r="J178" s="660">
        <v>2688</v>
      </c>
      <c r="K178" s="660"/>
    </row>
    <row r="179" spans="1:11" ht="12" x14ac:dyDescent="0.2">
      <c r="A179" s="1316"/>
      <c r="B179" s="1316"/>
      <c r="C179" s="658"/>
      <c r="D179" s="658"/>
      <c r="E179" s="658"/>
      <c r="F179" s="658"/>
      <c r="G179" s="658">
        <v>1536</v>
      </c>
      <c r="H179" s="658"/>
      <c r="I179" s="659">
        <v>2261</v>
      </c>
      <c r="J179" s="660">
        <v>1536</v>
      </c>
      <c r="K179" s="660"/>
    </row>
    <row r="180" spans="1:11" ht="12" x14ac:dyDescent="0.2">
      <c r="A180" s="1316"/>
      <c r="B180" s="1316"/>
      <c r="C180" s="658"/>
      <c r="D180" s="658"/>
      <c r="E180" s="658"/>
      <c r="F180" s="658"/>
      <c r="G180" s="658">
        <v>192</v>
      </c>
      <c r="H180" s="658"/>
      <c r="I180" s="659">
        <v>2111</v>
      </c>
      <c r="J180" s="660">
        <v>192</v>
      </c>
      <c r="K180" s="660"/>
    </row>
    <row r="181" spans="1:11" ht="12" x14ac:dyDescent="0.2">
      <c r="A181" s="1316"/>
      <c r="B181" s="1316"/>
      <c r="C181" s="658">
        <v>3032</v>
      </c>
      <c r="D181" s="658"/>
      <c r="E181" s="658">
        <v>3032</v>
      </c>
      <c r="F181" s="658"/>
      <c r="G181" s="658">
        <v>2000</v>
      </c>
      <c r="H181" s="658"/>
      <c r="I181" s="659">
        <v>2262</v>
      </c>
      <c r="J181" s="660">
        <v>1600</v>
      </c>
      <c r="K181" s="660"/>
    </row>
    <row r="182" spans="1:11" ht="12" x14ac:dyDescent="0.2">
      <c r="A182" s="1316"/>
      <c r="B182" s="1316"/>
      <c r="C182" s="660">
        <v>370</v>
      </c>
      <c r="D182" s="660"/>
      <c r="E182" s="660">
        <v>370</v>
      </c>
      <c r="F182" s="660"/>
      <c r="G182" s="658">
        <v>250</v>
      </c>
      <c r="H182" s="658"/>
      <c r="I182" s="659">
        <v>2279</v>
      </c>
      <c r="J182" s="660">
        <f>100+150</f>
        <v>250</v>
      </c>
      <c r="K182" s="660"/>
    </row>
    <row r="183" spans="1:11" ht="24" x14ac:dyDescent="0.2">
      <c r="A183" s="712">
        <v>11</v>
      </c>
      <c r="B183" s="711" t="s">
        <v>1069</v>
      </c>
      <c r="C183" s="504" t="e">
        <f>C184+C188+C193+C198+#REF!+#REF!+C203+C206+#REF!+C207</f>
        <v>#REF!</v>
      </c>
      <c r="D183" s="504" t="e">
        <f>D184+D188+D193+D198+#REF!+#REF!+D203+D206+#REF!+D207</f>
        <v>#REF!</v>
      </c>
      <c r="E183" s="504" t="e">
        <f>E184+E188+E193+E198+#REF!+#REF!+E203+E206+#REF!+E207</f>
        <v>#REF!</v>
      </c>
      <c r="F183" s="504" t="e">
        <f>F184+F188+F193+F198+#REF!+#REF!+F203+F206+#REF!+F207</f>
        <v>#REF!</v>
      </c>
      <c r="G183" s="504" t="e">
        <f>G184+G188+G193+G198+#REF!+#REF!+G203+G206+#REF!+G207</f>
        <v>#REF!</v>
      </c>
      <c r="H183" s="504" t="e">
        <f>H184+H188+H193+H198+#REF!+#REF!+H203+H206+#REF!+H207</f>
        <v>#REF!</v>
      </c>
      <c r="I183" s="692"/>
      <c r="J183" s="504">
        <f>J184+J188+J193+J198+J203+J206+J207</f>
        <v>49210</v>
      </c>
      <c r="K183" s="504">
        <f>K184+K188+K193+K198+K203+K206+K207</f>
        <v>0</v>
      </c>
    </row>
    <row r="184" spans="1:11" ht="12" x14ac:dyDescent="0.2">
      <c r="A184" s="1315">
        <v>11.1</v>
      </c>
      <c r="B184" s="1316" t="s">
        <v>141</v>
      </c>
      <c r="C184" s="504">
        <f t="shared" ref="C184:H184" si="54">SUM(C185:C187)</f>
        <v>690</v>
      </c>
      <c r="D184" s="504">
        <f t="shared" si="54"/>
        <v>0</v>
      </c>
      <c r="E184" s="504">
        <f t="shared" si="54"/>
        <v>690</v>
      </c>
      <c r="F184" s="504">
        <f t="shared" si="54"/>
        <v>0</v>
      </c>
      <c r="G184" s="504">
        <f t="shared" si="54"/>
        <v>1832</v>
      </c>
      <c r="H184" s="504">
        <f t="shared" si="54"/>
        <v>0</v>
      </c>
      <c r="I184" s="692"/>
      <c r="J184" s="504">
        <f>SUM(J185:J187)</f>
        <v>1832</v>
      </c>
      <c r="K184" s="504">
        <f>SUM(K185:K187)</f>
        <v>0</v>
      </c>
    </row>
    <row r="185" spans="1:11" ht="12" x14ac:dyDescent="0.2">
      <c r="A185" s="1315"/>
      <c r="B185" s="1316"/>
      <c r="C185" s="506">
        <v>690</v>
      </c>
      <c r="D185" s="506"/>
      <c r="E185" s="506">
        <v>690</v>
      </c>
      <c r="F185" s="506"/>
      <c r="G185" s="506">
        <v>622</v>
      </c>
      <c r="H185" s="506"/>
      <c r="I185" s="507">
        <v>2279</v>
      </c>
      <c r="J185" s="683">
        <f>142+480</f>
        <v>622</v>
      </c>
      <c r="K185" s="684"/>
    </row>
    <row r="186" spans="1:11" ht="12" x14ac:dyDescent="0.2">
      <c r="A186" s="1315"/>
      <c r="B186" s="1316"/>
      <c r="C186" s="504"/>
      <c r="D186" s="504"/>
      <c r="E186" s="504"/>
      <c r="F186" s="504"/>
      <c r="G186" s="506">
        <v>1078</v>
      </c>
      <c r="H186" s="506"/>
      <c r="I186" s="507">
        <v>2363</v>
      </c>
      <c r="J186" s="683">
        <v>1078</v>
      </c>
      <c r="K186" s="684"/>
    </row>
    <row r="187" spans="1:11" ht="12" x14ac:dyDescent="0.2">
      <c r="A187" s="1315"/>
      <c r="B187" s="1316"/>
      <c r="C187" s="504"/>
      <c r="D187" s="504"/>
      <c r="E187" s="504"/>
      <c r="F187" s="504"/>
      <c r="G187" s="506">
        <v>132</v>
      </c>
      <c r="H187" s="506"/>
      <c r="I187" s="507">
        <v>2111</v>
      </c>
      <c r="J187" s="683">
        <v>132</v>
      </c>
      <c r="K187" s="684"/>
    </row>
    <row r="188" spans="1:11" ht="12" x14ac:dyDescent="0.2">
      <c r="A188" s="1319">
        <v>11.2</v>
      </c>
      <c r="B188" s="1320" t="s">
        <v>142</v>
      </c>
      <c r="C188" s="504">
        <f t="shared" ref="C188:H188" si="55">SUM(C189:C192)</f>
        <v>0</v>
      </c>
      <c r="D188" s="504">
        <f t="shared" si="55"/>
        <v>0</v>
      </c>
      <c r="E188" s="504">
        <f t="shared" si="55"/>
        <v>0</v>
      </c>
      <c r="F188" s="504">
        <f t="shared" si="55"/>
        <v>0</v>
      </c>
      <c r="G188" s="504">
        <f t="shared" si="55"/>
        <v>3096</v>
      </c>
      <c r="H188" s="504">
        <f t="shared" si="55"/>
        <v>0</v>
      </c>
      <c r="I188" s="692"/>
      <c r="J188" s="504">
        <f>SUM(J189:J192)</f>
        <v>3096</v>
      </c>
      <c r="K188" s="504">
        <f>SUM(K189:K192)</f>
        <v>0</v>
      </c>
    </row>
    <row r="189" spans="1:11" ht="15" customHeight="1" x14ac:dyDescent="0.2">
      <c r="A189" s="1319"/>
      <c r="B189" s="1320"/>
      <c r="C189" s="504"/>
      <c r="D189" s="504"/>
      <c r="E189" s="504"/>
      <c r="F189" s="504"/>
      <c r="G189" s="506">
        <v>1536</v>
      </c>
      <c r="H189" s="506"/>
      <c r="I189" s="507">
        <v>2261</v>
      </c>
      <c r="J189" s="683">
        <v>1536</v>
      </c>
      <c r="K189" s="684"/>
    </row>
    <row r="190" spans="1:11" ht="15" customHeight="1" x14ac:dyDescent="0.2">
      <c r="A190" s="1319"/>
      <c r="B190" s="1320"/>
      <c r="C190" s="504"/>
      <c r="D190" s="504"/>
      <c r="E190" s="504"/>
      <c r="F190" s="504"/>
      <c r="G190" s="506">
        <v>1344</v>
      </c>
      <c r="H190" s="506"/>
      <c r="I190" s="507">
        <v>2363</v>
      </c>
      <c r="J190" s="683">
        <v>1344</v>
      </c>
      <c r="K190" s="684"/>
    </row>
    <row r="191" spans="1:11" ht="12" x14ac:dyDescent="0.2">
      <c r="A191" s="1319"/>
      <c r="B191" s="1320"/>
      <c r="C191" s="504"/>
      <c r="D191" s="504"/>
      <c r="E191" s="504"/>
      <c r="F191" s="504"/>
      <c r="G191" s="506">
        <v>96</v>
      </c>
      <c r="H191" s="506"/>
      <c r="I191" s="507">
        <v>2111</v>
      </c>
      <c r="J191" s="683">
        <v>96</v>
      </c>
      <c r="K191" s="684"/>
    </row>
    <row r="192" spans="1:11" ht="15" customHeight="1" x14ac:dyDescent="0.2">
      <c r="A192" s="1319"/>
      <c r="B192" s="1320"/>
      <c r="C192" s="504"/>
      <c r="D192" s="504"/>
      <c r="E192" s="504"/>
      <c r="F192" s="504"/>
      <c r="G192" s="506">
        <v>120</v>
      </c>
      <c r="H192" s="506"/>
      <c r="I192" s="507">
        <v>2341</v>
      </c>
      <c r="J192" s="683">
        <v>120</v>
      </c>
      <c r="K192" s="684"/>
    </row>
    <row r="193" spans="1:11" ht="12" x14ac:dyDescent="0.2">
      <c r="A193" s="1315">
        <v>11.3</v>
      </c>
      <c r="B193" s="1316" t="s">
        <v>143</v>
      </c>
      <c r="C193" s="504">
        <f>SUM(C194:C197)</f>
        <v>0</v>
      </c>
      <c r="D193" s="504">
        <f>SUM(D194:D197)</f>
        <v>0</v>
      </c>
      <c r="E193" s="504">
        <f t="shared" ref="E193:F193" si="56">SUM(E194:E197)</f>
        <v>0</v>
      </c>
      <c r="F193" s="504">
        <f t="shared" si="56"/>
        <v>0</v>
      </c>
      <c r="G193" s="504">
        <f>SUM(G194:G197)</f>
        <v>4736</v>
      </c>
      <c r="H193" s="504">
        <f>SUM(H194:H197)</f>
        <v>0</v>
      </c>
      <c r="I193" s="692"/>
      <c r="J193" s="504">
        <f>SUM(J194:J197)</f>
        <v>4736</v>
      </c>
      <c r="K193" s="504">
        <f t="shared" ref="K193" si="57">SUM(K194:K197)</f>
        <v>0</v>
      </c>
    </row>
    <row r="194" spans="1:11" ht="12" x14ac:dyDescent="0.2">
      <c r="A194" s="1315"/>
      <c r="B194" s="1316"/>
      <c r="C194" s="504"/>
      <c r="D194" s="504"/>
      <c r="E194" s="504"/>
      <c r="F194" s="504"/>
      <c r="G194" s="506">
        <v>1536</v>
      </c>
      <c r="H194" s="506"/>
      <c r="I194" s="507">
        <v>2261</v>
      </c>
      <c r="J194" s="683">
        <v>1536</v>
      </c>
      <c r="K194" s="684"/>
    </row>
    <row r="195" spans="1:11" ht="12" x14ac:dyDescent="0.2">
      <c r="A195" s="1315"/>
      <c r="B195" s="1316"/>
      <c r="C195" s="504"/>
      <c r="D195" s="504"/>
      <c r="E195" s="504"/>
      <c r="F195" s="504"/>
      <c r="G195" s="506">
        <v>1344</v>
      </c>
      <c r="H195" s="506"/>
      <c r="I195" s="507">
        <v>2363</v>
      </c>
      <c r="J195" s="683">
        <v>1344</v>
      </c>
      <c r="K195" s="684"/>
    </row>
    <row r="196" spans="1:11" ht="12" x14ac:dyDescent="0.2">
      <c r="A196" s="1315"/>
      <c r="B196" s="1316"/>
      <c r="C196" s="504"/>
      <c r="D196" s="504"/>
      <c r="E196" s="504"/>
      <c r="F196" s="504"/>
      <c r="G196" s="506">
        <v>96</v>
      </c>
      <c r="H196" s="506"/>
      <c r="I196" s="507">
        <v>2111</v>
      </c>
      <c r="J196" s="683">
        <v>96</v>
      </c>
      <c r="K196" s="684"/>
    </row>
    <row r="197" spans="1:11" ht="12" x14ac:dyDescent="0.2">
      <c r="A197" s="1315"/>
      <c r="B197" s="1316"/>
      <c r="C197" s="504"/>
      <c r="D197" s="504"/>
      <c r="E197" s="504"/>
      <c r="F197" s="504"/>
      <c r="G197" s="506">
        <v>1760</v>
      </c>
      <c r="H197" s="506"/>
      <c r="I197" s="507">
        <v>2261</v>
      </c>
      <c r="J197" s="683">
        <v>1760</v>
      </c>
      <c r="K197" s="684"/>
    </row>
    <row r="198" spans="1:11" ht="12" x14ac:dyDescent="0.2">
      <c r="A198" s="1315">
        <v>11.4</v>
      </c>
      <c r="B198" s="1316" t="s">
        <v>144</v>
      </c>
      <c r="C198" s="504">
        <f t="shared" ref="C198:H198" si="58">SUM(C199:C202)</f>
        <v>0</v>
      </c>
      <c r="D198" s="504">
        <f t="shared" si="58"/>
        <v>0</v>
      </c>
      <c r="E198" s="504">
        <f t="shared" si="58"/>
        <v>0</v>
      </c>
      <c r="F198" s="504">
        <f t="shared" si="58"/>
        <v>0</v>
      </c>
      <c r="G198" s="504">
        <f t="shared" si="58"/>
        <v>3156</v>
      </c>
      <c r="H198" s="504">
        <f t="shared" si="58"/>
        <v>0</v>
      </c>
      <c r="I198" s="692"/>
      <c r="J198" s="504">
        <f>SUM(J199:J202)</f>
        <v>3156</v>
      </c>
      <c r="K198" s="504">
        <f t="shared" ref="K198" si="59">SUM(K199:K202)</f>
        <v>0</v>
      </c>
    </row>
    <row r="199" spans="1:11" ht="12" x14ac:dyDescent="0.2">
      <c r="A199" s="1315"/>
      <c r="B199" s="1316"/>
      <c r="C199" s="504"/>
      <c r="D199" s="504"/>
      <c r="E199" s="504"/>
      <c r="F199" s="504"/>
      <c r="G199" s="506">
        <v>960</v>
      </c>
      <c r="H199" s="506"/>
      <c r="I199" s="507">
        <v>2261</v>
      </c>
      <c r="J199" s="683">
        <v>960</v>
      </c>
      <c r="K199" s="684"/>
    </row>
    <row r="200" spans="1:11" ht="12" x14ac:dyDescent="0.2">
      <c r="A200" s="1315"/>
      <c r="B200" s="1316"/>
      <c r="C200" s="504"/>
      <c r="D200" s="504"/>
      <c r="E200" s="504"/>
      <c r="F200" s="504"/>
      <c r="G200" s="506">
        <v>840</v>
      </c>
      <c r="H200" s="506"/>
      <c r="I200" s="507">
        <v>2363</v>
      </c>
      <c r="J200" s="683">
        <v>840</v>
      </c>
      <c r="K200" s="684"/>
    </row>
    <row r="201" spans="1:11" ht="12" x14ac:dyDescent="0.2">
      <c r="A201" s="1315"/>
      <c r="B201" s="1316"/>
      <c r="C201" s="504"/>
      <c r="D201" s="504"/>
      <c r="E201" s="504"/>
      <c r="F201" s="504"/>
      <c r="G201" s="506">
        <v>36</v>
      </c>
      <c r="H201" s="506"/>
      <c r="I201" s="507">
        <v>2111</v>
      </c>
      <c r="J201" s="683">
        <v>36</v>
      </c>
      <c r="K201" s="684"/>
    </row>
    <row r="202" spans="1:11" ht="12" x14ac:dyDescent="0.2">
      <c r="A202" s="1315"/>
      <c r="B202" s="1316"/>
      <c r="C202" s="504"/>
      <c r="D202" s="504"/>
      <c r="E202" s="504"/>
      <c r="F202" s="504"/>
      <c r="G202" s="506">
        <v>1320</v>
      </c>
      <c r="H202" s="506"/>
      <c r="I202" s="507">
        <v>2261</v>
      </c>
      <c r="J202" s="683">
        <v>1320</v>
      </c>
      <c r="K202" s="684"/>
    </row>
    <row r="203" spans="1:11" ht="12" x14ac:dyDescent="0.2">
      <c r="A203" s="1315">
        <v>11.5</v>
      </c>
      <c r="B203" s="1316" t="s">
        <v>145</v>
      </c>
      <c r="C203" s="504">
        <f>SUM(C204:C205)</f>
        <v>0</v>
      </c>
      <c r="D203" s="504">
        <f>SUM(D204:D205)</f>
        <v>0</v>
      </c>
      <c r="E203" s="504">
        <f t="shared" ref="E203" si="60">SUM(E204:E205)</f>
        <v>0</v>
      </c>
      <c r="F203" s="504">
        <f>SUM(F204:F205)</f>
        <v>0</v>
      </c>
      <c r="G203" s="504">
        <f>SUM(G204:G205)</f>
        <v>2850</v>
      </c>
      <c r="H203" s="504">
        <f>SUM(H204:H205)</f>
        <v>0</v>
      </c>
      <c r="I203" s="692"/>
      <c r="J203" s="504">
        <f t="shared" ref="J203" si="61">SUM(J204:J205)</f>
        <v>2850</v>
      </c>
      <c r="K203" s="504">
        <f>SUM(K204:K205)</f>
        <v>0</v>
      </c>
    </row>
    <row r="204" spans="1:11" ht="12" x14ac:dyDescent="0.2">
      <c r="A204" s="1315"/>
      <c r="B204" s="1316"/>
      <c r="C204" s="504"/>
      <c r="D204" s="504"/>
      <c r="E204" s="504"/>
      <c r="F204" s="504"/>
      <c r="G204" s="506">
        <v>350</v>
      </c>
      <c r="H204" s="506"/>
      <c r="I204" s="507">
        <v>2279</v>
      </c>
      <c r="J204" s="683">
        <v>350</v>
      </c>
      <c r="K204" s="684"/>
    </row>
    <row r="205" spans="1:11" ht="12" x14ac:dyDescent="0.2">
      <c r="A205" s="1315"/>
      <c r="B205" s="1316"/>
      <c r="C205" s="504"/>
      <c r="D205" s="504"/>
      <c r="E205" s="504"/>
      <c r="F205" s="504"/>
      <c r="G205" s="506">
        <v>2500</v>
      </c>
      <c r="H205" s="506"/>
      <c r="I205" s="507">
        <v>2262</v>
      </c>
      <c r="J205" s="683">
        <v>2500</v>
      </c>
      <c r="K205" s="684"/>
    </row>
    <row r="206" spans="1:11" ht="12" x14ac:dyDescent="0.2">
      <c r="A206" s="671">
        <v>11.6</v>
      </c>
      <c r="B206" s="664" t="s">
        <v>1020</v>
      </c>
      <c r="C206" s="504">
        <v>28459</v>
      </c>
      <c r="D206" s="504"/>
      <c r="E206" s="504">
        <v>28459</v>
      </c>
      <c r="F206" s="504"/>
      <c r="G206" s="504">
        <v>34200</v>
      </c>
      <c r="H206" s="504"/>
      <c r="I206" s="507">
        <v>2261</v>
      </c>
      <c r="J206" s="684">
        <v>28200</v>
      </c>
      <c r="K206" s="684"/>
    </row>
    <row r="207" spans="1:11" ht="12" x14ac:dyDescent="0.2">
      <c r="A207" s="1315">
        <v>11.7</v>
      </c>
      <c r="B207" s="1316" t="s">
        <v>131</v>
      </c>
      <c r="C207" s="673">
        <f t="shared" ref="C207:E207" si="62">SUM(C208:C209)</f>
        <v>7641</v>
      </c>
      <c r="D207" s="673"/>
      <c r="E207" s="673">
        <f t="shared" si="62"/>
        <v>7641</v>
      </c>
      <c r="F207" s="673"/>
      <c r="G207" s="673">
        <f>SUM(G208:G209)</f>
        <v>5340</v>
      </c>
      <c r="H207" s="673"/>
      <c r="I207" s="689"/>
      <c r="J207" s="673">
        <f>SUM(J208:J209)</f>
        <v>5340</v>
      </c>
      <c r="K207" s="673"/>
    </row>
    <row r="208" spans="1:11" ht="12" x14ac:dyDescent="0.2">
      <c r="A208" s="1315"/>
      <c r="B208" s="1316"/>
      <c r="C208" s="658"/>
      <c r="D208" s="658"/>
      <c r="E208" s="658"/>
      <c r="F208" s="658"/>
      <c r="G208" s="658">
        <v>180</v>
      </c>
      <c r="H208" s="658"/>
      <c r="I208" s="659">
        <v>2370</v>
      </c>
      <c r="J208" s="660">
        <v>180</v>
      </c>
      <c r="K208" s="660"/>
    </row>
    <row r="209" spans="1:11" ht="12" x14ac:dyDescent="0.2">
      <c r="A209" s="1315"/>
      <c r="B209" s="1316"/>
      <c r="C209" s="658">
        <v>7641</v>
      </c>
      <c r="D209" s="658"/>
      <c r="E209" s="658">
        <v>7641</v>
      </c>
      <c r="F209" s="658"/>
      <c r="G209" s="658">
        <v>5160</v>
      </c>
      <c r="H209" s="658"/>
      <c r="I209" s="659">
        <v>2361</v>
      </c>
      <c r="J209" s="660">
        <f>3960+1200</f>
        <v>5160</v>
      </c>
      <c r="K209" s="660"/>
    </row>
    <row r="210" spans="1:11" ht="24" x14ac:dyDescent="0.2">
      <c r="A210" s="712">
        <v>12</v>
      </c>
      <c r="B210" s="711" t="s">
        <v>1065</v>
      </c>
      <c r="C210" s="504" t="e">
        <f>C213+C212+C211+C219+C224+C227+#REF!+#REF!</f>
        <v>#REF!</v>
      </c>
      <c r="D210" s="504" t="e">
        <f>D213+D212+D211+D219+D224+D227+#REF!+#REF!</f>
        <v>#REF!</v>
      </c>
      <c r="E210" s="504" t="e">
        <f>E213+E212+E211+E219+E224+E227+#REF!+#REF!</f>
        <v>#REF!</v>
      </c>
      <c r="F210" s="504" t="e">
        <f>F213+F212+F211+F219+F224+F227+#REF!+#REF!</f>
        <v>#REF!</v>
      </c>
      <c r="G210" s="504" t="e">
        <f>G211+G212+G213+G218+G219+#REF!+G224+G227</f>
        <v>#REF!</v>
      </c>
      <c r="H210" s="504" t="e">
        <f>H213+H212+H211+H219+H224+H227+#REF!+#REF!</f>
        <v>#REF!</v>
      </c>
      <c r="I210" s="692"/>
      <c r="J210" s="504">
        <f>J211+J212+J213+J218+J219+J224+J227</f>
        <v>10956</v>
      </c>
      <c r="K210" s="504">
        <f>K211+K212+K213+K218+K219+K224+K227</f>
        <v>0</v>
      </c>
    </row>
    <row r="211" spans="1:11" ht="12" x14ac:dyDescent="0.2">
      <c r="A211" s="671">
        <v>12.1</v>
      </c>
      <c r="B211" s="690" t="s">
        <v>146</v>
      </c>
      <c r="C211" s="658">
        <v>427</v>
      </c>
      <c r="D211" s="658"/>
      <c r="E211" s="658">
        <v>427</v>
      </c>
      <c r="F211" s="658"/>
      <c r="G211" s="658">
        <v>400</v>
      </c>
      <c r="H211" s="658"/>
      <c r="I211" s="659">
        <v>2279</v>
      </c>
      <c r="J211" s="679">
        <v>400</v>
      </c>
      <c r="K211" s="660"/>
    </row>
    <row r="212" spans="1:11" ht="12" x14ac:dyDescent="0.2">
      <c r="A212" s="930">
        <v>12.2</v>
      </c>
      <c r="B212" s="931" t="s">
        <v>147</v>
      </c>
      <c r="C212" s="658">
        <v>3045</v>
      </c>
      <c r="D212" s="658"/>
      <c r="E212" s="658">
        <v>3045</v>
      </c>
      <c r="F212" s="658"/>
      <c r="G212" s="658">
        <v>3000</v>
      </c>
      <c r="H212" s="658"/>
      <c r="I212" s="659">
        <v>2261</v>
      </c>
      <c r="J212" s="679">
        <v>3000</v>
      </c>
      <c r="K212" s="660"/>
    </row>
    <row r="213" spans="1:11" ht="12" x14ac:dyDescent="0.2">
      <c r="A213" s="1315">
        <v>12.3</v>
      </c>
      <c r="B213" s="1316" t="s">
        <v>148</v>
      </c>
      <c r="C213" s="673">
        <f>SUM(C214:C217)</f>
        <v>840</v>
      </c>
      <c r="D213" s="673"/>
      <c r="E213" s="673">
        <f>SUM(E214:E217)</f>
        <v>840</v>
      </c>
      <c r="F213" s="673"/>
      <c r="G213" s="673">
        <f>SUM(G214:G217)</f>
        <v>1282</v>
      </c>
      <c r="H213" s="673"/>
      <c r="I213" s="689"/>
      <c r="J213" s="673">
        <f>SUM(J214:J217)</f>
        <v>1282</v>
      </c>
      <c r="K213" s="673">
        <f>SUM(K214:K217)</f>
        <v>0</v>
      </c>
    </row>
    <row r="214" spans="1:11" ht="12" x14ac:dyDescent="0.2">
      <c r="A214" s="1315"/>
      <c r="B214" s="1316"/>
      <c r="C214" s="658">
        <v>350</v>
      </c>
      <c r="D214" s="658"/>
      <c r="E214" s="658">
        <v>350</v>
      </c>
      <c r="F214" s="658"/>
      <c r="G214" s="658">
        <v>480</v>
      </c>
      <c r="H214" s="658"/>
      <c r="I214" s="659">
        <v>2261</v>
      </c>
      <c r="J214" s="660">
        <v>480</v>
      </c>
      <c r="K214" s="660"/>
    </row>
    <row r="215" spans="1:11" ht="12" x14ac:dyDescent="0.2">
      <c r="A215" s="1315"/>
      <c r="B215" s="1316"/>
      <c r="C215" s="658">
        <v>490</v>
      </c>
      <c r="D215" s="658"/>
      <c r="E215" s="658">
        <v>490</v>
      </c>
      <c r="F215" s="658"/>
      <c r="G215" s="658">
        <v>490</v>
      </c>
      <c r="H215" s="658"/>
      <c r="I215" s="659">
        <v>2363</v>
      </c>
      <c r="J215" s="660">
        <v>490</v>
      </c>
      <c r="K215" s="660"/>
    </row>
    <row r="216" spans="1:11" ht="12" x14ac:dyDescent="0.2">
      <c r="A216" s="1315"/>
      <c r="B216" s="1316"/>
      <c r="C216" s="658"/>
      <c r="D216" s="658"/>
      <c r="E216" s="658"/>
      <c r="F216" s="658"/>
      <c r="G216" s="658">
        <v>72</v>
      </c>
      <c r="H216" s="658"/>
      <c r="I216" s="659">
        <v>2111</v>
      </c>
      <c r="J216" s="660">
        <v>72</v>
      </c>
      <c r="K216" s="660"/>
    </row>
    <row r="217" spans="1:11" ht="12" x14ac:dyDescent="0.2">
      <c r="A217" s="1315"/>
      <c r="B217" s="1316"/>
      <c r="C217" s="658"/>
      <c r="D217" s="658"/>
      <c r="E217" s="658"/>
      <c r="F217" s="658"/>
      <c r="G217" s="658">
        <v>240</v>
      </c>
      <c r="H217" s="658"/>
      <c r="I217" s="659">
        <v>2262</v>
      </c>
      <c r="J217" s="660">
        <v>240</v>
      </c>
      <c r="K217" s="660"/>
    </row>
    <row r="218" spans="1:11" ht="12" x14ac:dyDescent="0.2">
      <c r="A218" s="932">
        <v>12.4</v>
      </c>
      <c r="B218" s="933" t="s">
        <v>149</v>
      </c>
      <c r="C218" s="658">
        <v>491</v>
      </c>
      <c r="D218" s="658"/>
      <c r="E218" s="658">
        <v>491</v>
      </c>
      <c r="F218" s="658"/>
      <c r="G218" s="678">
        <v>2000</v>
      </c>
      <c r="H218" s="678"/>
      <c r="I218" s="659">
        <v>2279</v>
      </c>
      <c r="J218" s="679">
        <v>2000</v>
      </c>
      <c r="K218" s="660"/>
    </row>
    <row r="219" spans="1:11" ht="12" x14ac:dyDescent="0.2">
      <c r="A219" s="1319">
        <v>12.5</v>
      </c>
      <c r="B219" s="1320" t="s">
        <v>150</v>
      </c>
      <c r="C219" s="673">
        <f>SUM(C220:C223)</f>
        <v>2262</v>
      </c>
      <c r="D219" s="673"/>
      <c r="E219" s="673">
        <f>SUM(E220:E223)</f>
        <v>2262</v>
      </c>
      <c r="F219" s="673"/>
      <c r="G219" s="673">
        <f>SUM(G220:G223)</f>
        <v>2680</v>
      </c>
      <c r="H219" s="673"/>
      <c r="I219" s="689"/>
      <c r="J219" s="673">
        <f>SUM(J220:J223)</f>
        <v>2680</v>
      </c>
      <c r="K219" s="673"/>
    </row>
    <row r="220" spans="1:11" ht="12" x14ac:dyDescent="0.2">
      <c r="A220" s="1319"/>
      <c r="B220" s="1320"/>
      <c r="C220" s="658">
        <v>512</v>
      </c>
      <c r="D220" s="658"/>
      <c r="E220" s="658">
        <v>512</v>
      </c>
      <c r="F220" s="658"/>
      <c r="G220" s="658">
        <v>512</v>
      </c>
      <c r="H220" s="658"/>
      <c r="I220" s="659">
        <v>2261</v>
      </c>
      <c r="J220" s="660">
        <v>512</v>
      </c>
      <c r="K220" s="660"/>
    </row>
    <row r="221" spans="1:11" ht="12" x14ac:dyDescent="0.2">
      <c r="A221" s="1319"/>
      <c r="B221" s="1320"/>
      <c r="C221" s="658">
        <v>896</v>
      </c>
      <c r="D221" s="658"/>
      <c r="E221" s="658">
        <v>896</v>
      </c>
      <c r="F221" s="658"/>
      <c r="G221" s="658">
        <v>896</v>
      </c>
      <c r="H221" s="658"/>
      <c r="I221" s="659">
        <v>2363</v>
      </c>
      <c r="J221" s="660">
        <v>896</v>
      </c>
      <c r="K221" s="660"/>
    </row>
    <row r="222" spans="1:11" ht="12" x14ac:dyDescent="0.2">
      <c r="A222" s="1319"/>
      <c r="B222" s="1320"/>
      <c r="C222" s="658"/>
      <c r="D222" s="658"/>
      <c r="E222" s="658"/>
      <c r="F222" s="658"/>
      <c r="G222" s="658">
        <v>192</v>
      </c>
      <c r="H222" s="658"/>
      <c r="I222" s="659">
        <v>2111</v>
      </c>
      <c r="J222" s="660">
        <v>192</v>
      </c>
      <c r="K222" s="660"/>
    </row>
    <row r="223" spans="1:11" ht="12" x14ac:dyDescent="0.2">
      <c r="A223" s="1319"/>
      <c r="B223" s="1320"/>
      <c r="C223" s="658">
        <v>854</v>
      </c>
      <c r="D223" s="658"/>
      <c r="E223" s="658">
        <v>854</v>
      </c>
      <c r="F223" s="658"/>
      <c r="G223" s="658">
        <v>1080</v>
      </c>
      <c r="H223" s="658"/>
      <c r="I223" s="659">
        <v>2262</v>
      </c>
      <c r="J223" s="660">
        <v>1080</v>
      </c>
      <c r="K223" s="660"/>
    </row>
    <row r="224" spans="1:11" ht="12" x14ac:dyDescent="0.2">
      <c r="A224" s="1315">
        <v>12.6</v>
      </c>
      <c r="B224" s="1316" t="s">
        <v>151</v>
      </c>
      <c r="C224" s="673">
        <f>SUM(C225:C226)</f>
        <v>700</v>
      </c>
      <c r="D224" s="673"/>
      <c r="E224" s="673">
        <f>SUM(E225:E226)</f>
        <v>700</v>
      </c>
      <c r="F224" s="673"/>
      <c r="G224" s="673">
        <f>SUM(G225:G226)</f>
        <v>1000</v>
      </c>
      <c r="H224" s="673"/>
      <c r="I224" s="689"/>
      <c r="J224" s="673">
        <f>SUM(J225:J226)</f>
        <v>1000</v>
      </c>
      <c r="K224" s="673"/>
    </row>
    <row r="225" spans="1:11" ht="12" x14ac:dyDescent="0.2">
      <c r="A225" s="1315"/>
      <c r="B225" s="1316"/>
      <c r="C225" s="678">
        <v>700</v>
      </c>
      <c r="D225" s="678"/>
      <c r="E225" s="678">
        <v>700</v>
      </c>
      <c r="F225" s="678"/>
      <c r="G225" s="658">
        <v>700</v>
      </c>
      <c r="H225" s="658"/>
      <c r="I225" s="675">
        <v>2363</v>
      </c>
      <c r="J225" s="660">
        <v>700</v>
      </c>
      <c r="K225" s="660"/>
    </row>
    <row r="226" spans="1:11" ht="12" x14ac:dyDescent="0.2">
      <c r="A226" s="1315"/>
      <c r="B226" s="1316"/>
      <c r="C226" s="700"/>
      <c r="D226" s="700"/>
      <c r="E226" s="700"/>
      <c r="F226" s="700"/>
      <c r="G226" s="658">
        <v>300</v>
      </c>
      <c r="H226" s="658"/>
      <c r="I226" s="675">
        <v>2370</v>
      </c>
      <c r="J226" s="660">
        <v>300</v>
      </c>
      <c r="K226" s="660"/>
    </row>
    <row r="227" spans="1:11" ht="12" x14ac:dyDescent="0.2">
      <c r="A227" s="1315">
        <v>12.7</v>
      </c>
      <c r="B227" s="1316" t="s">
        <v>152</v>
      </c>
      <c r="C227" s="673">
        <f>SUM(C228:C230)</f>
        <v>540</v>
      </c>
      <c r="D227" s="673"/>
      <c r="E227" s="673">
        <f>SUM(E228:E230)</f>
        <v>540</v>
      </c>
      <c r="F227" s="673"/>
      <c r="G227" s="673">
        <f>SUM(G228:G230)</f>
        <v>594</v>
      </c>
      <c r="H227" s="673"/>
      <c r="I227" s="689"/>
      <c r="J227" s="673">
        <f>SUM(J228:J230)</f>
        <v>594</v>
      </c>
      <c r="K227" s="673"/>
    </row>
    <row r="228" spans="1:11" ht="12" x14ac:dyDescent="0.2">
      <c r="A228" s="1315"/>
      <c r="B228" s="1316"/>
      <c r="C228" s="678">
        <v>288</v>
      </c>
      <c r="D228" s="678"/>
      <c r="E228" s="678">
        <v>288</v>
      </c>
      <c r="F228" s="678"/>
      <c r="G228" s="658">
        <v>288</v>
      </c>
      <c r="H228" s="658"/>
      <c r="I228" s="675">
        <v>2261</v>
      </c>
      <c r="J228" s="660">
        <v>288</v>
      </c>
      <c r="K228" s="660"/>
    </row>
    <row r="229" spans="1:11" ht="12" x14ac:dyDescent="0.2">
      <c r="A229" s="1315"/>
      <c r="B229" s="1316"/>
      <c r="C229" s="678">
        <v>252</v>
      </c>
      <c r="D229" s="678"/>
      <c r="E229" s="678">
        <v>252</v>
      </c>
      <c r="F229" s="678"/>
      <c r="G229" s="658">
        <v>252</v>
      </c>
      <c r="H229" s="658"/>
      <c r="I229" s="675">
        <v>2363</v>
      </c>
      <c r="J229" s="660">
        <v>252</v>
      </c>
      <c r="K229" s="660"/>
    </row>
    <row r="230" spans="1:11" ht="12" x14ac:dyDescent="0.2">
      <c r="A230" s="1315"/>
      <c r="B230" s="1316"/>
      <c r="C230" s="700"/>
      <c r="D230" s="700"/>
      <c r="E230" s="700"/>
      <c r="F230" s="700"/>
      <c r="G230" s="678">
        <v>54</v>
      </c>
      <c r="H230" s="678"/>
      <c r="I230" s="675">
        <v>2111</v>
      </c>
      <c r="J230" s="660">
        <v>54</v>
      </c>
      <c r="K230" s="660"/>
    </row>
    <row r="231" spans="1:11" ht="36" x14ac:dyDescent="0.2">
      <c r="A231" s="712">
        <v>13</v>
      </c>
      <c r="B231" s="711" t="s">
        <v>1066</v>
      </c>
      <c r="C231" s="504" t="e">
        <f>C232+C237+C243+#REF!+C249+#REF!+#REF!+#REF!+C254+#REF!+C258+C263+#REF!+#REF!+C266</f>
        <v>#REF!</v>
      </c>
      <c r="D231" s="504"/>
      <c r="E231" s="504" t="e">
        <f>E232+E237+E243+#REF!+E249+#REF!+#REF!+#REF!+E254+#REF!+E258+E263+#REF!+#REF!+E266</f>
        <v>#REF!</v>
      </c>
      <c r="F231" s="504"/>
      <c r="G231" s="504" t="e">
        <f>G232+G237+G243+#REF!+G249+#REF!+#REF!+#REF!+G254+#REF!+G258+G263+#REF!+#REF!+G266</f>
        <v>#REF!</v>
      </c>
      <c r="H231" s="504"/>
      <c r="I231" s="692"/>
      <c r="J231" s="504">
        <f>J232+J237+J243+J249+J254+J258+J263+J266</f>
        <v>16486</v>
      </c>
      <c r="K231" s="504">
        <f>K232+K237+K243+K249+K254+K258+K263+K266</f>
        <v>0</v>
      </c>
    </row>
    <row r="232" spans="1:11" ht="12" x14ac:dyDescent="0.2">
      <c r="A232" s="1317">
        <v>13.1</v>
      </c>
      <c r="B232" s="1318" t="s">
        <v>153</v>
      </c>
      <c r="C232" s="701">
        <f>SUM(C233:C236)</f>
        <v>2286</v>
      </c>
      <c r="D232" s="701"/>
      <c r="E232" s="701">
        <f>SUM(E233:E236)</f>
        <v>2286</v>
      </c>
      <c r="F232" s="701"/>
      <c r="G232" s="701">
        <f>SUM(G233:G236)</f>
        <v>2500</v>
      </c>
      <c r="H232" s="701"/>
      <c r="I232" s="704"/>
      <c r="J232" s="701">
        <f>SUM(J233:J236)</f>
        <v>2500</v>
      </c>
      <c r="K232" s="701"/>
    </row>
    <row r="233" spans="1:11" ht="12" x14ac:dyDescent="0.2">
      <c r="A233" s="1317"/>
      <c r="B233" s="1318"/>
      <c r="C233" s="678">
        <v>1956</v>
      </c>
      <c r="D233" s="678"/>
      <c r="E233" s="678">
        <v>1956</v>
      </c>
      <c r="F233" s="678"/>
      <c r="G233" s="678">
        <v>1750</v>
      </c>
      <c r="H233" s="678"/>
      <c r="I233" s="507">
        <v>2363</v>
      </c>
      <c r="J233" s="683">
        <v>1750</v>
      </c>
      <c r="K233" s="684"/>
    </row>
    <row r="234" spans="1:11" ht="12" x14ac:dyDescent="0.2">
      <c r="A234" s="1317"/>
      <c r="B234" s="1318"/>
      <c r="C234" s="700"/>
      <c r="D234" s="700"/>
      <c r="E234" s="700"/>
      <c r="F234" s="700"/>
      <c r="G234" s="678">
        <v>200</v>
      </c>
      <c r="H234" s="678"/>
      <c r="I234" s="507">
        <v>2341</v>
      </c>
      <c r="J234" s="683">
        <v>200</v>
      </c>
      <c r="K234" s="684"/>
    </row>
    <row r="235" spans="1:11" ht="12" x14ac:dyDescent="0.2">
      <c r="A235" s="1317"/>
      <c r="B235" s="1318"/>
      <c r="C235" s="700"/>
      <c r="D235" s="700"/>
      <c r="E235" s="700"/>
      <c r="F235" s="700"/>
      <c r="G235" s="678">
        <v>220</v>
      </c>
      <c r="H235" s="678"/>
      <c r="I235" s="507">
        <v>2370</v>
      </c>
      <c r="J235" s="683">
        <v>220</v>
      </c>
      <c r="K235" s="684"/>
    </row>
    <row r="236" spans="1:11" ht="12" x14ac:dyDescent="0.2">
      <c r="A236" s="1317"/>
      <c r="B236" s="1318"/>
      <c r="C236" s="678">
        <v>330</v>
      </c>
      <c r="D236" s="678"/>
      <c r="E236" s="678">
        <v>330</v>
      </c>
      <c r="F236" s="678"/>
      <c r="G236" s="678">
        <v>330</v>
      </c>
      <c r="H236" s="678"/>
      <c r="I236" s="507">
        <v>2262</v>
      </c>
      <c r="J236" s="683">
        <v>330</v>
      </c>
      <c r="K236" s="684"/>
    </row>
    <row r="237" spans="1:11" ht="15" customHeight="1" x14ac:dyDescent="0.2">
      <c r="A237" s="1317">
        <v>13.2</v>
      </c>
      <c r="B237" s="1318" t="s">
        <v>154</v>
      </c>
      <c r="C237" s="701">
        <f>SUM(C238:C242)</f>
        <v>4739</v>
      </c>
      <c r="D237" s="701"/>
      <c r="E237" s="701">
        <f>SUM(E238:E242)</f>
        <v>4739</v>
      </c>
      <c r="F237" s="701"/>
      <c r="G237" s="701">
        <f>SUM(G238:G242)</f>
        <v>6457</v>
      </c>
      <c r="H237" s="701"/>
      <c r="I237" s="702"/>
      <c r="J237" s="701">
        <f>SUM(J238:J242)</f>
        <v>6457</v>
      </c>
      <c r="K237" s="703"/>
    </row>
    <row r="238" spans="1:11" ht="12" x14ac:dyDescent="0.2">
      <c r="A238" s="1317"/>
      <c r="B238" s="1318"/>
      <c r="C238" s="678">
        <v>2305</v>
      </c>
      <c r="D238" s="678"/>
      <c r="E238" s="678">
        <v>2305</v>
      </c>
      <c r="F238" s="678"/>
      <c r="G238" s="678">
        <v>3000</v>
      </c>
      <c r="H238" s="678"/>
      <c r="I238" s="507">
        <v>2261</v>
      </c>
      <c r="J238" s="683">
        <v>3000</v>
      </c>
      <c r="K238" s="684"/>
    </row>
    <row r="239" spans="1:11" ht="12" x14ac:dyDescent="0.2">
      <c r="A239" s="1317"/>
      <c r="B239" s="1318"/>
      <c r="C239" s="678">
        <v>2134</v>
      </c>
      <c r="D239" s="678"/>
      <c r="E239" s="678">
        <v>2134</v>
      </c>
      <c r="F239" s="678"/>
      <c r="G239" s="678">
        <v>2625</v>
      </c>
      <c r="H239" s="678"/>
      <c r="I239" s="507">
        <v>2363</v>
      </c>
      <c r="J239" s="683">
        <v>2625</v>
      </c>
      <c r="K239" s="684"/>
    </row>
    <row r="240" spans="1:11" ht="12" x14ac:dyDescent="0.2">
      <c r="A240" s="1317"/>
      <c r="B240" s="1318"/>
      <c r="C240" s="678"/>
      <c r="D240" s="678"/>
      <c r="E240" s="678"/>
      <c r="F240" s="678"/>
      <c r="G240" s="678">
        <v>270</v>
      </c>
      <c r="H240" s="678"/>
      <c r="I240" s="675">
        <v>2111</v>
      </c>
      <c r="J240" s="683">
        <v>270</v>
      </c>
      <c r="K240" s="684"/>
    </row>
    <row r="241" spans="1:11" ht="12" x14ac:dyDescent="0.2">
      <c r="A241" s="1317"/>
      <c r="B241" s="1318"/>
      <c r="C241" s="678"/>
      <c r="D241" s="678"/>
      <c r="E241" s="678"/>
      <c r="F241" s="678"/>
      <c r="G241" s="678">
        <v>262</v>
      </c>
      <c r="H241" s="678"/>
      <c r="I241" s="675">
        <v>2370</v>
      </c>
      <c r="J241" s="683">
        <v>262</v>
      </c>
      <c r="K241" s="684"/>
    </row>
    <row r="242" spans="1:11" ht="12" x14ac:dyDescent="0.2">
      <c r="A242" s="1317"/>
      <c r="B242" s="1318"/>
      <c r="C242" s="678">
        <v>300</v>
      </c>
      <c r="D242" s="678"/>
      <c r="E242" s="678">
        <v>300</v>
      </c>
      <c r="F242" s="678"/>
      <c r="G242" s="678">
        <v>300</v>
      </c>
      <c r="H242" s="678"/>
      <c r="I242" s="675">
        <v>2262</v>
      </c>
      <c r="J242" s="683">
        <v>300</v>
      </c>
      <c r="K242" s="684"/>
    </row>
    <row r="243" spans="1:11" ht="12" x14ac:dyDescent="0.2">
      <c r="A243" s="1317">
        <v>13.3</v>
      </c>
      <c r="B243" s="1318" t="s">
        <v>155</v>
      </c>
      <c r="C243" s="701">
        <f t="shared" ref="C243:E243" si="63">SUM(C244:C248)</f>
        <v>828</v>
      </c>
      <c r="D243" s="701"/>
      <c r="E243" s="701">
        <f t="shared" si="63"/>
        <v>828</v>
      </c>
      <c r="F243" s="701"/>
      <c r="G243" s="701">
        <f>SUM(G244:G248)</f>
        <v>871</v>
      </c>
      <c r="H243" s="701"/>
      <c r="I243" s="704"/>
      <c r="J243" s="701">
        <f>SUM(J244:J248)</f>
        <v>871</v>
      </c>
      <c r="K243" s="701"/>
    </row>
    <row r="244" spans="1:11" ht="12" x14ac:dyDescent="0.2">
      <c r="A244" s="1317"/>
      <c r="B244" s="1318"/>
      <c r="C244" s="678">
        <v>343</v>
      </c>
      <c r="D244" s="678"/>
      <c r="E244" s="678">
        <v>343</v>
      </c>
      <c r="F244" s="678"/>
      <c r="G244" s="678">
        <v>120</v>
      </c>
      <c r="H244" s="678"/>
      <c r="I244" s="675">
        <v>2261</v>
      </c>
      <c r="J244" s="683">
        <v>120</v>
      </c>
      <c r="K244" s="684"/>
    </row>
    <row r="245" spans="1:11" ht="12" x14ac:dyDescent="0.2">
      <c r="A245" s="1317"/>
      <c r="B245" s="1318"/>
      <c r="C245" s="506"/>
      <c r="D245" s="506"/>
      <c r="E245" s="506"/>
      <c r="F245" s="506"/>
      <c r="G245" s="683">
        <v>210</v>
      </c>
      <c r="H245" s="683"/>
      <c r="I245" s="507">
        <v>2363</v>
      </c>
      <c r="J245" s="683">
        <v>210</v>
      </c>
      <c r="K245" s="684"/>
    </row>
    <row r="246" spans="1:11" ht="12" x14ac:dyDescent="0.2">
      <c r="A246" s="1317"/>
      <c r="B246" s="1318"/>
      <c r="C246" s="506"/>
      <c r="D246" s="506"/>
      <c r="E246" s="506"/>
      <c r="F246" s="506"/>
      <c r="G246" s="683">
        <v>36</v>
      </c>
      <c r="H246" s="683"/>
      <c r="I246" s="507">
        <v>2111</v>
      </c>
      <c r="J246" s="683">
        <v>36</v>
      </c>
      <c r="K246" s="684"/>
    </row>
    <row r="247" spans="1:11" ht="12" x14ac:dyDescent="0.2">
      <c r="A247" s="1317"/>
      <c r="B247" s="1318"/>
      <c r="C247" s="506">
        <v>280</v>
      </c>
      <c r="D247" s="506"/>
      <c r="E247" s="506">
        <v>280</v>
      </c>
      <c r="F247" s="506"/>
      <c r="G247" s="683">
        <v>280</v>
      </c>
      <c r="H247" s="683"/>
      <c r="I247" s="507">
        <v>2262</v>
      </c>
      <c r="J247" s="683">
        <v>280</v>
      </c>
      <c r="K247" s="684"/>
    </row>
    <row r="248" spans="1:11" ht="12" x14ac:dyDescent="0.2">
      <c r="A248" s="1317"/>
      <c r="B248" s="1318"/>
      <c r="C248" s="506">
        <v>205</v>
      </c>
      <c r="D248" s="506"/>
      <c r="E248" s="506">
        <v>205</v>
      </c>
      <c r="F248" s="506"/>
      <c r="G248" s="683">
        <v>225</v>
      </c>
      <c r="H248" s="683"/>
      <c r="I248" s="507">
        <v>2279</v>
      </c>
      <c r="J248" s="683">
        <v>225</v>
      </c>
      <c r="K248" s="684"/>
    </row>
    <row r="249" spans="1:11" ht="12" x14ac:dyDescent="0.2">
      <c r="A249" s="1315">
        <v>13.4</v>
      </c>
      <c r="B249" s="1316" t="s">
        <v>156</v>
      </c>
      <c r="C249" s="504">
        <f t="shared" ref="C249:E249" si="64">SUM(C250:C253)</f>
        <v>0</v>
      </c>
      <c r="D249" s="504"/>
      <c r="E249" s="504">
        <f t="shared" si="64"/>
        <v>0</v>
      </c>
      <c r="F249" s="504"/>
      <c r="G249" s="504">
        <f>SUM(G250:G253)</f>
        <v>962</v>
      </c>
      <c r="H249" s="504"/>
      <c r="I249" s="692"/>
      <c r="J249" s="504">
        <f>SUM(J250:J253)</f>
        <v>962</v>
      </c>
      <c r="K249" s="504"/>
    </row>
    <row r="250" spans="1:11" ht="12" x14ac:dyDescent="0.2">
      <c r="A250" s="1315"/>
      <c r="B250" s="1316"/>
      <c r="C250" s="504"/>
      <c r="D250" s="504"/>
      <c r="E250" s="504"/>
      <c r="F250" s="504"/>
      <c r="G250" s="506">
        <v>189</v>
      </c>
      <c r="H250" s="506"/>
      <c r="I250" s="507">
        <v>2363</v>
      </c>
      <c r="J250" s="683">
        <v>189</v>
      </c>
      <c r="K250" s="684"/>
    </row>
    <row r="251" spans="1:11" ht="12" x14ac:dyDescent="0.2">
      <c r="A251" s="1315"/>
      <c r="B251" s="1316"/>
      <c r="C251" s="504"/>
      <c r="D251" s="504"/>
      <c r="E251" s="504"/>
      <c r="F251" s="504"/>
      <c r="G251" s="506">
        <v>48</v>
      </c>
      <c r="H251" s="506"/>
      <c r="I251" s="507">
        <v>2111</v>
      </c>
      <c r="J251" s="683">
        <v>48</v>
      </c>
      <c r="K251" s="684"/>
    </row>
    <row r="252" spans="1:11" ht="12" x14ac:dyDescent="0.2">
      <c r="A252" s="1315"/>
      <c r="B252" s="1316"/>
      <c r="C252" s="504"/>
      <c r="D252" s="504"/>
      <c r="E252" s="504"/>
      <c r="F252" s="504"/>
      <c r="G252" s="506">
        <v>320</v>
      </c>
      <c r="H252" s="506"/>
      <c r="I252" s="507">
        <v>2262</v>
      </c>
      <c r="J252" s="683">
        <v>320</v>
      </c>
      <c r="K252" s="684"/>
    </row>
    <row r="253" spans="1:11" ht="12" x14ac:dyDescent="0.2">
      <c r="A253" s="1315"/>
      <c r="B253" s="1316"/>
      <c r="C253" s="504"/>
      <c r="D253" s="504"/>
      <c r="E253" s="504"/>
      <c r="F253" s="504"/>
      <c r="G253" s="506">
        <v>405</v>
      </c>
      <c r="H253" s="506"/>
      <c r="I253" s="507">
        <v>2279</v>
      </c>
      <c r="J253" s="683">
        <v>405</v>
      </c>
      <c r="K253" s="684"/>
    </row>
    <row r="254" spans="1:11" ht="12" x14ac:dyDescent="0.2">
      <c r="A254" s="1315">
        <v>13.5</v>
      </c>
      <c r="B254" s="1316" t="s">
        <v>157</v>
      </c>
      <c r="C254" s="504">
        <f>SUM(C255:C257)</f>
        <v>0</v>
      </c>
      <c r="D254" s="504"/>
      <c r="E254" s="504">
        <f>SUM(E255:E257)</f>
        <v>0</v>
      </c>
      <c r="F254" s="504"/>
      <c r="G254" s="504">
        <f>SUM(G255:G257)</f>
        <v>538</v>
      </c>
      <c r="H254" s="504"/>
      <c r="I254" s="692"/>
      <c r="J254" s="504">
        <f>SUM(J255:J257)</f>
        <v>440</v>
      </c>
      <c r="K254" s="504"/>
    </row>
    <row r="255" spans="1:11" ht="14.25" customHeight="1" x14ac:dyDescent="0.2">
      <c r="A255" s="1315"/>
      <c r="B255" s="1316"/>
      <c r="C255" s="504"/>
      <c r="D255" s="504"/>
      <c r="E255" s="504"/>
      <c r="F255" s="504"/>
      <c r="G255" s="506">
        <v>238</v>
      </c>
      <c r="H255" s="506"/>
      <c r="I255" s="507">
        <v>2363</v>
      </c>
      <c r="J255" s="683">
        <v>140</v>
      </c>
      <c r="K255" s="684"/>
    </row>
    <row r="256" spans="1:11" ht="12" x14ac:dyDescent="0.2">
      <c r="A256" s="1315"/>
      <c r="B256" s="1316"/>
      <c r="C256" s="504"/>
      <c r="D256" s="504"/>
      <c r="E256" s="504"/>
      <c r="F256" s="504"/>
      <c r="G256" s="506">
        <v>60</v>
      </c>
      <c r="H256" s="506"/>
      <c r="I256" s="507">
        <v>2111</v>
      </c>
      <c r="J256" s="683">
        <v>60</v>
      </c>
      <c r="K256" s="684"/>
    </row>
    <row r="257" spans="1:11" ht="12" x14ac:dyDescent="0.2">
      <c r="A257" s="1315"/>
      <c r="B257" s="1316"/>
      <c r="C257" s="504"/>
      <c r="D257" s="504"/>
      <c r="E257" s="504"/>
      <c r="F257" s="504"/>
      <c r="G257" s="506">
        <v>240</v>
      </c>
      <c r="H257" s="506"/>
      <c r="I257" s="507">
        <v>2262</v>
      </c>
      <c r="J257" s="683">
        <v>240</v>
      </c>
      <c r="K257" s="684"/>
    </row>
    <row r="258" spans="1:11" ht="12" x14ac:dyDescent="0.2">
      <c r="A258" s="1315">
        <v>13.6</v>
      </c>
      <c r="B258" s="1316" t="s">
        <v>158</v>
      </c>
      <c r="C258" s="504">
        <f t="shared" ref="C258:E258" si="65">SUM(C259:C262)</f>
        <v>0</v>
      </c>
      <c r="D258" s="504"/>
      <c r="E258" s="504">
        <f t="shared" si="65"/>
        <v>0</v>
      </c>
      <c r="F258" s="504"/>
      <c r="G258" s="504">
        <f>SUM(G259:G262)</f>
        <v>671</v>
      </c>
      <c r="H258" s="504"/>
      <c r="I258" s="692"/>
      <c r="J258" s="504">
        <f>SUM(J259:J262)</f>
        <v>671</v>
      </c>
      <c r="K258" s="504"/>
    </row>
    <row r="259" spans="1:11" ht="12" x14ac:dyDescent="0.2">
      <c r="A259" s="1315"/>
      <c r="B259" s="1316"/>
      <c r="C259" s="504"/>
      <c r="D259" s="504"/>
      <c r="E259" s="504"/>
      <c r="F259" s="504"/>
      <c r="G259" s="506">
        <v>105</v>
      </c>
      <c r="H259" s="506"/>
      <c r="I259" s="507">
        <v>2363</v>
      </c>
      <c r="J259" s="683">
        <v>105</v>
      </c>
      <c r="K259" s="684"/>
    </row>
    <row r="260" spans="1:11" ht="12" x14ac:dyDescent="0.2">
      <c r="A260" s="1315"/>
      <c r="B260" s="1316"/>
      <c r="C260" s="504"/>
      <c r="D260" s="504"/>
      <c r="E260" s="504"/>
      <c r="F260" s="504"/>
      <c r="G260" s="506">
        <v>36</v>
      </c>
      <c r="H260" s="506"/>
      <c r="I260" s="507">
        <v>2111</v>
      </c>
      <c r="J260" s="683">
        <v>36</v>
      </c>
      <c r="K260" s="684"/>
    </row>
    <row r="261" spans="1:11" ht="12" x14ac:dyDescent="0.2">
      <c r="A261" s="1315"/>
      <c r="B261" s="1316"/>
      <c r="C261" s="504"/>
      <c r="D261" s="504"/>
      <c r="E261" s="504"/>
      <c r="F261" s="504"/>
      <c r="G261" s="506">
        <v>80</v>
      </c>
      <c r="H261" s="506"/>
      <c r="I261" s="507">
        <v>2262</v>
      </c>
      <c r="J261" s="683">
        <v>80</v>
      </c>
      <c r="K261" s="684"/>
    </row>
    <row r="262" spans="1:11" ht="12" x14ac:dyDescent="0.2">
      <c r="A262" s="1315"/>
      <c r="B262" s="1316"/>
      <c r="C262" s="504"/>
      <c r="D262" s="504"/>
      <c r="E262" s="504"/>
      <c r="F262" s="504"/>
      <c r="G262" s="506">
        <v>450</v>
      </c>
      <c r="H262" s="506"/>
      <c r="I262" s="507">
        <v>2279</v>
      </c>
      <c r="J262" s="683">
        <v>450</v>
      </c>
      <c r="K262" s="684"/>
    </row>
    <row r="263" spans="1:11" ht="12" x14ac:dyDescent="0.2">
      <c r="A263" s="1315">
        <v>13.7</v>
      </c>
      <c r="B263" s="1316" t="s">
        <v>159</v>
      </c>
      <c r="C263" s="504">
        <f t="shared" ref="C263:E263" si="66">SUM(C264:C265)</f>
        <v>2206</v>
      </c>
      <c r="D263" s="504"/>
      <c r="E263" s="504">
        <f t="shared" si="66"/>
        <v>2206</v>
      </c>
      <c r="F263" s="504"/>
      <c r="G263" s="504">
        <f>SUM(G264:G265)</f>
        <v>3985</v>
      </c>
      <c r="H263" s="504"/>
      <c r="I263" s="692"/>
      <c r="J263" s="504">
        <f>SUM(J264:J265)</f>
        <v>3985</v>
      </c>
      <c r="K263" s="504"/>
    </row>
    <row r="264" spans="1:11" ht="12" x14ac:dyDescent="0.2">
      <c r="A264" s="1315"/>
      <c r="B264" s="1316"/>
      <c r="C264" s="506">
        <v>1969</v>
      </c>
      <c r="D264" s="506"/>
      <c r="E264" s="506">
        <v>1969</v>
      </c>
      <c r="F264" s="506"/>
      <c r="G264" s="506">
        <v>3569</v>
      </c>
      <c r="H264" s="506"/>
      <c r="I264" s="507">
        <v>2279</v>
      </c>
      <c r="J264" s="683">
        <f>1969+1400+200</f>
        <v>3569</v>
      </c>
      <c r="K264" s="684"/>
    </row>
    <row r="265" spans="1:11" ht="12" x14ac:dyDescent="0.2">
      <c r="A265" s="1315"/>
      <c r="B265" s="1316"/>
      <c r="C265" s="506">
        <v>237</v>
      </c>
      <c r="D265" s="506"/>
      <c r="E265" s="506">
        <v>237</v>
      </c>
      <c r="F265" s="506"/>
      <c r="G265" s="506">
        <v>416</v>
      </c>
      <c r="H265" s="506"/>
      <c r="I265" s="507">
        <v>2121</v>
      </c>
      <c r="J265" s="683">
        <v>416</v>
      </c>
      <c r="K265" s="684"/>
    </row>
    <row r="266" spans="1:11" ht="12" x14ac:dyDescent="0.2">
      <c r="A266" s="1315">
        <v>13.8</v>
      </c>
      <c r="B266" s="1316" t="s">
        <v>160</v>
      </c>
      <c r="C266" s="673">
        <f>SUM(C267:C267)</f>
        <v>0</v>
      </c>
      <c r="D266" s="673"/>
      <c r="E266" s="673">
        <f>SUM(E267:E267)</f>
        <v>0</v>
      </c>
      <c r="F266" s="673"/>
      <c r="G266" s="673">
        <f>SUM(G267:G267)</f>
        <v>600</v>
      </c>
      <c r="H266" s="673"/>
      <c r="I266" s="689"/>
      <c r="J266" s="673">
        <f>SUM(J267:J267)</f>
        <v>600</v>
      </c>
      <c r="K266" s="673"/>
    </row>
    <row r="267" spans="1:11" ht="12" x14ac:dyDescent="0.2">
      <c r="A267" s="1315"/>
      <c r="B267" s="1316"/>
      <c r="C267" s="504"/>
      <c r="D267" s="504"/>
      <c r="E267" s="504"/>
      <c r="F267" s="504"/>
      <c r="G267" s="506">
        <v>600</v>
      </c>
      <c r="H267" s="506"/>
      <c r="I267" s="507">
        <v>2361</v>
      </c>
      <c r="J267" s="683">
        <f>300+300</f>
        <v>600</v>
      </c>
      <c r="K267" s="684"/>
    </row>
    <row r="268" spans="1:11" ht="24" x14ac:dyDescent="0.2">
      <c r="A268" s="707">
        <v>14</v>
      </c>
      <c r="B268" s="711" t="s">
        <v>1067</v>
      </c>
      <c r="C268" s="504">
        <f>SUM(C269:C271)</f>
        <v>14748</v>
      </c>
      <c r="D268" s="504"/>
      <c r="E268" s="504">
        <f>SUM(E269:E271)</f>
        <v>14142</v>
      </c>
      <c r="F268" s="504"/>
      <c r="G268" s="504">
        <f>SUM(G269:G271)</f>
        <v>3650</v>
      </c>
      <c r="H268" s="504">
        <f>SUM(H269:H271)</f>
        <v>11000</v>
      </c>
      <c r="I268" s="692"/>
      <c r="J268" s="684">
        <f>SUM(J269:J271)</f>
        <v>3650</v>
      </c>
      <c r="K268" s="684">
        <f>SUM(K269:K271)</f>
        <v>11000</v>
      </c>
    </row>
    <row r="269" spans="1:11" ht="13.5" customHeight="1" x14ac:dyDescent="0.2">
      <c r="A269" s="682">
        <v>14.1</v>
      </c>
      <c r="B269" s="657" t="s">
        <v>13</v>
      </c>
      <c r="C269" s="658">
        <v>142</v>
      </c>
      <c r="D269" s="658"/>
      <c r="E269" s="658">
        <v>142</v>
      </c>
      <c r="F269" s="658"/>
      <c r="G269" s="658"/>
      <c r="H269" s="658">
        <v>150</v>
      </c>
      <c r="I269" s="659">
        <v>2279</v>
      </c>
      <c r="J269" s="660"/>
      <c r="K269" s="660">
        <v>150</v>
      </c>
    </row>
    <row r="270" spans="1:11" ht="12" x14ac:dyDescent="0.2">
      <c r="A270" s="682">
        <v>14.2</v>
      </c>
      <c r="B270" s="657" t="s">
        <v>147</v>
      </c>
      <c r="C270" s="658">
        <v>14606</v>
      </c>
      <c r="D270" s="658"/>
      <c r="E270" s="658">
        <v>14000</v>
      </c>
      <c r="F270" s="658"/>
      <c r="G270" s="658">
        <v>3650</v>
      </c>
      <c r="H270" s="658">
        <v>10350</v>
      </c>
      <c r="I270" s="659">
        <v>2261</v>
      </c>
      <c r="J270" s="660">
        <v>3650</v>
      </c>
      <c r="K270" s="660">
        <v>10350</v>
      </c>
    </row>
    <row r="271" spans="1:11" ht="12" x14ac:dyDescent="0.2">
      <c r="A271" s="682">
        <v>14.3</v>
      </c>
      <c r="B271" s="657" t="s">
        <v>161</v>
      </c>
      <c r="C271" s="658"/>
      <c r="D271" s="658"/>
      <c r="E271" s="658"/>
      <c r="F271" s="658"/>
      <c r="G271" s="658">
        <v>0</v>
      </c>
      <c r="H271" s="658">
        <v>500</v>
      </c>
      <c r="I271" s="659">
        <v>2370</v>
      </c>
      <c r="J271" s="660">
        <v>0</v>
      </c>
      <c r="K271" s="660">
        <v>500</v>
      </c>
    </row>
    <row r="272" spans="1:11" ht="12" x14ac:dyDescent="0.2">
      <c r="A272" s="707">
        <v>15</v>
      </c>
      <c r="B272" s="708" t="s">
        <v>1068</v>
      </c>
      <c r="C272" s="504">
        <f t="shared" ref="C272:E272" si="67">C273+C279+C280+C281</f>
        <v>5805</v>
      </c>
      <c r="D272" s="504"/>
      <c r="E272" s="504">
        <f t="shared" si="67"/>
        <v>5805</v>
      </c>
      <c r="F272" s="504"/>
      <c r="G272" s="504">
        <f>G273+G279+G280+G281</f>
        <v>10475</v>
      </c>
      <c r="H272" s="504"/>
      <c r="I272" s="692"/>
      <c r="J272" s="684">
        <f>J273+J279+J280+J281</f>
        <v>9205</v>
      </c>
      <c r="K272" s="684">
        <f>K273+K279+K280+K281</f>
        <v>0</v>
      </c>
    </row>
    <row r="273" spans="1:11" ht="12" x14ac:dyDescent="0.2">
      <c r="A273" s="1315">
        <v>15.1</v>
      </c>
      <c r="B273" s="1316" t="s">
        <v>162</v>
      </c>
      <c r="C273" s="679">
        <f t="shared" ref="C273:E273" si="68">SUM(C274:C278)</f>
        <v>2020</v>
      </c>
      <c r="D273" s="679"/>
      <c r="E273" s="679">
        <f t="shared" si="68"/>
        <v>2020</v>
      </c>
      <c r="F273" s="679"/>
      <c r="G273" s="679">
        <f>SUM(G274:G278)</f>
        <v>6218</v>
      </c>
      <c r="H273" s="679"/>
      <c r="I273" s="680"/>
      <c r="J273" s="679">
        <f t="shared" ref="J273:K273" si="69">SUM(J274:J278)</f>
        <v>4948</v>
      </c>
      <c r="K273" s="679">
        <f t="shared" si="69"/>
        <v>0</v>
      </c>
    </row>
    <row r="274" spans="1:11" ht="12" x14ac:dyDescent="0.2">
      <c r="A274" s="1315"/>
      <c r="B274" s="1316"/>
      <c r="C274" s="658">
        <v>142</v>
      </c>
      <c r="D274" s="658"/>
      <c r="E274" s="658">
        <v>142</v>
      </c>
      <c r="F274" s="658"/>
      <c r="G274" s="660">
        <v>150</v>
      </c>
      <c r="H274" s="660"/>
      <c r="I274" s="659">
        <v>2279</v>
      </c>
      <c r="J274" s="660">
        <v>150</v>
      </c>
      <c r="K274" s="660"/>
    </row>
    <row r="275" spans="1:11" ht="12" x14ac:dyDescent="0.2">
      <c r="A275" s="1315"/>
      <c r="B275" s="1316"/>
      <c r="C275" s="658"/>
      <c r="D275" s="658"/>
      <c r="E275" s="658"/>
      <c r="F275" s="658"/>
      <c r="G275" s="660">
        <v>2352</v>
      </c>
      <c r="H275" s="660"/>
      <c r="I275" s="659">
        <v>2363</v>
      </c>
      <c r="J275" s="660">
        <v>1482</v>
      </c>
      <c r="K275" s="660"/>
    </row>
    <row r="276" spans="1:11" ht="12" x14ac:dyDescent="0.2">
      <c r="A276" s="1315"/>
      <c r="B276" s="1316"/>
      <c r="C276" s="658"/>
      <c r="D276" s="658"/>
      <c r="E276" s="658"/>
      <c r="F276" s="658"/>
      <c r="G276" s="660">
        <v>960</v>
      </c>
      <c r="H276" s="660"/>
      <c r="I276" s="659">
        <v>2261</v>
      </c>
      <c r="J276" s="660">
        <v>960</v>
      </c>
      <c r="K276" s="660"/>
    </row>
    <row r="277" spans="1:11" ht="12" x14ac:dyDescent="0.2">
      <c r="A277" s="1315"/>
      <c r="B277" s="1316"/>
      <c r="C277" s="658"/>
      <c r="D277" s="658"/>
      <c r="E277" s="658"/>
      <c r="F277" s="658"/>
      <c r="G277" s="660">
        <v>156</v>
      </c>
      <c r="H277" s="660"/>
      <c r="I277" s="659">
        <v>2111</v>
      </c>
      <c r="J277" s="660">
        <v>156</v>
      </c>
      <c r="K277" s="660"/>
    </row>
    <row r="278" spans="1:11" ht="12" x14ac:dyDescent="0.2">
      <c r="A278" s="1315"/>
      <c r="B278" s="1316"/>
      <c r="C278" s="658">
        <v>1878</v>
      </c>
      <c r="D278" s="658"/>
      <c r="E278" s="658">
        <v>1878</v>
      </c>
      <c r="F278" s="658"/>
      <c r="G278" s="660">
        <v>2600</v>
      </c>
      <c r="H278" s="660"/>
      <c r="I278" s="659">
        <v>2262</v>
      </c>
      <c r="J278" s="660">
        <v>2200</v>
      </c>
      <c r="K278" s="660"/>
    </row>
    <row r="279" spans="1:11" ht="12" x14ac:dyDescent="0.2">
      <c r="A279" s="671" t="s">
        <v>81</v>
      </c>
      <c r="B279" s="690" t="s">
        <v>147</v>
      </c>
      <c r="C279" s="673">
        <v>3287</v>
      </c>
      <c r="D279" s="673"/>
      <c r="E279" s="673">
        <v>3287</v>
      </c>
      <c r="F279" s="673"/>
      <c r="G279" s="679">
        <v>3287</v>
      </c>
      <c r="H279" s="679"/>
      <c r="I279" s="659">
        <v>2261</v>
      </c>
      <c r="J279" s="660">
        <v>3287</v>
      </c>
      <c r="K279" s="660"/>
    </row>
    <row r="280" spans="1:11" ht="12" x14ac:dyDescent="0.2">
      <c r="A280" s="671">
        <v>15.3</v>
      </c>
      <c r="B280" s="705" t="s">
        <v>1021</v>
      </c>
      <c r="C280" s="673"/>
      <c r="D280" s="673"/>
      <c r="E280" s="673"/>
      <c r="F280" s="673"/>
      <c r="G280" s="679">
        <v>470</v>
      </c>
      <c r="H280" s="679"/>
      <c r="I280" s="659">
        <v>2370</v>
      </c>
      <c r="J280" s="660">
        <f>10+60+400</f>
        <v>470</v>
      </c>
      <c r="K280" s="660"/>
    </row>
    <row r="281" spans="1:11" ht="12" x14ac:dyDescent="0.2">
      <c r="A281" s="930">
        <v>15.4</v>
      </c>
      <c r="B281" s="705" t="s">
        <v>163</v>
      </c>
      <c r="C281" s="666">
        <v>498</v>
      </c>
      <c r="D281" s="666"/>
      <c r="E281" s="666">
        <v>498</v>
      </c>
      <c r="F281" s="666"/>
      <c r="G281" s="666">
        <v>500</v>
      </c>
      <c r="H281" s="666"/>
      <c r="I281" s="667">
        <v>2361</v>
      </c>
      <c r="J281" s="660">
        <v>500</v>
      </c>
      <c r="K281" s="660"/>
    </row>
  </sheetData>
  <mergeCells count="121">
    <mergeCell ref="C6:K6"/>
    <mergeCell ref="C7:K7"/>
    <mergeCell ref="A8:K8"/>
    <mergeCell ref="C9:K9"/>
    <mergeCell ref="C10:K10"/>
    <mergeCell ref="C11:K11"/>
    <mergeCell ref="A17:A23"/>
    <mergeCell ref="B17:B23"/>
    <mergeCell ref="A24:A25"/>
    <mergeCell ref="B24:B25"/>
    <mergeCell ref="A28:A33"/>
    <mergeCell ref="B28:B33"/>
    <mergeCell ref="C12:D12"/>
    <mergeCell ref="E12:F12"/>
    <mergeCell ref="G12:H12"/>
    <mergeCell ref="J12:K12"/>
    <mergeCell ref="A14:B14"/>
    <mergeCell ref="I12:I13"/>
    <mergeCell ref="B12:B13"/>
    <mergeCell ref="A12:A13"/>
    <mergeCell ref="A53:A62"/>
    <mergeCell ref="B53:B62"/>
    <mergeCell ref="A63:A65"/>
    <mergeCell ref="B63:B65"/>
    <mergeCell ref="A44:A48"/>
    <mergeCell ref="B44:B48"/>
    <mergeCell ref="A49:A51"/>
    <mergeCell ref="B49:B51"/>
    <mergeCell ref="A36:A41"/>
    <mergeCell ref="B36:B41"/>
    <mergeCell ref="A42:A43"/>
    <mergeCell ref="B42:B43"/>
    <mergeCell ref="A83:A89"/>
    <mergeCell ref="B83:B89"/>
    <mergeCell ref="A90:A91"/>
    <mergeCell ref="B90:B91"/>
    <mergeCell ref="A92:A99"/>
    <mergeCell ref="B92:B99"/>
    <mergeCell ref="A67:A72"/>
    <mergeCell ref="B67:B72"/>
    <mergeCell ref="A73:A75"/>
    <mergeCell ref="B73:B75"/>
    <mergeCell ref="A76:A81"/>
    <mergeCell ref="B76:B81"/>
    <mergeCell ref="A120:A122"/>
    <mergeCell ref="B120:B122"/>
    <mergeCell ref="A124:A127"/>
    <mergeCell ref="B124:B127"/>
    <mergeCell ref="A130:A131"/>
    <mergeCell ref="B130:B131"/>
    <mergeCell ref="A100:A103"/>
    <mergeCell ref="B100:B103"/>
    <mergeCell ref="A104:A107"/>
    <mergeCell ref="B104:B107"/>
    <mergeCell ref="A110:A119"/>
    <mergeCell ref="B110:B119"/>
    <mergeCell ref="A137:A139"/>
    <mergeCell ref="B137:B139"/>
    <mergeCell ref="A141:A144"/>
    <mergeCell ref="B141:B144"/>
    <mergeCell ref="A145:A149"/>
    <mergeCell ref="B145:B149"/>
    <mergeCell ref="A132:A133"/>
    <mergeCell ref="B132:B133"/>
    <mergeCell ref="A134:A136"/>
    <mergeCell ref="B134:B136"/>
    <mergeCell ref="A162:A166"/>
    <mergeCell ref="B162:B166"/>
    <mergeCell ref="A167:A171"/>
    <mergeCell ref="B167:B171"/>
    <mergeCell ref="A150:A154"/>
    <mergeCell ref="B150:B154"/>
    <mergeCell ref="A155:A157"/>
    <mergeCell ref="B155:B157"/>
    <mergeCell ref="A160:A161"/>
    <mergeCell ref="B160:B161"/>
    <mergeCell ref="A184:A187"/>
    <mergeCell ref="B184:B187"/>
    <mergeCell ref="A188:A192"/>
    <mergeCell ref="B188:B192"/>
    <mergeCell ref="A193:A197"/>
    <mergeCell ref="B193:B197"/>
    <mergeCell ref="A172:A173"/>
    <mergeCell ref="B172:B173"/>
    <mergeCell ref="A175:A176"/>
    <mergeCell ref="B175:B176"/>
    <mergeCell ref="A177:A182"/>
    <mergeCell ref="B177:B182"/>
    <mergeCell ref="B227:B230"/>
    <mergeCell ref="A213:A217"/>
    <mergeCell ref="B213:B217"/>
    <mergeCell ref="A198:A202"/>
    <mergeCell ref="B198:B202"/>
    <mergeCell ref="A203:A205"/>
    <mergeCell ref="B203:B205"/>
    <mergeCell ref="A207:A209"/>
    <mergeCell ref="B207:B209"/>
    <mergeCell ref="F1:K1"/>
    <mergeCell ref="A273:A278"/>
    <mergeCell ref="B273:B278"/>
    <mergeCell ref="A266:A267"/>
    <mergeCell ref="B266:B267"/>
    <mergeCell ref="A258:A262"/>
    <mergeCell ref="B258:B262"/>
    <mergeCell ref="A263:A265"/>
    <mergeCell ref="B263:B265"/>
    <mergeCell ref="A254:A257"/>
    <mergeCell ref="B254:B257"/>
    <mergeCell ref="A249:A253"/>
    <mergeCell ref="B249:B253"/>
    <mergeCell ref="A232:A236"/>
    <mergeCell ref="B232:B236"/>
    <mergeCell ref="A237:A242"/>
    <mergeCell ref="B237:B242"/>
    <mergeCell ref="A243:A248"/>
    <mergeCell ref="B243:B248"/>
    <mergeCell ref="A219:A223"/>
    <mergeCell ref="B219:B223"/>
    <mergeCell ref="A224:A226"/>
    <mergeCell ref="B224:B226"/>
    <mergeCell ref="A227:A230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FF99"/>
  </sheetPr>
  <dimension ref="A1:I32"/>
  <sheetViews>
    <sheetView zoomScaleNormal="100" workbookViewId="0">
      <selection activeCell="B2" sqref="B2"/>
    </sheetView>
  </sheetViews>
  <sheetFormatPr defaultColWidth="11.42578125" defaultRowHeight="12" customHeight="1" x14ac:dyDescent="0.3"/>
  <cols>
    <col min="1" max="1" width="5.42578125" style="286" customWidth="1"/>
    <col min="2" max="2" width="61" style="287" customWidth="1"/>
    <col min="3" max="4" width="10.140625" style="286" hidden="1" customWidth="1"/>
    <col min="5" max="5" width="10" style="286" hidden="1" customWidth="1"/>
    <col min="6" max="6" width="10.85546875" style="433" customWidth="1"/>
    <col min="7" max="7" width="8.42578125" style="286" customWidth="1"/>
    <col min="8" max="252" width="11.42578125" style="274"/>
    <col min="253" max="253" width="6.7109375" style="274" customWidth="1"/>
    <col min="254" max="254" width="44.85546875" style="274" customWidth="1"/>
    <col min="255" max="255" width="12.85546875" style="274" customWidth="1"/>
    <col min="256" max="256" width="11.140625" style="274" customWidth="1"/>
    <col min="257" max="257" width="11.7109375" style="274" customWidth="1"/>
    <col min="258" max="258" width="12" style="274" customWidth="1"/>
    <col min="259" max="259" width="8.42578125" style="274" customWidth="1"/>
    <col min="260" max="260" width="47.7109375" style="274" customWidth="1"/>
    <col min="261" max="508" width="11.42578125" style="274"/>
    <col min="509" max="509" width="6.7109375" style="274" customWidth="1"/>
    <col min="510" max="510" width="44.85546875" style="274" customWidth="1"/>
    <col min="511" max="511" width="12.85546875" style="274" customWidth="1"/>
    <col min="512" max="512" width="11.140625" style="274" customWidth="1"/>
    <col min="513" max="513" width="11.7109375" style="274" customWidth="1"/>
    <col min="514" max="514" width="12" style="274" customWidth="1"/>
    <col min="515" max="515" width="8.42578125" style="274" customWidth="1"/>
    <col min="516" max="516" width="47.7109375" style="274" customWidth="1"/>
    <col min="517" max="764" width="11.42578125" style="274"/>
    <col min="765" max="765" width="6.7109375" style="274" customWidth="1"/>
    <col min="766" max="766" width="44.85546875" style="274" customWidth="1"/>
    <col min="767" max="767" width="12.85546875" style="274" customWidth="1"/>
    <col min="768" max="768" width="11.140625" style="274" customWidth="1"/>
    <col min="769" max="769" width="11.7109375" style="274" customWidth="1"/>
    <col min="770" max="770" width="12" style="274" customWidth="1"/>
    <col min="771" max="771" width="8.42578125" style="274" customWidth="1"/>
    <col min="772" max="772" width="47.7109375" style="274" customWidth="1"/>
    <col min="773" max="1020" width="11.42578125" style="274"/>
    <col min="1021" max="1021" width="6.7109375" style="274" customWidth="1"/>
    <col min="1022" max="1022" width="44.85546875" style="274" customWidth="1"/>
    <col min="1023" max="1023" width="12.85546875" style="274" customWidth="1"/>
    <col min="1024" max="1024" width="11.140625" style="274" customWidth="1"/>
    <col min="1025" max="1025" width="11.7109375" style="274" customWidth="1"/>
    <col min="1026" max="1026" width="12" style="274" customWidth="1"/>
    <col min="1027" max="1027" width="8.42578125" style="274" customWidth="1"/>
    <col min="1028" max="1028" width="47.7109375" style="274" customWidth="1"/>
    <col min="1029" max="1276" width="11.42578125" style="274"/>
    <col min="1277" max="1277" width="6.7109375" style="274" customWidth="1"/>
    <col min="1278" max="1278" width="44.85546875" style="274" customWidth="1"/>
    <col min="1279" max="1279" width="12.85546875" style="274" customWidth="1"/>
    <col min="1280" max="1280" width="11.140625" style="274" customWidth="1"/>
    <col min="1281" max="1281" width="11.7109375" style="274" customWidth="1"/>
    <col min="1282" max="1282" width="12" style="274" customWidth="1"/>
    <col min="1283" max="1283" width="8.42578125" style="274" customWidth="1"/>
    <col min="1284" max="1284" width="47.7109375" style="274" customWidth="1"/>
    <col min="1285" max="1532" width="11.42578125" style="274"/>
    <col min="1533" max="1533" width="6.7109375" style="274" customWidth="1"/>
    <col min="1534" max="1534" width="44.85546875" style="274" customWidth="1"/>
    <col min="1535" max="1535" width="12.85546875" style="274" customWidth="1"/>
    <col min="1536" max="1536" width="11.140625" style="274" customWidth="1"/>
    <col min="1537" max="1537" width="11.7109375" style="274" customWidth="1"/>
    <col min="1538" max="1538" width="12" style="274" customWidth="1"/>
    <col min="1539" max="1539" width="8.42578125" style="274" customWidth="1"/>
    <col min="1540" max="1540" width="47.7109375" style="274" customWidth="1"/>
    <col min="1541" max="1788" width="11.42578125" style="274"/>
    <col min="1789" max="1789" width="6.7109375" style="274" customWidth="1"/>
    <col min="1790" max="1790" width="44.85546875" style="274" customWidth="1"/>
    <col min="1791" max="1791" width="12.85546875" style="274" customWidth="1"/>
    <col min="1792" max="1792" width="11.140625" style="274" customWidth="1"/>
    <col min="1793" max="1793" width="11.7109375" style="274" customWidth="1"/>
    <col min="1794" max="1794" width="12" style="274" customWidth="1"/>
    <col min="1795" max="1795" width="8.42578125" style="274" customWidth="1"/>
    <col min="1796" max="1796" width="47.7109375" style="274" customWidth="1"/>
    <col min="1797" max="2044" width="11.42578125" style="274"/>
    <col min="2045" max="2045" width="6.7109375" style="274" customWidth="1"/>
    <col min="2046" max="2046" width="44.85546875" style="274" customWidth="1"/>
    <col min="2047" max="2047" width="12.85546875" style="274" customWidth="1"/>
    <col min="2048" max="2048" width="11.140625" style="274" customWidth="1"/>
    <col min="2049" max="2049" width="11.7109375" style="274" customWidth="1"/>
    <col min="2050" max="2050" width="12" style="274" customWidth="1"/>
    <col min="2051" max="2051" width="8.42578125" style="274" customWidth="1"/>
    <col min="2052" max="2052" width="47.7109375" style="274" customWidth="1"/>
    <col min="2053" max="2300" width="11.42578125" style="274"/>
    <col min="2301" max="2301" width="6.7109375" style="274" customWidth="1"/>
    <col min="2302" max="2302" width="44.85546875" style="274" customWidth="1"/>
    <col min="2303" max="2303" width="12.85546875" style="274" customWidth="1"/>
    <col min="2304" max="2304" width="11.140625" style="274" customWidth="1"/>
    <col min="2305" max="2305" width="11.7109375" style="274" customWidth="1"/>
    <col min="2306" max="2306" width="12" style="274" customWidth="1"/>
    <col min="2307" max="2307" width="8.42578125" style="274" customWidth="1"/>
    <col min="2308" max="2308" width="47.7109375" style="274" customWidth="1"/>
    <col min="2309" max="2556" width="11.42578125" style="274"/>
    <col min="2557" max="2557" width="6.7109375" style="274" customWidth="1"/>
    <col min="2558" max="2558" width="44.85546875" style="274" customWidth="1"/>
    <col min="2559" max="2559" width="12.85546875" style="274" customWidth="1"/>
    <col min="2560" max="2560" width="11.140625" style="274" customWidth="1"/>
    <col min="2561" max="2561" width="11.7109375" style="274" customWidth="1"/>
    <col min="2562" max="2562" width="12" style="274" customWidth="1"/>
    <col min="2563" max="2563" width="8.42578125" style="274" customWidth="1"/>
    <col min="2564" max="2564" width="47.7109375" style="274" customWidth="1"/>
    <col min="2565" max="2812" width="11.42578125" style="274"/>
    <col min="2813" max="2813" width="6.7109375" style="274" customWidth="1"/>
    <col min="2814" max="2814" width="44.85546875" style="274" customWidth="1"/>
    <col min="2815" max="2815" width="12.85546875" style="274" customWidth="1"/>
    <col min="2816" max="2816" width="11.140625" style="274" customWidth="1"/>
    <col min="2817" max="2817" width="11.7109375" style="274" customWidth="1"/>
    <col min="2818" max="2818" width="12" style="274" customWidth="1"/>
    <col min="2819" max="2819" width="8.42578125" style="274" customWidth="1"/>
    <col min="2820" max="2820" width="47.7109375" style="274" customWidth="1"/>
    <col min="2821" max="3068" width="11.42578125" style="274"/>
    <col min="3069" max="3069" width="6.7109375" style="274" customWidth="1"/>
    <col min="3070" max="3070" width="44.85546875" style="274" customWidth="1"/>
    <col min="3071" max="3071" width="12.85546875" style="274" customWidth="1"/>
    <col min="3072" max="3072" width="11.140625" style="274" customWidth="1"/>
    <col min="3073" max="3073" width="11.7109375" style="274" customWidth="1"/>
    <col min="3074" max="3074" width="12" style="274" customWidth="1"/>
    <col min="3075" max="3075" width="8.42578125" style="274" customWidth="1"/>
    <col min="3076" max="3076" width="47.7109375" style="274" customWidth="1"/>
    <col min="3077" max="3324" width="11.42578125" style="274"/>
    <col min="3325" max="3325" width="6.7109375" style="274" customWidth="1"/>
    <col min="3326" max="3326" width="44.85546875" style="274" customWidth="1"/>
    <col min="3327" max="3327" width="12.85546875" style="274" customWidth="1"/>
    <col min="3328" max="3328" width="11.140625" style="274" customWidth="1"/>
    <col min="3329" max="3329" width="11.7109375" style="274" customWidth="1"/>
    <col min="3330" max="3330" width="12" style="274" customWidth="1"/>
    <col min="3331" max="3331" width="8.42578125" style="274" customWidth="1"/>
    <col min="3332" max="3332" width="47.7109375" style="274" customWidth="1"/>
    <col min="3333" max="3580" width="11.42578125" style="274"/>
    <col min="3581" max="3581" width="6.7109375" style="274" customWidth="1"/>
    <col min="3582" max="3582" width="44.85546875" style="274" customWidth="1"/>
    <col min="3583" max="3583" width="12.85546875" style="274" customWidth="1"/>
    <col min="3584" max="3584" width="11.140625" style="274" customWidth="1"/>
    <col min="3585" max="3585" width="11.7109375" style="274" customWidth="1"/>
    <col min="3586" max="3586" width="12" style="274" customWidth="1"/>
    <col min="3587" max="3587" width="8.42578125" style="274" customWidth="1"/>
    <col min="3588" max="3588" width="47.7109375" style="274" customWidth="1"/>
    <col min="3589" max="3836" width="11.42578125" style="274"/>
    <col min="3837" max="3837" width="6.7109375" style="274" customWidth="1"/>
    <col min="3838" max="3838" width="44.85546875" style="274" customWidth="1"/>
    <col min="3839" max="3839" width="12.85546875" style="274" customWidth="1"/>
    <col min="3840" max="3840" width="11.140625" style="274" customWidth="1"/>
    <col min="3841" max="3841" width="11.7109375" style="274" customWidth="1"/>
    <col min="3842" max="3842" width="12" style="274" customWidth="1"/>
    <col min="3843" max="3843" width="8.42578125" style="274" customWidth="1"/>
    <col min="3844" max="3844" width="47.7109375" style="274" customWidth="1"/>
    <col min="3845" max="4092" width="11.42578125" style="274"/>
    <col min="4093" max="4093" width="6.7109375" style="274" customWidth="1"/>
    <col min="4094" max="4094" width="44.85546875" style="274" customWidth="1"/>
    <col min="4095" max="4095" width="12.85546875" style="274" customWidth="1"/>
    <col min="4096" max="4096" width="11.140625" style="274" customWidth="1"/>
    <col min="4097" max="4097" width="11.7109375" style="274" customWidth="1"/>
    <col min="4098" max="4098" width="12" style="274" customWidth="1"/>
    <col min="4099" max="4099" width="8.42578125" style="274" customWidth="1"/>
    <col min="4100" max="4100" width="47.7109375" style="274" customWidth="1"/>
    <col min="4101" max="4348" width="11.42578125" style="274"/>
    <col min="4349" max="4349" width="6.7109375" style="274" customWidth="1"/>
    <col min="4350" max="4350" width="44.85546875" style="274" customWidth="1"/>
    <col min="4351" max="4351" width="12.85546875" style="274" customWidth="1"/>
    <col min="4352" max="4352" width="11.140625" style="274" customWidth="1"/>
    <col min="4353" max="4353" width="11.7109375" style="274" customWidth="1"/>
    <col min="4354" max="4354" width="12" style="274" customWidth="1"/>
    <col min="4355" max="4355" width="8.42578125" style="274" customWidth="1"/>
    <col min="4356" max="4356" width="47.7109375" style="274" customWidth="1"/>
    <col min="4357" max="4604" width="11.42578125" style="274"/>
    <col min="4605" max="4605" width="6.7109375" style="274" customWidth="1"/>
    <col min="4606" max="4606" width="44.85546875" style="274" customWidth="1"/>
    <col min="4607" max="4607" width="12.85546875" style="274" customWidth="1"/>
    <col min="4608" max="4608" width="11.140625" style="274" customWidth="1"/>
    <col min="4609" max="4609" width="11.7109375" style="274" customWidth="1"/>
    <col min="4610" max="4610" width="12" style="274" customWidth="1"/>
    <col min="4611" max="4611" width="8.42578125" style="274" customWidth="1"/>
    <col min="4612" max="4612" width="47.7109375" style="274" customWidth="1"/>
    <col min="4613" max="4860" width="11.42578125" style="274"/>
    <col min="4861" max="4861" width="6.7109375" style="274" customWidth="1"/>
    <col min="4862" max="4862" width="44.85546875" style="274" customWidth="1"/>
    <col min="4863" max="4863" width="12.85546875" style="274" customWidth="1"/>
    <col min="4864" max="4864" width="11.140625" style="274" customWidth="1"/>
    <col min="4865" max="4865" width="11.7109375" style="274" customWidth="1"/>
    <col min="4866" max="4866" width="12" style="274" customWidth="1"/>
    <col min="4867" max="4867" width="8.42578125" style="274" customWidth="1"/>
    <col min="4868" max="4868" width="47.7109375" style="274" customWidth="1"/>
    <col min="4869" max="5116" width="11.42578125" style="274"/>
    <col min="5117" max="5117" width="6.7109375" style="274" customWidth="1"/>
    <col min="5118" max="5118" width="44.85546875" style="274" customWidth="1"/>
    <col min="5119" max="5119" width="12.85546875" style="274" customWidth="1"/>
    <col min="5120" max="5120" width="11.140625" style="274" customWidth="1"/>
    <col min="5121" max="5121" width="11.7109375" style="274" customWidth="1"/>
    <col min="5122" max="5122" width="12" style="274" customWidth="1"/>
    <col min="5123" max="5123" width="8.42578125" style="274" customWidth="1"/>
    <col min="5124" max="5124" width="47.7109375" style="274" customWidth="1"/>
    <col min="5125" max="5372" width="11.42578125" style="274"/>
    <col min="5373" max="5373" width="6.7109375" style="274" customWidth="1"/>
    <col min="5374" max="5374" width="44.85546875" style="274" customWidth="1"/>
    <col min="5375" max="5375" width="12.85546875" style="274" customWidth="1"/>
    <col min="5376" max="5376" width="11.140625" style="274" customWidth="1"/>
    <col min="5377" max="5377" width="11.7109375" style="274" customWidth="1"/>
    <col min="5378" max="5378" width="12" style="274" customWidth="1"/>
    <col min="5379" max="5379" width="8.42578125" style="274" customWidth="1"/>
    <col min="5380" max="5380" width="47.7109375" style="274" customWidth="1"/>
    <col min="5381" max="5628" width="11.42578125" style="274"/>
    <col min="5629" max="5629" width="6.7109375" style="274" customWidth="1"/>
    <col min="5630" max="5630" width="44.85546875" style="274" customWidth="1"/>
    <col min="5631" max="5631" width="12.85546875" style="274" customWidth="1"/>
    <col min="5632" max="5632" width="11.140625" style="274" customWidth="1"/>
    <col min="5633" max="5633" width="11.7109375" style="274" customWidth="1"/>
    <col min="5634" max="5634" width="12" style="274" customWidth="1"/>
    <col min="5635" max="5635" width="8.42578125" style="274" customWidth="1"/>
    <col min="5636" max="5636" width="47.7109375" style="274" customWidth="1"/>
    <col min="5637" max="5884" width="11.42578125" style="274"/>
    <col min="5885" max="5885" width="6.7109375" style="274" customWidth="1"/>
    <col min="5886" max="5886" width="44.85546875" style="274" customWidth="1"/>
    <col min="5887" max="5887" width="12.85546875" style="274" customWidth="1"/>
    <col min="5888" max="5888" width="11.140625" style="274" customWidth="1"/>
    <col min="5889" max="5889" width="11.7109375" style="274" customWidth="1"/>
    <col min="5890" max="5890" width="12" style="274" customWidth="1"/>
    <col min="5891" max="5891" width="8.42578125" style="274" customWidth="1"/>
    <col min="5892" max="5892" width="47.7109375" style="274" customWidth="1"/>
    <col min="5893" max="6140" width="11.42578125" style="274"/>
    <col min="6141" max="6141" width="6.7109375" style="274" customWidth="1"/>
    <col min="6142" max="6142" width="44.85546875" style="274" customWidth="1"/>
    <col min="6143" max="6143" width="12.85546875" style="274" customWidth="1"/>
    <col min="6144" max="6144" width="11.140625" style="274" customWidth="1"/>
    <col min="6145" max="6145" width="11.7109375" style="274" customWidth="1"/>
    <col min="6146" max="6146" width="12" style="274" customWidth="1"/>
    <col min="6147" max="6147" width="8.42578125" style="274" customWidth="1"/>
    <col min="6148" max="6148" width="47.7109375" style="274" customWidth="1"/>
    <col min="6149" max="6396" width="11.42578125" style="274"/>
    <col min="6397" max="6397" width="6.7109375" style="274" customWidth="1"/>
    <col min="6398" max="6398" width="44.85546875" style="274" customWidth="1"/>
    <col min="6399" max="6399" width="12.85546875" style="274" customWidth="1"/>
    <col min="6400" max="6400" width="11.140625" style="274" customWidth="1"/>
    <col min="6401" max="6401" width="11.7109375" style="274" customWidth="1"/>
    <col min="6402" max="6402" width="12" style="274" customWidth="1"/>
    <col min="6403" max="6403" width="8.42578125" style="274" customWidth="1"/>
    <col min="6404" max="6404" width="47.7109375" style="274" customWidth="1"/>
    <col min="6405" max="6652" width="11.42578125" style="274"/>
    <col min="6653" max="6653" width="6.7109375" style="274" customWidth="1"/>
    <col min="6654" max="6654" width="44.85546875" style="274" customWidth="1"/>
    <col min="6655" max="6655" width="12.85546875" style="274" customWidth="1"/>
    <col min="6656" max="6656" width="11.140625" style="274" customWidth="1"/>
    <col min="6657" max="6657" width="11.7109375" style="274" customWidth="1"/>
    <col min="6658" max="6658" width="12" style="274" customWidth="1"/>
    <col min="6659" max="6659" width="8.42578125" style="274" customWidth="1"/>
    <col min="6660" max="6660" width="47.7109375" style="274" customWidth="1"/>
    <col min="6661" max="6908" width="11.42578125" style="274"/>
    <col min="6909" max="6909" width="6.7109375" style="274" customWidth="1"/>
    <col min="6910" max="6910" width="44.85546875" style="274" customWidth="1"/>
    <col min="6911" max="6911" width="12.85546875" style="274" customWidth="1"/>
    <col min="6912" max="6912" width="11.140625" style="274" customWidth="1"/>
    <col min="6913" max="6913" width="11.7109375" style="274" customWidth="1"/>
    <col min="6914" max="6914" width="12" style="274" customWidth="1"/>
    <col min="6915" max="6915" width="8.42578125" style="274" customWidth="1"/>
    <col min="6916" max="6916" width="47.7109375" style="274" customWidth="1"/>
    <col min="6917" max="7164" width="11.42578125" style="274"/>
    <col min="7165" max="7165" width="6.7109375" style="274" customWidth="1"/>
    <col min="7166" max="7166" width="44.85546875" style="274" customWidth="1"/>
    <col min="7167" max="7167" width="12.85546875" style="274" customWidth="1"/>
    <col min="7168" max="7168" width="11.140625" style="274" customWidth="1"/>
    <col min="7169" max="7169" width="11.7109375" style="274" customWidth="1"/>
    <col min="7170" max="7170" width="12" style="274" customWidth="1"/>
    <col min="7171" max="7171" width="8.42578125" style="274" customWidth="1"/>
    <col min="7172" max="7172" width="47.7109375" style="274" customWidth="1"/>
    <col min="7173" max="7420" width="11.42578125" style="274"/>
    <col min="7421" max="7421" width="6.7109375" style="274" customWidth="1"/>
    <col min="7422" max="7422" width="44.85546875" style="274" customWidth="1"/>
    <col min="7423" max="7423" width="12.85546875" style="274" customWidth="1"/>
    <col min="7424" max="7424" width="11.140625" style="274" customWidth="1"/>
    <col min="7425" max="7425" width="11.7109375" style="274" customWidth="1"/>
    <col min="7426" max="7426" width="12" style="274" customWidth="1"/>
    <col min="7427" max="7427" width="8.42578125" style="274" customWidth="1"/>
    <col min="7428" max="7428" width="47.7109375" style="274" customWidth="1"/>
    <col min="7429" max="7676" width="11.42578125" style="274"/>
    <col min="7677" max="7677" width="6.7109375" style="274" customWidth="1"/>
    <col min="7678" max="7678" width="44.85546875" style="274" customWidth="1"/>
    <col min="7679" max="7679" width="12.85546875" style="274" customWidth="1"/>
    <col min="7680" max="7680" width="11.140625" style="274" customWidth="1"/>
    <col min="7681" max="7681" width="11.7109375" style="274" customWidth="1"/>
    <col min="7682" max="7682" width="12" style="274" customWidth="1"/>
    <col min="7683" max="7683" width="8.42578125" style="274" customWidth="1"/>
    <col min="7684" max="7684" width="47.7109375" style="274" customWidth="1"/>
    <col min="7685" max="7932" width="11.42578125" style="274"/>
    <col min="7933" max="7933" width="6.7109375" style="274" customWidth="1"/>
    <col min="7934" max="7934" width="44.85546875" style="274" customWidth="1"/>
    <col min="7935" max="7935" width="12.85546875" style="274" customWidth="1"/>
    <col min="7936" max="7936" width="11.140625" style="274" customWidth="1"/>
    <col min="7937" max="7937" width="11.7109375" style="274" customWidth="1"/>
    <col min="7938" max="7938" width="12" style="274" customWidth="1"/>
    <col min="7939" max="7939" width="8.42578125" style="274" customWidth="1"/>
    <col min="7940" max="7940" width="47.7109375" style="274" customWidth="1"/>
    <col min="7941" max="8188" width="11.42578125" style="274"/>
    <col min="8189" max="8189" width="6.7109375" style="274" customWidth="1"/>
    <col min="8190" max="8190" width="44.85546875" style="274" customWidth="1"/>
    <col min="8191" max="8191" width="12.85546875" style="274" customWidth="1"/>
    <col min="8192" max="8192" width="11.140625" style="274" customWidth="1"/>
    <col min="8193" max="8193" width="11.7109375" style="274" customWidth="1"/>
    <col min="8194" max="8194" width="12" style="274" customWidth="1"/>
    <col min="8195" max="8195" width="8.42578125" style="274" customWidth="1"/>
    <col min="8196" max="8196" width="47.7109375" style="274" customWidth="1"/>
    <col min="8197" max="8444" width="11.42578125" style="274"/>
    <col min="8445" max="8445" width="6.7109375" style="274" customWidth="1"/>
    <col min="8446" max="8446" width="44.85546875" style="274" customWidth="1"/>
    <col min="8447" max="8447" width="12.85546875" style="274" customWidth="1"/>
    <col min="8448" max="8448" width="11.140625" style="274" customWidth="1"/>
    <col min="8449" max="8449" width="11.7109375" style="274" customWidth="1"/>
    <col min="8450" max="8450" width="12" style="274" customWidth="1"/>
    <col min="8451" max="8451" width="8.42578125" style="274" customWidth="1"/>
    <col min="8452" max="8452" width="47.7109375" style="274" customWidth="1"/>
    <col min="8453" max="8700" width="11.42578125" style="274"/>
    <col min="8701" max="8701" width="6.7109375" style="274" customWidth="1"/>
    <col min="8702" max="8702" width="44.85546875" style="274" customWidth="1"/>
    <col min="8703" max="8703" width="12.85546875" style="274" customWidth="1"/>
    <col min="8704" max="8704" width="11.140625" style="274" customWidth="1"/>
    <col min="8705" max="8705" width="11.7109375" style="274" customWidth="1"/>
    <col min="8706" max="8706" width="12" style="274" customWidth="1"/>
    <col min="8707" max="8707" width="8.42578125" style="274" customWidth="1"/>
    <col min="8708" max="8708" width="47.7109375" style="274" customWidth="1"/>
    <col min="8709" max="8956" width="11.42578125" style="274"/>
    <col min="8957" max="8957" width="6.7109375" style="274" customWidth="1"/>
    <col min="8958" max="8958" width="44.85546875" style="274" customWidth="1"/>
    <col min="8959" max="8959" width="12.85546875" style="274" customWidth="1"/>
    <col min="8960" max="8960" width="11.140625" style="274" customWidth="1"/>
    <col min="8961" max="8961" width="11.7109375" style="274" customWidth="1"/>
    <col min="8962" max="8962" width="12" style="274" customWidth="1"/>
    <col min="8963" max="8963" width="8.42578125" style="274" customWidth="1"/>
    <col min="8964" max="8964" width="47.7109375" style="274" customWidth="1"/>
    <col min="8965" max="9212" width="11.42578125" style="274"/>
    <col min="9213" max="9213" width="6.7109375" style="274" customWidth="1"/>
    <col min="9214" max="9214" width="44.85546875" style="274" customWidth="1"/>
    <col min="9215" max="9215" width="12.85546875" style="274" customWidth="1"/>
    <col min="9216" max="9216" width="11.140625" style="274" customWidth="1"/>
    <col min="9217" max="9217" width="11.7109375" style="274" customWidth="1"/>
    <col min="9218" max="9218" width="12" style="274" customWidth="1"/>
    <col min="9219" max="9219" width="8.42578125" style="274" customWidth="1"/>
    <col min="9220" max="9220" width="47.7109375" style="274" customWidth="1"/>
    <col min="9221" max="9468" width="11.42578125" style="274"/>
    <col min="9469" max="9469" width="6.7109375" style="274" customWidth="1"/>
    <col min="9470" max="9470" width="44.85546875" style="274" customWidth="1"/>
    <col min="9471" max="9471" width="12.85546875" style="274" customWidth="1"/>
    <col min="9472" max="9472" width="11.140625" style="274" customWidth="1"/>
    <col min="9473" max="9473" width="11.7109375" style="274" customWidth="1"/>
    <col min="9474" max="9474" width="12" style="274" customWidth="1"/>
    <col min="9475" max="9475" width="8.42578125" style="274" customWidth="1"/>
    <col min="9476" max="9476" width="47.7109375" style="274" customWidth="1"/>
    <col min="9477" max="9724" width="11.42578125" style="274"/>
    <col min="9725" max="9725" width="6.7109375" style="274" customWidth="1"/>
    <col min="9726" max="9726" width="44.85546875" style="274" customWidth="1"/>
    <col min="9727" max="9727" width="12.85546875" style="274" customWidth="1"/>
    <col min="9728" max="9728" width="11.140625" style="274" customWidth="1"/>
    <col min="9729" max="9729" width="11.7109375" style="274" customWidth="1"/>
    <col min="9730" max="9730" width="12" style="274" customWidth="1"/>
    <col min="9731" max="9731" width="8.42578125" style="274" customWidth="1"/>
    <col min="9732" max="9732" width="47.7109375" style="274" customWidth="1"/>
    <col min="9733" max="9980" width="11.42578125" style="274"/>
    <col min="9981" max="9981" width="6.7109375" style="274" customWidth="1"/>
    <col min="9982" max="9982" width="44.85546875" style="274" customWidth="1"/>
    <col min="9983" max="9983" width="12.85546875" style="274" customWidth="1"/>
    <col min="9984" max="9984" width="11.140625" style="274" customWidth="1"/>
    <col min="9985" max="9985" width="11.7109375" style="274" customWidth="1"/>
    <col min="9986" max="9986" width="12" style="274" customWidth="1"/>
    <col min="9987" max="9987" width="8.42578125" style="274" customWidth="1"/>
    <col min="9988" max="9988" width="47.7109375" style="274" customWidth="1"/>
    <col min="9989" max="10236" width="11.42578125" style="274"/>
    <col min="10237" max="10237" width="6.7109375" style="274" customWidth="1"/>
    <col min="10238" max="10238" width="44.85546875" style="274" customWidth="1"/>
    <col min="10239" max="10239" width="12.85546875" style="274" customWidth="1"/>
    <col min="10240" max="10240" width="11.140625" style="274" customWidth="1"/>
    <col min="10241" max="10241" width="11.7109375" style="274" customWidth="1"/>
    <col min="10242" max="10242" width="12" style="274" customWidth="1"/>
    <col min="10243" max="10243" width="8.42578125" style="274" customWidth="1"/>
    <col min="10244" max="10244" width="47.7109375" style="274" customWidth="1"/>
    <col min="10245" max="10492" width="11.42578125" style="274"/>
    <col min="10493" max="10493" width="6.7109375" style="274" customWidth="1"/>
    <col min="10494" max="10494" width="44.85546875" style="274" customWidth="1"/>
    <col min="10495" max="10495" width="12.85546875" style="274" customWidth="1"/>
    <col min="10496" max="10496" width="11.140625" style="274" customWidth="1"/>
    <col min="10497" max="10497" width="11.7109375" style="274" customWidth="1"/>
    <col min="10498" max="10498" width="12" style="274" customWidth="1"/>
    <col min="10499" max="10499" width="8.42578125" style="274" customWidth="1"/>
    <col min="10500" max="10500" width="47.7109375" style="274" customWidth="1"/>
    <col min="10501" max="10748" width="11.42578125" style="274"/>
    <col min="10749" max="10749" width="6.7109375" style="274" customWidth="1"/>
    <col min="10750" max="10750" width="44.85546875" style="274" customWidth="1"/>
    <col min="10751" max="10751" width="12.85546875" style="274" customWidth="1"/>
    <col min="10752" max="10752" width="11.140625" style="274" customWidth="1"/>
    <col min="10753" max="10753" width="11.7109375" style="274" customWidth="1"/>
    <col min="10754" max="10754" width="12" style="274" customWidth="1"/>
    <col min="10755" max="10755" width="8.42578125" style="274" customWidth="1"/>
    <col min="10756" max="10756" width="47.7109375" style="274" customWidth="1"/>
    <col min="10757" max="11004" width="11.42578125" style="274"/>
    <col min="11005" max="11005" width="6.7109375" style="274" customWidth="1"/>
    <col min="11006" max="11006" width="44.85546875" style="274" customWidth="1"/>
    <col min="11007" max="11007" width="12.85546875" style="274" customWidth="1"/>
    <col min="11008" max="11008" width="11.140625" style="274" customWidth="1"/>
    <col min="11009" max="11009" width="11.7109375" style="274" customWidth="1"/>
    <col min="11010" max="11010" width="12" style="274" customWidth="1"/>
    <col min="11011" max="11011" width="8.42578125" style="274" customWidth="1"/>
    <col min="11012" max="11012" width="47.7109375" style="274" customWidth="1"/>
    <col min="11013" max="11260" width="11.42578125" style="274"/>
    <col min="11261" max="11261" width="6.7109375" style="274" customWidth="1"/>
    <col min="11262" max="11262" width="44.85546875" style="274" customWidth="1"/>
    <col min="11263" max="11263" width="12.85546875" style="274" customWidth="1"/>
    <col min="11264" max="11264" width="11.140625" style="274" customWidth="1"/>
    <col min="11265" max="11265" width="11.7109375" style="274" customWidth="1"/>
    <col min="11266" max="11266" width="12" style="274" customWidth="1"/>
    <col min="11267" max="11267" width="8.42578125" style="274" customWidth="1"/>
    <col min="11268" max="11268" width="47.7109375" style="274" customWidth="1"/>
    <col min="11269" max="11516" width="11.42578125" style="274"/>
    <col min="11517" max="11517" width="6.7109375" style="274" customWidth="1"/>
    <col min="11518" max="11518" width="44.85546875" style="274" customWidth="1"/>
    <col min="11519" max="11519" width="12.85546875" style="274" customWidth="1"/>
    <col min="11520" max="11520" width="11.140625" style="274" customWidth="1"/>
    <col min="11521" max="11521" width="11.7109375" style="274" customWidth="1"/>
    <col min="11522" max="11522" width="12" style="274" customWidth="1"/>
    <col min="11523" max="11523" width="8.42578125" style="274" customWidth="1"/>
    <col min="11524" max="11524" width="47.7109375" style="274" customWidth="1"/>
    <col min="11525" max="11772" width="11.42578125" style="274"/>
    <col min="11773" max="11773" width="6.7109375" style="274" customWidth="1"/>
    <col min="11774" max="11774" width="44.85546875" style="274" customWidth="1"/>
    <col min="11775" max="11775" width="12.85546875" style="274" customWidth="1"/>
    <col min="11776" max="11776" width="11.140625" style="274" customWidth="1"/>
    <col min="11777" max="11777" width="11.7109375" style="274" customWidth="1"/>
    <col min="11778" max="11778" width="12" style="274" customWidth="1"/>
    <col min="11779" max="11779" width="8.42578125" style="274" customWidth="1"/>
    <col min="11780" max="11780" width="47.7109375" style="274" customWidth="1"/>
    <col min="11781" max="12028" width="11.42578125" style="274"/>
    <col min="12029" max="12029" width="6.7109375" style="274" customWidth="1"/>
    <col min="12030" max="12030" width="44.85546875" style="274" customWidth="1"/>
    <col min="12031" max="12031" width="12.85546875" style="274" customWidth="1"/>
    <col min="12032" max="12032" width="11.140625" style="274" customWidth="1"/>
    <col min="12033" max="12033" width="11.7109375" style="274" customWidth="1"/>
    <col min="12034" max="12034" width="12" style="274" customWidth="1"/>
    <col min="12035" max="12035" width="8.42578125" style="274" customWidth="1"/>
    <col min="12036" max="12036" width="47.7109375" style="274" customWidth="1"/>
    <col min="12037" max="12284" width="11.42578125" style="274"/>
    <col min="12285" max="12285" width="6.7109375" style="274" customWidth="1"/>
    <col min="12286" max="12286" width="44.85546875" style="274" customWidth="1"/>
    <col min="12287" max="12287" width="12.85546875" style="274" customWidth="1"/>
    <col min="12288" max="12288" width="11.140625" style="274" customWidth="1"/>
    <col min="12289" max="12289" width="11.7109375" style="274" customWidth="1"/>
    <col min="12290" max="12290" width="12" style="274" customWidth="1"/>
    <col min="12291" max="12291" width="8.42578125" style="274" customWidth="1"/>
    <col min="12292" max="12292" width="47.7109375" style="274" customWidth="1"/>
    <col min="12293" max="12540" width="11.42578125" style="274"/>
    <col min="12541" max="12541" width="6.7109375" style="274" customWidth="1"/>
    <col min="12542" max="12542" width="44.85546875" style="274" customWidth="1"/>
    <col min="12543" max="12543" width="12.85546875" style="274" customWidth="1"/>
    <col min="12544" max="12544" width="11.140625" style="274" customWidth="1"/>
    <col min="12545" max="12545" width="11.7109375" style="274" customWidth="1"/>
    <col min="12546" max="12546" width="12" style="274" customWidth="1"/>
    <col min="12547" max="12547" width="8.42578125" style="274" customWidth="1"/>
    <col min="12548" max="12548" width="47.7109375" style="274" customWidth="1"/>
    <col min="12549" max="12796" width="11.42578125" style="274"/>
    <col min="12797" max="12797" width="6.7109375" style="274" customWidth="1"/>
    <col min="12798" max="12798" width="44.85546875" style="274" customWidth="1"/>
    <col min="12799" max="12799" width="12.85546875" style="274" customWidth="1"/>
    <col min="12800" max="12800" width="11.140625" style="274" customWidth="1"/>
    <col min="12801" max="12801" width="11.7109375" style="274" customWidth="1"/>
    <col min="12802" max="12802" width="12" style="274" customWidth="1"/>
    <col min="12803" max="12803" width="8.42578125" style="274" customWidth="1"/>
    <col min="12804" max="12804" width="47.7109375" style="274" customWidth="1"/>
    <col min="12805" max="13052" width="11.42578125" style="274"/>
    <col min="13053" max="13053" width="6.7109375" style="274" customWidth="1"/>
    <col min="13054" max="13054" width="44.85546875" style="274" customWidth="1"/>
    <col min="13055" max="13055" width="12.85546875" style="274" customWidth="1"/>
    <col min="13056" max="13056" width="11.140625" style="274" customWidth="1"/>
    <col min="13057" max="13057" width="11.7109375" style="274" customWidth="1"/>
    <col min="13058" max="13058" width="12" style="274" customWidth="1"/>
    <col min="13059" max="13059" width="8.42578125" style="274" customWidth="1"/>
    <col min="13060" max="13060" width="47.7109375" style="274" customWidth="1"/>
    <col min="13061" max="13308" width="11.42578125" style="274"/>
    <col min="13309" max="13309" width="6.7109375" style="274" customWidth="1"/>
    <col min="13310" max="13310" width="44.85546875" style="274" customWidth="1"/>
    <col min="13311" max="13311" width="12.85546875" style="274" customWidth="1"/>
    <col min="13312" max="13312" width="11.140625" style="274" customWidth="1"/>
    <col min="13313" max="13313" width="11.7109375" style="274" customWidth="1"/>
    <col min="13314" max="13314" width="12" style="274" customWidth="1"/>
    <col min="13315" max="13315" width="8.42578125" style="274" customWidth="1"/>
    <col min="13316" max="13316" width="47.7109375" style="274" customWidth="1"/>
    <col min="13317" max="13564" width="11.42578125" style="274"/>
    <col min="13565" max="13565" width="6.7109375" style="274" customWidth="1"/>
    <col min="13566" max="13566" width="44.85546875" style="274" customWidth="1"/>
    <col min="13567" max="13567" width="12.85546875" style="274" customWidth="1"/>
    <col min="13568" max="13568" width="11.140625" style="274" customWidth="1"/>
    <col min="13569" max="13569" width="11.7109375" style="274" customWidth="1"/>
    <col min="13570" max="13570" width="12" style="274" customWidth="1"/>
    <col min="13571" max="13571" width="8.42578125" style="274" customWidth="1"/>
    <col min="13572" max="13572" width="47.7109375" style="274" customWidth="1"/>
    <col min="13573" max="13820" width="11.42578125" style="274"/>
    <col min="13821" max="13821" width="6.7109375" style="274" customWidth="1"/>
    <col min="13822" max="13822" width="44.85546875" style="274" customWidth="1"/>
    <col min="13823" max="13823" width="12.85546875" style="274" customWidth="1"/>
    <col min="13824" max="13824" width="11.140625" style="274" customWidth="1"/>
    <col min="13825" max="13825" width="11.7109375" style="274" customWidth="1"/>
    <col min="13826" max="13826" width="12" style="274" customWidth="1"/>
    <col min="13827" max="13827" width="8.42578125" style="274" customWidth="1"/>
    <col min="13828" max="13828" width="47.7109375" style="274" customWidth="1"/>
    <col min="13829" max="14076" width="11.42578125" style="274"/>
    <col min="14077" max="14077" width="6.7109375" style="274" customWidth="1"/>
    <col min="14078" max="14078" width="44.85546875" style="274" customWidth="1"/>
    <col min="14079" max="14079" width="12.85546875" style="274" customWidth="1"/>
    <col min="14080" max="14080" width="11.140625" style="274" customWidth="1"/>
    <col min="14081" max="14081" width="11.7109375" style="274" customWidth="1"/>
    <col min="14082" max="14082" width="12" style="274" customWidth="1"/>
    <col min="14083" max="14083" width="8.42578125" style="274" customWidth="1"/>
    <col min="14084" max="14084" width="47.7109375" style="274" customWidth="1"/>
    <col min="14085" max="14332" width="11.42578125" style="274"/>
    <col min="14333" max="14333" width="6.7109375" style="274" customWidth="1"/>
    <col min="14334" max="14334" width="44.85546875" style="274" customWidth="1"/>
    <col min="14335" max="14335" width="12.85546875" style="274" customWidth="1"/>
    <col min="14336" max="14336" width="11.140625" style="274" customWidth="1"/>
    <col min="14337" max="14337" width="11.7109375" style="274" customWidth="1"/>
    <col min="14338" max="14338" width="12" style="274" customWidth="1"/>
    <col min="14339" max="14339" width="8.42578125" style="274" customWidth="1"/>
    <col min="14340" max="14340" width="47.7109375" style="274" customWidth="1"/>
    <col min="14341" max="14588" width="11.42578125" style="274"/>
    <col min="14589" max="14589" width="6.7109375" style="274" customWidth="1"/>
    <col min="14590" max="14590" width="44.85546875" style="274" customWidth="1"/>
    <col min="14591" max="14591" width="12.85546875" style="274" customWidth="1"/>
    <col min="14592" max="14592" width="11.140625" style="274" customWidth="1"/>
    <col min="14593" max="14593" width="11.7109375" style="274" customWidth="1"/>
    <col min="14594" max="14594" width="12" style="274" customWidth="1"/>
    <col min="14595" max="14595" width="8.42578125" style="274" customWidth="1"/>
    <col min="14596" max="14596" width="47.7109375" style="274" customWidth="1"/>
    <col min="14597" max="14844" width="11.42578125" style="274"/>
    <col min="14845" max="14845" width="6.7109375" style="274" customWidth="1"/>
    <col min="14846" max="14846" width="44.85546875" style="274" customWidth="1"/>
    <col min="14847" max="14847" width="12.85546875" style="274" customWidth="1"/>
    <col min="14848" max="14848" width="11.140625" style="274" customWidth="1"/>
    <col min="14849" max="14849" width="11.7109375" style="274" customWidth="1"/>
    <col min="14850" max="14850" width="12" style="274" customWidth="1"/>
    <col min="14851" max="14851" width="8.42578125" style="274" customWidth="1"/>
    <col min="14852" max="14852" width="47.7109375" style="274" customWidth="1"/>
    <col min="14853" max="15100" width="11.42578125" style="274"/>
    <col min="15101" max="15101" width="6.7109375" style="274" customWidth="1"/>
    <col min="15102" max="15102" width="44.85546875" style="274" customWidth="1"/>
    <col min="15103" max="15103" width="12.85546875" style="274" customWidth="1"/>
    <col min="15104" max="15104" width="11.140625" style="274" customWidth="1"/>
    <col min="15105" max="15105" width="11.7109375" style="274" customWidth="1"/>
    <col min="15106" max="15106" width="12" style="274" customWidth="1"/>
    <col min="15107" max="15107" width="8.42578125" style="274" customWidth="1"/>
    <col min="15108" max="15108" width="47.7109375" style="274" customWidth="1"/>
    <col min="15109" max="15356" width="11.42578125" style="274"/>
    <col min="15357" max="15357" width="6.7109375" style="274" customWidth="1"/>
    <col min="15358" max="15358" width="44.85546875" style="274" customWidth="1"/>
    <col min="15359" max="15359" width="12.85546875" style="274" customWidth="1"/>
    <col min="15360" max="15360" width="11.140625" style="274" customWidth="1"/>
    <col min="15361" max="15361" width="11.7109375" style="274" customWidth="1"/>
    <col min="15362" max="15362" width="12" style="274" customWidth="1"/>
    <col min="15363" max="15363" width="8.42578125" style="274" customWidth="1"/>
    <col min="15364" max="15364" width="47.7109375" style="274" customWidth="1"/>
    <col min="15365" max="15612" width="11.42578125" style="274"/>
    <col min="15613" max="15613" width="6.7109375" style="274" customWidth="1"/>
    <col min="15614" max="15614" width="44.85546875" style="274" customWidth="1"/>
    <col min="15615" max="15615" width="12.85546875" style="274" customWidth="1"/>
    <col min="15616" max="15616" width="11.140625" style="274" customWidth="1"/>
    <col min="15617" max="15617" width="11.7109375" style="274" customWidth="1"/>
    <col min="15618" max="15618" width="12" style="274" customWidth="1"/>
    <col min="15619" max="15619" width="8.42578125" style="274" customWidth="1"/>
    <col min="15620" max="15620" width="47.7109375" style="274" customWidth="1"/>
    <col min="15621" max="15868" width="11.42578125" style="274"/>
    <col min="15869" max="15869" width="6.7109375" style="274" customWidth="1"/>
    <col min="15870" max="15870" width="44.85546875" style="274" customWidth="1"/>
    <col min="15871" max="15871" width="12.85546875" style="274" customWidth="1"/>
    <col min="15872" max="15872" width="11.140625" style="274" customWidth="1"/>
    <col min="15873" max="15873" width="11.7109375" style="274" customWidth="1"/>
    <col min="15874" max="15874" width="12" style="274" customWidth="1"/>
    <col min="15875" max="15875" width="8.42578125" style="274" customWidth="1"/>
    <col min="15876" max="15876" width="47.7109375" style="274" customWidth="1"/>
    <col min="15877" max="16124" width="11.42578125" style="274"/>
    <col min="16125" max="16125" width="6.7109375" style="274" customWidth="1"/>
    <col min="16126" max="16126" width="44.85546875" style="274" customWidth="1"/>
    <col min="16127" max="16127" width="12.85546875" style="274" customWidth="1"/>
    <col min="16128" max="16128" width="11.140625" style="274" customWidth="1"/>
    <col min="16129" max="16129" width="11.7109375" style="274" customWidth="1"/>
    <col min="16130" max="16130" width="12" style="274" customWidth="1"/>
    <col min="16131" max="16131" width="8.42578125" style="274" customWidth="1"/>
    <col min="16132" max="16132" width="47.7109375" style="274" customWidth="1"/>
    <col min="16133" max="16384" width="11.42578125" style="274"/>
  </cols>
  <sheetData>
    <row r="1" spans="1:9" ht="18.75" x14ac:dyDescent="0.3">
      <c r="A1" s="274"/>
      <c r="B1" s="1034" t="s">
        <v>1198</v>
      </c>
      <c r="C1" s="1034"/>
      <c r="D1" s="1034"/>
      <c r="E1" s="1034"/>
      <c r="F1" s="1034"/>
      <c r="G1" s="1034"/>
    </row>
    <row r="2" spans="1:9" ht="18.75" x14ac:dyDescent="0.3">
      <c r="A2" s="274"/>
      <c r="B2" s="1"/>
      <c r="C2" s="950"/>
      <c r="D2" s="950"/>
      <c r="E2" s="950"/>
      <c r="F2" s="950"/>
      <c r="G2" s="951" t="s">
        <v>1184</v>
      </c>
    </row>
    <row r="3" spans="1:9" ht="18.75" x14ac:dyDescent="0.3">
      <c r="A3" s="274"/>
      <c r="B3" s="1"/>
      <c r="C3" s="950"/>
      <c r="D3" s="950"/>
      <c r="E3" s="950"/>
      <c r="F3" s="950"/>
      <c r="G3" s="951" t="s">
        <v>1185</v>
      </c>
    </row>
    <row r="4" spans="1:9" ht="18.75" x14ac:dyDescent="0.3"/>
    <row r="5" spans="1:9" ht="18.75" x14ac:dyDescent="0.3"/>
    <row r="6" spans="1:9" ht="12" customHeight="1" x14ac:dyDescent="0.3">
      <c r="A6" s="272" t="s">
        <v>298</v>
      </c>
      <c r="B6" s="273"/>
      <c r="C6" s="1054"/>
      <c r="D6" s="1054"/>
      <c r="E6" s="1054"/>
      <c r="F6" s="1054"/>
      <c r="G6" s="1054"/>
      <c r="I6" s="428"/>
    </row>
    <row r="7" spans="1:9" ht="12" customHeight="1" x14ac:dyDescent="0.3">
      <c r="A7" s="272"/>
      <c r="B7" s="273"/>
      <c r="C7" s="275"/>
      <c r="D7" s="275"/>
      <c r="E7" s="275"/>
      <c r="F7" s="429"/>
      <c r="G7" s="275"/>
    </row>
    <row r="8" spans="1:9" ht="18.75" x14ac:dyDescent="0.3">
      <c r="A8" s="1055" t="s">
        <v>291</v>
      </c>
      <c r="B8" s="1055"/>
      <c r="C8" s="1055"/>
      <c r="D8" s="1055"/>
      <c r="E8" s="1055"/>
      <c r="F8" s="1055"/>
      <c r="G8" s="1055"/>
    </row>
    <row r="9" spans="1:9" ht="12" customHeight="1" x14ac:dyDescent="0.3">
      <c r="A9" s="276"/>
      <c r="B9" s="276"/>
      <c r="C9" s="276"/>
      <c r="D9" s="276"/>
      <c r="E9" s="276"/>
      <c r="F9" s="430"/>
      <c r="G9" s="276"/>
    </row>
    <row r="10" spans="1:9" ht="18.75" x14ac:dyDescent="0.3">
      <c r="A10" s="272" t="s">
        <v>1195</v>
      </c>
      <c r="B10" s="272"/>
      <c r="C10" s="277"/>
      <c r="D10" s="277"/>
      <c r="E10" s="277"/>
      <c r="F10" s="431"/>
      <c r="G10" s="277"/>
    </row>
    <row r="11" spans="1:9" ht="18.75" x14ac:dyDescent="0.3">
      <c r="A11" s="272" t="s">
        <v>1196</v>
      </c>
      <c r="B11" s="278"/>
      <c r="C11" s="279"/>
      <c r="D11" s="279"/>
      <c r="E11" s="279"/>
      <c r="F11" s="432"/>
      <c r="G11" s="279"/>
    </row>
    <row r="12" spans="1:9" ht="18.75" x14ac:dyDescent="0.3">
      <c r="A12" s="272" t="s">
        <v>1197</v>
      </c>
      <c r="B12" s="272"/>
      <c r="C12" s="280"/>
      <c r="D12" s="279"/>
      <c r="E12" s="279"/>
      <c r="F12" s="432"/>
      <c r="G12" s="279"/>
    </row>
    <row r="13" spans="1:9" ht="12" customHeight="1" x14ac:dyDescent="0.3">
      <c r="A13" s="1056" t="s">
        <v>1</v>
      </c>
      <c r="B13" s="1056" t="s">
        <v>2</v>
      </c>
      <c r="C13" s="1056" t="s">
        <v>26</v>
      </c>
      <c r="D13" s="1056" t="s">
        <v>27</v>
      </c>
      <c r="E13" s="1056" t="s">
        <v>299</v>
      </c>
      <c r="F13" s="1057" t="s">
        <v>6</v>
      </c>
      <c r="G13" s="1060" t="s">
        <v>1190</v>
      </c>
    </row>
    <row r="14" spans="1:9" ht="12" customHeight="1" x14ac:dyDescent="0.3">
      <c r="A14" s="1056"/>
      <c r="B14" s="1056"/>
      <c r="C14" s="1056"/>
      <c r="D14" s="1056"/>
      <c r="E14" s="1056"/>
      <c r="F14" s="1058"/>
      <c r="G14" s="1061"/>
    </row>
    <row r="15" spans="1:9" ht="12" customHeight="1" x14ac:dyDescent="0.3">
      <c r="A15" s="1056"/>
      <c r="B15" s="1056"/>
      <c r="C15" s="1056"/>
      <c r="D15" s="1056"/>
      <c r="E15" s="1056"/>
      <c r="F15" s="1059"/>
      <c r="G15" s="1062"/>
    </row>
    <row r="16" spans="1:9" ht="12" customHeight="1" x14ac:dyDescent="0.3">
      <c r="A16" s="1049" t="s">
        <v>300</v>
      </c>
      <c r="B16" s="1049"/>
      <c r="C16" s="454">
        <f>SUM(C17:C32)</f>
        <v>241625</v>
      </c>
      <c r="D16" s="454">
        <f>SUM(D17:D32)</f>
        <v>195804</v>
      </c>
      <c r="E16" s="454">
        <f>SUM(E17:E32)</f>
        <v>874077</v>
      </c>
      <c r="F16" s="454"/>
      <c r="G16" s="454">
        <f>SUM(G17:G32)</f>
        <v>706062</v>
      </c>
    </row>
    <row r="17" spans="1:7" ht="27" customHeight="1" x14ac:dyDescent="0.3">
      <c r="A17" s="281">
        <v>1</v>
      </c>
      <c r="B17" s="282" t="s">
        <v>590</v>
      </c>
      <c r="C17" s="452">
        <v>5692</v>
      </c>
      <c r="D17" s="452">
        <v>5692</v>
      </c>
      <c r="E17" s="452">
        <v>214000</v>
      </c>
      <c r="F17" s="283">
        <v>2239</v>
      </c>
      <c r="G17" s="452">
        <v>164000</v>
      </c>
    </row>
    <row r="18" spans="1:7" ht="12" customHeight="1" x14ac:dyDescent="0.3">
      <c r="A18" s="281">
        <v>2</v>
      </c>
      <c r="B18" s="282" t="s">
        <v>591</v>
      </c>
      <c r="C18" s="452">
        <v>0</v>
      </c>
      <c r="D18" s="452">
        <v>0</v>
      </c>
      <c r="E18" s="452">
        <v>39800</v>
      </c>
      <c r="F18" s="283">
        <v>2239</v>
      </c>
      <c r="G18" s="452">
        <v>39800</v>
      </c>
    </row>
    <row r="19" spans="1:7" ht="12" customHeight="1" x14ac:dyDescent="0.3">
      <c r="A19" s="281">
        <v>3</v>
      </c>
      <c r="B19" s="282" t="s">
        <v>592</v>
      </c>
      <c r="C19" s="452">
        <v>0</v>
      </c>
      <c r="D19" s="452">
        <v>0</v>
      </c>
      <c r="E19" s="452">
        <v>25000</v>
      </c>
      <c r="F19" s="283">
        <v>5234</v>
      </c>
      <c r="G19" s="452">
        <v>25000</v>
      </c>
    </row>
    <row r="20" spans="1:7" ht="12" customHeight="1" x14ac:dyDescent="0.3">
      <c r="A20" s="281">
        <v>4</v>
      </c>
      <c r="B20" s="282" t="s">
        <v>593</v>
      </c>
      <c r="C20" s="452">
        <v>0</v>
      </c>
      <c r="D20" s="452">
        <v>0</v>
      </c>
      <c r="E20" s="452">
        <v>20000</v>
      </c>
      <c r="F20" s="283">
        <v>5110</v>
      </c>
      <c r="G20" s="452">
        <v>20000</v>
      </c>
    </row>
    <row r="21" spans="1:7" ht="36" x14ac:dyDescent="0.3">
      <c r="A21" s="281">
        <v>5</v>
      </c>
      <c r="B21" s="282" t="s">
        <v>594</v>
      </c>
      <c r="C21" s="452">
        <f>57224+1423+48224</f>
        <v>106871</v>
      </c>
      <c r="D21" s="452">
        <f>57224+1423+48000</f>
        <v>106647</v>
      </c>
      <c r="E21" s="453">
        <v>115000</v>
      </c>
      <c r="F21" s="283">
        <v>2314</v>
      </c>
      <c r="G21" s="452">
        <v>85000</v>
      </c>
    </row>
    <row r="22" spans="1:7" ht="12" customHeight="1" x14ac:dyDescent="0.3">
      <c r="A22" s="1050">
        <v>6</v>
      </c>
      <c r="B22" s="1052" t="s">
        <v>595</v>
      </c>
      <c r="C22" s="452">
        <v>40458</v>
      </c>
      <c r="D22" s="452">
        <v>40000</v>
      </c>
      <c r="E22" s="452">
        <v>35000</v>
      </c>
      <c r="F22" s="283">
        <v>2231</v>
      </c>
      <c r="G22" s="452">
        <v>20000</v>
      </c>
    </row>
    <row r="23" spans="1:7" ht="15" customHeight="1" x14ac:dyDescent="0.3">
      <c r="A23" s="1051"/>
      <c r="B23" s="1053"/>
      <c r="C23" s="452">
        <v>0</v>
      </c>
      <c r="D23" s="452">
        <v>0</v>
      </c>
      <c r="E23" s="452">
        <f>18000+15500</f>
        <v>33500</v>
      </c>
      <c r="F23" s="283">
        <v>2264</v>
      </c>
      <c r="G23" s="452">
        <v>20000</v>
      </c>
    </row>
    <row r="24" spans="1:7" ht="14.25" customHeight="1" x14ac:dyDescent="0.3">
      <c r="A24" s="1051"/>
      <c r="B24" s="1053"/>
      <c r="C24" s="452">
        <v>7115</v>
      </c>
      <c r="D24" s="452">
        <v>7115</v>
      </c>
      <c r="E24" s="452">
        <v>9000</v>
      </c>
      <c r="F24" s="283">
        <v>2231</v>
      </c>
      <c r="G24" s="452">
        <v>7115</v>
      </c>
    </row>
    <row r="25" spans="1:7" s="285" customFormat="1" ht="39" customHeight="1" x14ac:dyDescent="0.3">
      <c r="A25" s="281">
        <v>7</v>
      </c>
      <c r="B25" s="282" t="s">
        <v>596</v>
      </c>
      <c r="C25" s="452">
        <v>0</v>
      </c>
      <c r="D25" s="452">
        <v>0</v>
      </c>
      <c r="E25" s="452">
        <v>303000</v>
      </c>
      <c r="F25" s="283">
        <v>2279</v>
      </c>
      <c r="G25" s="452">
        <v>250000</v>
      </c>
    </row>
    <row r="26" spans="1:7" ht="12" customHeight="1" x14ac:dyDescent="0.3">
      <c r="A26" s="281">
        <v>8</v>
      </c>
      <c r="B26" s="282" t="s">
        <v>597</v>
      </c>
      <c r="C26" s="452">
        <v>1423</v>
      </c>
      <c r="D26" s="452">
        <v>1200</v>
      </c>
      <c r="E26" s="452">
        <v>3000</v>
      </c>
      <c r="F26" s="283">
        <v>2232</v>
      </c>
      <c r="G26" s="452">
        <v>3000</v>
      </c>
    </row>
    <row r="27" spans="1:7" ht="12" customHeight="1" x14ac:dyDescent="0.3">
      <c r="A27" s="281">
        <v>9</v>
      </c>
      <c r="B27" s="282" t="s">
        <v>598</v>
      </c>
      <c r="C27" s="452">
        <v>9458</v>
      </c>
      <c r="D27" s="452">
        <v>9458</v>
      </c>
      <c r="E27" s="452">
        <v>5000</v>
      </c>
      <c r="F27" s="283">
        <v>2232</v>
      </c>
      <c r="G27" s="452">
        <v>5000</v>
      </c>
    </row>
    <row r="28" spans="1:7" ht="12" customHeight="1" x14ac:dyDescent="0.3">
      <c r="A28" s="281">
        <v>10</v>
      </c>
      <c r="B28" s="282" t="s">
        <v>599</v>
      </c>
      <c r="C28" s="452">
        <v>12269</v>
      </c>
      <c r="D28" s="452">
        <v>10000</v>
      </c>
      <c r="E28" s="452">
        <v>14630</v>
      </c>
      <c r="F28" s="283">
        <v>1150</v>
      </c>
      <c r="G28" s="452">
        <v>10000</v>
      </c>
    </row>
    <row r="29" spans="1:7" ht="15.75" customHeight="1" x14ac:dyDescent="0.3">
      <c r="A29" s="281">
        <v>11</v>
      </c>
      <c r="B29" s="282" t="s">
        <v>600</v>
      </c>
      <c r="C29" s="452">
        <v>0</v>
      </c>
      <c r="D29" s="452">
        <v>0</v>
      </c>
      <c r="E29" s="452">
        <v>4500</v>
      </c>
      <c r="F29" s="283">
        <v>2279</v>
      </c>
      <c r="G29" s="452">
        <v>4500</v>
      </c>
    </row>
    <row r="30" spans="1:7" ht="12" customHeight="1" x14ac:dyDescent="0.3">
      <c r="A30" s="281">
        <v>12</v>
      </c>
      <c r="B30" s="282" t="s">
        <v>308</v>
      </c>
      <c r="C30" s="452">
        <v>0</v>
      </c>
      <c r="D30" s="452">
        <v>0</v>
      </c>
      <c r="E30" s="452">
        <v>10000</v>
      </c>
      <c r="F30" s="283">
        <v>6422</v>
      </c>
      <c r="G30" s="452">
        <v>10000</v>
      </c>
    </row>
    <row r="31" spans="1:7" ht="12" customHeight="1" x14ac:dyDescent="0.3">
      <c r="A31" s="281">
        <v>13</v>
      </c>
      <c r="B31" s="282" t="s">
        <v>602</v>
      </c>
      <c r="C31" s="452">
        <v>7115</v>
      </c>
      <c r="D31" s="452">
        <v>0</v>
      </c>
      <c r="E31" s="452">
        <v>7115</v>
      </c>
      <c r="F31" s="283">
        <v>1150</v>
      </c>
      <c r="G31" s="452">
        <v>7115</v>
      </c>
    </row>
    <row r="32" spans="1:7" ht="12" customHeight="1" x14ac:dyDescent="0.3">
      <c r="A32" s="281">
        <v>14</v>
      </c>
      <c r="B32" s="282" t="s">
        <v>601</v>
      </c>
      <c r="C32" s="452">
        <v>51224</v>
      </c>
      <c r="D32" s="452">
        <v>15692</v>
      </c>
      <c r="E32" s="452">
        <v>35532</v>
      </c>
      <c r="F32" s="283">
        <v>5110</v>
      </c>
      <c r="G32" s="452">
        <v>35532</v>
      </c>
    </row>
  </sheetData>
  <sortState ref="C17:H22">
    <sortCondition ref="F17:F22"/>
  </sortState>
  <mergeCells count="13">
    <mergeCell ref="B1:G1"/>
    <mergeCell ref="A16:B16"/>
    <mergeCell ref="A22:A24"/>
    <mergeCell ref="B22:B24"/>
    <mergeCell ref="C6:G6"/>
    <mergeCell ref="A8:G8"/>
    <mergeCell ref="A13:A15"/>
    <mergeCell ref="B13:B15"/>
    <mergeCell ref="C13:C15"/>
    <mergeCell ref="D13:D15"/>
    <mergeCell ref="E13:E15"/>
    <mergeCell ref="F13:F15"/>
    <mergeCell ref="G13:G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65"/>
  <sheetViews>
    <sheetView tabSelected="1" workbookViewId="0">
      <selection activeCell="B2" sqref="B2"/>
    </sheetView>
  </sheetViews>
  <sheetFormatPr defaultRowHeight="12.75" x14ac:dyDescent="0.2"/>
  <cols>
    <col min="1" max="1" width="6.28515625" style="727" customWidth="1"/>
    <col min="2" max="2" width="32.140625" style="727" customWidth="1"/>
    <col min="3" max="3" width="6.5703125" style="727" bestFit="1" customWidth="1"/>
    <col min="4" max="4" width="10.85546875" style="727" hidden="1" customWidth="1"/>
    <col min="5" max="5" width="9.140625" style="727" bestFit="1" customWidth="1"/>
    <col min="6" max="6" width="10.5703125" style="727" hidden="1" customWidth="1"/>
    <col min="7" max="7" width="9.140625" style="727" bestFit="1" customWidth="1"/>
    <col min="8" max="8" width="11" style="727" hidden="1" customWidth="1"/>
    <col min="9" max="9" width="9.140625" style="727" bestFit="1" customWidth="1"/>
    <col min="10" max="10" width="10.5703125" style="727" hidden="1" customWidth="1"/>
    <col min="11" max="11" width="6.5703125" style="727" bestFit="1" customWidth="1"/>
    <col min="12" max="12" width="12.42578125" style="727" bestFit="1" customWidth="1"/>
    <col min="13" max="13" width="11.42578125" style="727" customWidth="1"/>
    <col min="14" max="16384" width="9.140625" style="727"/>
  </cols>
  <sheetData>
    <row r="1" spans="1:15" ht="16.5" x14ac:dyDescent="0.25">
      <c r="H1" s="1034" t="s">
        <v>1365</v>
      </c>
      <c r="I1" s="1034"/>
      <c r="J1" s="1034"/>
      <c r="K1" s="1034"/>
      <c r="L1" s="1034"/>
      <c r="M1" s="1034"/>
    </row>
    <row r="2" spans="1:15" ht="16.5" x14ac:dyDescent="0.25">
      <c r="H2" s="1"/>
      <c r="I2" s="950"/>
      <c r="J2" s="950"/>
      <c r="K2" s="950"/>
      <c r="L2" s="950"/>
      <c r="M2" s="951" t="s">
        <v>1184</v>
      </c>
    </row>
    <row r="3" spans="1:15" ht="16.5" x14ac:dyDescent="0.25">
      <c r="H3" s="1"/>
      <c r="I3" s="950"/>
      <c r="J3" s="950"/>
      <c r="K3" s="950"/>
      <c r="L3" s="950"/>
      <c r="M3" s="951" t="s">
        <v>1185</v>
      </c>
    </row>
    <row r="6" spans="1:15" ht="15.75" x14ac:dyDescent="0.25">
      <c r="A6" s="1334" t="s">
        <v>1167</v>
      </c>
      <c r="B6" s="1334"/>
      <c r="C6" s="1334"/>
      <c r="D6" s="1334"/>
      <c r="E6" s="1334"/>
      <c r="F6" s="1334"/>
      <c r="G6" s="1334"/>
      <c r="H6" s="1334"/>
      <c r="I6" s="1334"/>
      <c r="J6" s="1334"/>
      <c r="K6" s="1334"/>
      <c r="L6" s="1334"/>
      <c r="M6" s="1334"/>
    </row>
    <row r="7" spans="1:15" ht="15.75" x14ac:dyDescent="0.25">
      <c r="A7" s="1334" t="s">
        <v>1363</v>
      </c>
      <c r="B7" s="1334"/>
      <c r="C7" s="1334"/>
      <c r="D7" s="1334"/>
      <c r="E7" s="1334"/>
      <c r="F7" s="1334"/>
      <c r="G7" s="1334"/>
      <c r="H7" s="1334"/>
      <c r="I7" s="1334"/>
      <c r="J7" s="1334"/>
      <c r="K7" s="1334"/>
      <c r="L7" s="1334"/>
      <c r="M7" s="1334"/>
      <c r="O7" s="727" t="s">
        <v>1073</v>
      </c>
    </row>
    <row r="8" spans="1:15" ht="15.75" x14ac:dyDescent="0.25">
      <c r="A8" s="728"/>
      <c r="B8" s="728"/>
      <c r="C8" s="728"/>
      <c r="D8" s="728"/>
      <c r="E8" s="728"/>
      <c r="F8" s="728"/>
      <c r="G8" s="728"/>
      <c r="H8" s="728"/>
      <c r="I8" s="728"/>
      <c r="J8" s="728"/>
      <c r="K8" s="729"/>
      <c r="L8" s="729"/>
      <c r="M8" s="1017" t="s">
        <v>998</v>
      </c>
    </row>
    <row r="9" spans="1:15" ht="39" customHeight="1" x14ac:dyDescent="0.2">
      <c r="A9" s="1335" t="s">
        <v>1074</v>
      </c>
      <c r="B9" s="1336" t="s">
        <v>1075</v>
      </c>
      <c r="C9" s="1337" t="s">
        <v>1168</v>
      </c>
      <c r="D9" s="1337"/>
      <c r="E9" s="1337"/>
      <c r="F9" s="1337"/>
      <c r="G9" s="1337"/>
      <c r="H9" s="1337"/>
      <c r="I9" s="1337"/>
      <c r="J9" s="1337"/>
      <c r="K9" s="1338" t="s">
        <v>1179</v>
      </c>
      <c r="L9" s="1338"/>
      <c r="M9" s="1338"/>
    </row>
    <row r="10" spans="1:15" ht="62.25" customHeight="1" x14ac:dyDescent="0.2">
      <c r="A10" s="1335"/>
      <c r="B10" s="1336"/>
      <c r="C10" s="1339" t="s">
        <v>29</v>
      </c>
      <c r="D10" s="1339" t="s">
        <v>1169</v>
      </c>
      <c r="E10" s="1335" t="s">
        <v>1076</v>
      </c>
      <c r="F10" s="1335"/>
      <c r="G10" s="1335" t="s">
        <v>1077</v>
      </c>
      <c r="H10" s="1335"/>
      <c r="I10" s="1335" t="s">
        <v>1170</v>
      </c>
      <c r="J10" s="1335"/>
      <c r="K10" s="1335" t="s">
        <v>1076</v>
      </c>
      <c r="L10" s="1335" t="s">
        <v>1077</v>
      </c>
      <c r="M10" s="1335" t="s">
        <v>1170</v>
      </c>
    </row>
    <row r="11" spans="1:15" ht="46.5" hidden="1" customHeight="1" x14ac:dyDescent="0.2">
      <c r="A11" s="1335"/>
      <c r="B11" s="1336"/>
      <c r="C11" s="1339"/>
      <c r="D11" s="1339"/>
      <c r="E11" s="996" t="s">
        <v>1171</v>
      </c>
      <c r="F11" s="996" t="s">
        <v>1172</v>
      </c>
      <c r="G11" s="996" t="s">
        <v>1171</v>
      </c>
      <c r="H11" s="996" t="s">
        <v>1172</v>
      </c>
      <c r="I11" s="996" t="s">
        <v>1171</v>
      </c>
      <c r="J11" s="996" t="s">
        <v>1172</v>
      </c>
      <c r="K11" s="1335"/>
      <c r="L11" s="1335"/>
      <c r="M11" s="1335"/>
    </row>
    <row r="12" spans="1:15" ht="8.25" customHeight="1" x14ac:dyDescent="0.2">
      <c r="A12" s="997">
        <v>1</v>
      </c>
      <c r="B12" s="997">
        <v>2</v>
      </c>
      <c r="C12" s="997">
        <v>3</v>
      </c>
      <c r="D12" s="997"/>
      <c r="E12" s="997">
        <v>4</v>
      </c>
      <c r="F12" s="997">
        <v>5</v>
      </c>
      <c r="G12" s="997">
        <v>5</v>
      </c>
      <c r="H12" s="997">
        <v>7</v>
      </c>
      <c r="I12" s="997">
        <v>6</v>
      </c>
      <c r="J12" s="997">
        <v>9</v>
      </c>
      <c r="K12" s="997">
        <v>7</v>
      </c>
      <c r="L12" s="997">
        <v>8</v>
      </c>
      <c r="M12" s="997">
        <v>9</v>
      </c>
    </row>
    <row r="13" spans="1:15" ht="24" x14ac:dyDescent="0.2">
      <c r="A13" s="1001"/>
      <c r="B13" s="998" t="s">
        <v>1078</v>
      </c>
      <c r="C13" s="999">
        <f>E13+G13+I13</f>
        <v>21900</v>
      </c>
      <c r="D13" s="999">
        <f>SUM(E13+H13+J13)</f>
        <v>21900</v>
      </c>
      <c r="E13" s="1333">
        <f>25*365</f>
        <v>9125</v>
      </c>
      <c r="F13" s="1333"/>
      <c r="G13" s="1000">
        <f>15*365</f>
        <v>5475</v>
      </c>
      <c r="H13" s="1000">
        <v>5475</v>
      </c>
      <c r="I13" s="1000">
        <f>20*365</f>
        <v>7300</v>
      </c>
      <c r="J13" s="1000">
        <v>7300</v>
      </c>
      <c r="K13" s="1001"/>
      <c r="L13" s="1001"/>
      <c r="M13" s="1001"/>
    </row>
    <row r="14" spans="1:15" ht="15.75" customHeight="1" x14ac:dyDescent="0.2">
      <c r="A14" s="1018"/>
      <c r="B14" s="1002" t="s">
        <v>1079</v>
      </c>
      <c r="C14" s="1000">
        <f t="shared" ref="C14:E14" si="0">C16+C28+C59</f>
        <v>379917</v>
      </c>
      <c r="D14" s="1000">
        <f t="shared" si="0"/>
        <v>477844</v>
      </c>
      <c r="E14" s="1000">
        <f t="shared" si="0"/>
        <v>138863</v>
      </c>
      <c r="F14" s="1000">
        <f>F16+F28+F59</f>
        <v>189047</v>
      </c>
      <c r="G14" s="1000">
        <f t="shared" ref="G14:M14" si="1">G16+G28+G59</f>
        <v>114828</v>
      </c>
      <c r="H14" s="1000">
        <f t="shared" si="1"/>
        <v>137440</v>
      </c>
      <c r="I14" s="1000">
        <f t="shared" si="1"/>
        <v>126226</v>
      </c>
      <c r="J14" s="1000">
        <f t="shared" si="1"/>
        <v>156375</v>
      </c>
      <c r="K14" s="1003">
        <f t="shared" si="1"/>
        <v>20.717479452054793</v>
      </c>
      <c r="L14" s="1003">
        <f t="shared" si="1"/>
        <v>25.103196347031961</v>
      </c>
      <c r="M14" s="1003">
        <f t="shared" si="1"/>
        <v>21.421232876712327</v>
      </c>
    </row>
    <row r="15" spans="1:15" ht="15.75" customHeight="1" x14ac:dyDescent="0.2">
      <c r="A15" s="1018"/>
      <c r="B15" s="1002"/>
      <c r="C15" s="1000"/>
      <c r="D15" s="1000"/>
      <c r="E15" s="1000"/>
      <c r="F15" s="1000"/>
      <c r="G15" s="1000"/>
      <c r="H15" s="1000"/>
      <c r="I15" s="1000"/>
      <c r="J15" s="1000"/>
      <c r="K15" s="1004"/>
      <c r="L15" s="1004"/>
      <c r="M15" s="1004"/>
    </row>
    <row r="16" spans="1:15" ht="15.75" customHeight="1" x14ac:dyDescent="0.2">
      <c r="A16" s="1002">
        <v>1000</v>
      </c>
      <c r="B16" s="1002" t="s">
        <v>1080</v>
      </c>
      <c r="C16" s="1000">
        <f t="shared" ref="C16:J16" si="2">C17+C25</f>
        <v>282856</v>
      </c>
      <c r="D16" s="1000">
        <f t="shared" si="2"/>
        <v>327912</v>
      </c>
      <c r="E16" s="1000">
        <f t="shared" si="2"/>
        <v>105325</v>
      </c>
      <c r="F16" s="1000">
        <f t="shared" si="2"/>
        <v>126805</v>
      </c>
      <c r="G16" s="1000">
        <f t="shared" si="2"/>
        <v>89458</v>
      </c>
      <c r="H16" s="1000">
        <f t="shared" si="2"/>
        <v>98370</v>
      </c>
      <c r="I16" s="1000">
        <f t="shared" si="2"/>
        <v>88073</v>
      </c>
      <c r="J16" s="1000">
        <f t="shared" si="2"/>
        <v>102737</v>
      </c>
      <c r="K16" s="1005">
        <f>F16/E13</f>
        <v>13.896438356164383</v>
      </c>
      <c r="L16" s="1005">
        <f>H16/G13</f>
        <v>17.967123287671232</v>
      </c>
      <c r="M16" s="1005">
        <f>J16/I13</f>
        <v>14.073561643835616</v>
      </c>
    </row>
    <row r="17" spans="1:18" ht="15.75" customHeight="1" x14ac:dyDescent="0.2">
      <c r="A17" s="1019">
        <v>1100</v>
      </c>
      <c r="B17" s="1002" t="s">
        <v>1081</v>
      </c>
      <c r="C17" s="1000">
        <f t="shared" ref="C17:E17" si="3">C18+C20</f>
        <v>228866</v>
      </c>
      <c r="D17" s="1000">
        <f t="shared" si="3"/>
        <v>265347</v>
      </c>
      <c r="E17" s="1000">
        <f t="shared" si="3"/>
        <v>85221</v>
      </c>
      <c r="F17" s="1000">
        <f>F18+F20</f>
        <v>102626</v>
      </c>
      <c r="G17" s="1000">
        <f>G18+G20</f>
        <v>72383</v>
      </c>
      <c r="H17" s="1000">
        <f>H18+H20</f>
        <v>79594</v>
      </c>
      <c r="I17" s="1000">
        <f>I18+I20</f>
        <v>71262</v>
      </c>
      <c r="J17" s="1000">
        <f>J18+J20</f>
        <v>83127</v>
      </c>
      <c r="K17" s="1003">
        <f t="shared" ref="K17:M17" si="4">K18+K20</f>
        <v>11.246684931506849</v>
      </c>
      <c r="L17" s="1003">
        <f t="shared" si="4"/>
        <v>14.537716894977169</v>
      </c>
      <c r="M17" s="1003">
        <f t="shared" si="4"/>
        <v>11.387260273972602</v>
      </c>
    </row>
    <row r="18" spans="1:18" ht="15.75" customHeight="1" x14ac:dyDescent="0.2">
      <c r="A18" s="1020">
        <v>1110</v>
      </c>
      <c r="B18" s="1002" t="s">
        <v>1081</v>
      </c>
      <c r="C18" s="1000">
        <f t="shared" ref="C18:M18" si="5">C19</f>
        <v>214694</v>
      </c>
      <c r="D18" s="1000">
        <f t="shared" si="5"/>
        <v>237445</v>
      </c>
      <c r="E18" s="1000">
        <f t="shared" si="5"/>
        <v>80437</v>
      </c>
      <c r="F18" s="1000">
        <f t="shared" si="5"/>
        <v>93357</v>
      </c>
      <c r="G18" s="1000">
        <f t="shared" si="5"/>
        <v>67581</v>
      </c>
      <c r="H18" s="1000">
        <f t="shared" si="5"/>
        <v>70580</v>
      </c>
      <c r="I18" s="1000">
        <f t="shared" si="5"/>
        <v>66676</v>
      </c>
      <c r="J18" s="1000">
        <f t="shared" si="5"/>
        <v>73508</v>
      </c>
      <c r="K18" s="1003">
        <f t="shared" si="5"/>
        <v>10.230904109589041</v>
      </c>
      <c r="L18" s="1003">
        <f t="shared" si="5"/>
        <v>12.891324200913242</v>
      </c>
      <c r="M18" s="1003">
        <f t="shared" si="5"/>
        <v>10.06958904109589</v>
      </c>
      <c r="O18" s="730"/>
    </row>
    <row r="19" spans="1:18" ht="24" customHeight="1" x14ac:dyDescent="0.2">
      <c r="A19" s="1021">
        <v>1119</v>
      </c>
      <c r="B19" s="998" t="s">
        <v>1082</v>
      </c>
      <c r="C19" s="1006">
        <f>E19+G19+I19</f>
        <v>214694</v>
      </c>
      <c r="D19" s="1006">
        <f>SUM(F19+H19+J19)</f>
        <v>237445</v>
      </c>
      <c r="E19" s="1007">
        <v>80437</v>
      </c>
      <c r="F19" s="1007">
        <f>12920+E19</f>
        <v>93357</v>
      </c>
      <c r="G19" s="1007">
        <v>67581</v>
      </c>
      <c r="H19" s="1007">
        <f>2999+G19</f>
        <v>70580</v>
      </c>
      <c r="I19" s="1007">
        <f>66677-1</f>
        <v>66676</v>
      </c>
      <c r="J19" s="1007">
        <f>6832+I19</f>
        <v>73508</v>
      </c>
      <c r="K19" s="1008">
        <f>F19/E13</f>
        <v>10.230904109589041</v>
      </c>
      <c r="L19" s="1008">
        <f>H19/H13</f>
        <v>12.891324200913242</v>
      </c>
      <c r="M19" s="1008">
        <f>J19/J13</f>
        <v>10.06958904109589</v>
      </c>
    </row>
    <row r="20" spans="1:18" ht="15.75" customHeight="1" x14ac:dyDescent="0.2">
      <c r="A20" s="1020">
        <v>1140</v>
      </c>
      <c r="B20" s="1002" t="s">
        <v>1083</v>
      </c>
      <c r="C20" s="999">
        <f t="shared" ref="C20:M20" si="6">SUM(C21:C24)</f>
        <v>14172</v>
      </c>
      <c r="D20" s="999">
        <f t="shared" si="6"/>
        <v>27902</v>
      </c>
      <c r="E20" s="999">
        <f t="shared" si="6"/>
        <v>4784</v>
      </c>
      <c r="F20" s="999">
        <f t="shared" si="6"/>
        <v>9269</v>
      </c>
      <c r="G20" s="999">
        <f t="shared" si="6"/>
        <v>4802</v>
      </c>
      <c r="H20" s="999">
        <f t="shared" si="6"/>
        <v>9014</v>
      </c>
      <c r="I20" s="999">
        <f t="shared" si="6"/>
        <v>4586</v>
      </c>
      <c r="J20" s="999">
        <f t="shared" si="6"/>
        <v>9619</v>
      </c>
      <c r="K20" s="1005">
        <f t="shared" si="6"/>
        <v>1.0157808219178082</v>
      </c>
      <c r="L20" s="1005">
        <f t="shared" si="6"/>
        <v>1.6463926940639269</v>
      </c>
      <c r="M20" s="1005">
        <f t="shared" si="6"/>
        <v>1.3176712328767124</v>
      </c>
    </row>
    <row r="21" spans="1:18" ht="15.75" customHeight="1" x14ac:dyDescent="0.2">
      <c r="A21" s="1001">
        <v>1141</v>
      </c>
      <c r="B21" s="1001" t="s">
        <v>1084</v>
      </c>
      <c r="C21" s="1006">
        <f>E21+G21+I21</f>
        <v>10089</v>
      </c>
      <c r="D21" s="1006">
        <f>SUM(F21+H21+J21)</f>
        <v>20740</v>
      </c>
      <c r="E21" s="1007">
        <v>3406</v>
      </c>
      <c r="F21" s="1007">
        <f>3376+E21</f>
        <v>6782</v>
      </c>
      <c r="G21" s="1007">
        <v>3268</v>
      </c>
      <c r="H21" s="1007">
        <f>3268+G21</f>
        <v>6536</v>
      </c>
      <c r="I21" s="1007">
        <v>3415</v>
      </c>
      <c r="J21" s="1007">
        <f>4007+I21</f>
        <v>7422</v>
      </c>
      <c r="K21" s="1008">
        <f>F21/E13</f>
        <v>0.74323287671232874</v>
      </c>
      <c r="L21" s="1008">
        <f>H21/H13</f>
        <v>1.1937899543378996</v>
      </c>
      <c r="M21" s="1008">
        <f>J21/J13</f>
        <v>1.0167123287671234</v>
      </c>
    </row>
    <row r="22" spans="1:18" ht="23.25" customHeight="1" x14ac:dyDescent="0.2">
      <c r="A22" s="1001">
        <v>1142</v>
      </c>
      <c r="B22" s="1009" t="s">
        <v>1085</v>
      </c>
      <c r="C22" s="1006">
        <f t="shared" ref="C22:C26" si="7">E22+G22+I22</f>
        <v>3308</v>
      </c>
      <c r="D22" s="1006">
        <f t="shared" ref="D22:D27" si="8">SUM(F22+H22+J22)</f>
        <v>6387</v>
      </c>
      <c r="E22" s="1007">
        <v>1108</v>
      </c>
      <c r="F22" s="1007">
        <f>1109+E22</f>
        <v>2217</v>
      </c>
      <c r="G22" s="1007">
        <v>1174</v>
      </c>
      <c r="H22" s="1007">
        <f>944+G22</f>
        <v>2118</v>
      </c>
      <c r="I22" s="1007">
        <v>1026</v>
      </c>
      <c r="J22" s="1007">
        <f>1026+I22</f>
        <v>2052</v>
      </c>
      <c r="K22" s="1008">
        <f>F22/E13</f>
        <v>0.24295890410958904</v>
      </c>
      <c r="L22" s="1008">
        <f>H22/H13</f>
        <v>0.38684931506849313</v>
      </c>
      <c r="M22" s="1008">
        <f>J22/J13</f>
        <v>0.28109589041095889</v>
      </c>
    </row>
    <row r="23" spans="1:18" ht="24" x14ac:dyDescent="0.2">
      <c r="A23" s="1001">
        <v>1145</v>
      </c>
      <c r="B23" s="998" t="s">
        <v>1086</v>
      </c>
      <c r="C23" s="1006">
        <f t="shared" si="7"/>
        <v>775</v>
      </c>
      <c r="D23" s="1006">
        <f t="shared" si="8"/>
        <v>775</v>
      </c>
      <c r="E23" s="1007">
        <v>270</v>
      </c>
      <c r="F23" s="1007">
        <f>E23</f>
        <v>270</v>
      </c>
      <c r="G23" s="1007">
        <v>360</v>
      </c>
      <c r="H23" s="1007">
        <f>G23</f>
        <v>360</v>
      </c>
      <c r="I23" s="1007">
        <v>145</v>
      </c>
      <c r="J23" s="1007">
        <f>I23</f>
        <v>145</v>
      </c>
      <c r="K23" s="1008">
        <f>F23/E13</f>
        <v>2.958904109589041E-2</v>
      </c>
      <c r="L23" s="1008">
        <f>H23/H13</f>
        <v>6.575342465753424E-2</v>
      </c>
      <c r="M23" s="1008">
        <f>J23/J13</f>
        <v>1.9863013698630139E-2</v>
      </c>
    </row>
    <row r="24" spans="1:18" ht="15.75" customHeight="1" x14ac:dyDescent="0.2">
      <c r="A24" s="1001">
        <v>1149</v>
      </c>
      <c r="B24" s="1001" t="s">
        <v>1173</v>
      </c>
      <c r="C24" s="1006">
        <f t="shared" si="7"/>
        <v>0</v>
      </c>
      <c r="D24" s="1006">
        <f t="shared" si="8"/>
        <v>0</v>
      </c>
      <c r="E24" s="1007"/>
      <c r="F24" s="1007">
        <f>E24</f>
        <v>0</v>
      </c>
      <c r="G24" s="1007"/>
      <c r="H24" s="1007">
        <f>G24</f>
        <v>0</v>
      </c>
      <c r="I24" s="1007"/>
      <c r="J24" s="1007">
        <f>I24</f>
        <v>0</v>
      </c>
      <c r="K24" s="1008">
        <f>F24/E13</f>
        <v>0</v>
      </c>
      <c r="L24" s="1008">
        <f>H24/H13</f>
        <v>0</v>
      </c>
      <c r="M24" s="1008">
        <f>J24/J13</f>
        <v>0</v>
      </c>
    </row>
    <row r="25" spans="1:18" ht="24" x14ac:dyDescent="0.2">
      <c r="A25" s="1019">
        <v>1200</v>
      </c>
      <c r="B25" s="1010" t="s">
        <v>1087</v>
      </c>
      <c r="C25" s="999">
        <f t="shared" ref="C25:E25" si="9">(C26+C27)</f>
        <v>53990</v>
      </c>
      <c r="D25" s="999">
        <f t="shared" si="9"/>
        <v>62565</v>
      </c>
      <c r="E25" s="999">
        <f t="shared" si="9"/>
        <v>20104</v>
      </c>
      <c r="F25" s="999">
        <f>(F26+F27)</f>
        <v>24179</v>
      </c>
      <c r="G25" s="999">
        <f>(G26+G27)</f>
        <v>17075</v>
      </c>
      <c r="H25" s="999">
        <f t="shared" ref="H25:M25" si="10">(H26+H27)</f>
        <v>18776</v>
      </c>
      <c r="I25" s="999">
        <f t="shared" si="10"/>
        <v>16811</v>
      </c>
      <c r="J25" s="999">
        <f t="shared" si="10"/>
        <v>19610</v>
      </c>
      <c r="K25" s="1011">
        <f t="shared" si="10"/>
        <v>2.6497534246575341</v>
      </c>
      <c r="L25" s="1011">
        <f t="shared" si="10"/>
        <v>3.4294063926940641</v>
      </c>
      <c r="M25" s="1011">
        <f t="shared" si="10"/>
        <v>2.6863013698630138</v>
      </c>
    </row>
    <row r="26" spans="1:18" ht="30" customHeight="1" x14ac:dyDescent="0.2">
      <c r="A26" s="1001">
        <v>1210</v>
      </c>
      <c r="B26" s="1012" t="s">
        <v>1087</v>
      </c>
      <c r="C26" s="1006">
        <f t="shared" si="7"/>
        <v>53990</v>
      </c>
      <c r="D26" s="1006">
        <f t="shared" si="8"/>
        <v>62565</v>
      </c>
      <c r="E26" s="1007">
        <v>20104</v>
      </c>
      <c r="F26" s="1007">
        <f>4075+E26</f>
        <v>24179</v>
      </c>
      <c r="G26" s="1007">
        <v>17075</v>
      </c>
      <c r="H26" s="1007">
        <f>1701+G26</f>
        <v>18776</v>
      </c>
      <c r="I26" s="1007">
        <v>16811</v>
      </c>
      <c r="J26" s="1007">
        <f>2799+I26</f>
        <v>19610</v>
      </c>
      <c r="K26" s="1008">
        <f>F26/E13</f>
        <v>2.6497534246575341</v>
      </c>
      <c r="L26" s="1008">
        <f>H26/H13</f>
        <v>3.4294063926940641</v>
      </c>
      <c r="M26" s="1008">
        <f>J26/J13</f>
        <v>2.6863013698630138</v>
      </c>
    </row>
    <row r="27" spans="1:18" ht="24.75" customHeight="1" x14ac:dyDescent="0.2">
      <c r="A27" s="1001">
        <v>1227</v>
      </c>
      <c r="B27" s="998" t="s">
        <v>1174</v>
      </c>
      <c r="C27" s="1006">
        <f>E27+G27+I27</f>
        <v>0</v>
      </c>
      <c r="D27" s="1006">
        <f t="shared" si="8"/>
        <v>0</v>
      </c>
      <c r="E27" s="1007"/>
      <c r="F27" s="1007">
        <f>E27</f>
        <v>0</v>
      </c>
      <c r="G27" s="1007"/>
      <c r="H27" s="1007">
        <f>G27</f>
        <v>0</v>
      </c>
      <c r="I27" s="1007"/>
      <c r="J27" s="1007"/>
      <c r="K27" s="1008">
        <f>F27/E13</f>
        <v>0</v>
      </c>
      <c r="L27" s="1008">
        <f>H27/H13</f>
        <v>0</v>
      </c>
      <c r="M27" s="1008">
        <f>J27/J13</f>
        <v>0</v>
      </c>
    </row>
    <row r="28" spans="1:18" ht="15.75" customHeight="1" x14ac:dyDescent="0.2">
      <c r="A28" s="1002">
        <v>2000</v>
      </c>
      <c r="B28" s="1002" t="s">
        <v>1088</v>
      </c>
      <c r="C28" s="999">
        <f t="shared" ref="C28:M28" si="11">C29+C43+C56</f>
        <v>97061</v>
      </c>
      <c r="D28" s="999">
        <f t="shared" si="11"/>
        <v>149932</v>
      </c>
      <c r="E28" s="1013">
        <f t="shared" si="11"/>
        <v>33538</v>
      </c>
      <c r="F28" s="1013">
        <f t="shared" si="11"/>
        <v>57224</v>
      </c>
      <c r="G28" s="1013">
        <f t="shared" si="11"/>
        <v>25370</v>
      </c>
      <c r="H28" s="1013">
        <f t="shared" si="11"/>
        <v>39070</v>
      </c>
      <c r="I28" s="1013">
        <f t="shared" si="11"/>
        <v>38153</v>
      </c>
      <c r="J28" s="1013">
        <f t="shared" si="11"/>
        <v>53638</v>
      </c>
      <c r="K28" s="1005">
        <f t="shared" si="11"/>
        <v>6.2711232876712319</v>
      </c>
      <c r="L28" s="1005">
        <f t="shared" si="11"/>
        <v>7.1360730593607302</v>
      </c>
      <c r="M28" s="1005">
        <f t="shared" si="11"/>
        <v>7.3476712328767118</v>
      </c>
    </row>
    <row r="29" spans="1:18" ht="15.75" customHeight="1" x14ac:dyDescent="0.2">
      <c r="A29" s="1019">
        <v>2200</v>
      </c>
      <c r="B29" s="1002" t="s">
        <v>1089</v>
      </c>
      <c r="C29" s="1000">
        <f t="shared" ref="C29:E29" si="12">SUM(C30:C42)</f>
        <v>24530</v>
      </c>
      <c r="D29" s="1000">
        <f t="shared" si="12"/>
        <v>51948</v>
      </c>
      <c r="E29" s="1000">
        <f t="shared" si="12"/>
        <v>9612</v>
      </c>
      <c r="F29" s="1000">
        <f>SUM(F30:F42)</f>
        <v>19969</v>
      </c>
      <c r="G29" s="1000">
        <f>SUM(G30:G42)</f>
        <v>6307</v>
      </c>
      <c r="H29" s="1000">
        <f>SUM(H30:H42)</f>
        <v>14582</v>
      </c>
      <c r="I29" s="1000">
        <f>SUM(I30:I42)</f>
        <v>8611</v>
      </c>
      <c r="J29" s="1000">
        <f>SUM(J30:J42)</f>
        <v>17397</v>
      </c>
      <c r="K29" s="1003">
        <f t="shared" ref="K29:M29" si="13">SUM(K30:K42)</f>
        <v>2.1883835616438354</v>
      </c>
      <c r="L29" s="1003">
        <f t="shared" si="13"/>
        <v>2.6633789954337894</v>
      </c>
      <c r="M29" s="1003">
        <f t="shared" si="13"/>
        <v>2.3831506849315067</v>
      </c>
    </row>
    <row r="30" spans="1:18" ht="36" x14ac:dyDescent="0.2">
      <c r="A30" s="1001">
        <v>2212</v>
      </c>
      <c r="B30" s="998" t="s">
        <v>1090</v>
      </c>
      <c r="C30" s="1006">
        <f>E30+G30+I30</f>
        <v>999</v>
      </c>
      <c r="D30" s="1006">
        <f t="shared" ref="D30:D58" si="14">SUM(F30+H30+J30)</f>
        <v>999</v>
      </c>
      <c r="E30" s="1007">
        <v>349</v>
      </c>
      <c r="F30" s="1014">
        <f>E30</f>
        <v>349</v>
      </c>
      <c r="G30" s="1014">
        <v>299</v>
      </c>
      <c r="H30" s="1014">
        <f>G30</f>
        <v>299</v>
      </c>
      <c r="I30" s="1014">
        <v>351</v>
      </c>
      <c r="J30" s="1014">
        <f>I30</f>
        <v>351</v>
      </c>
      <c r="K30" s="1008">
        <f>F30/E13</f>
        <v>3.8246575342465755E-2</v>
      </c>
      <c r="L30" s="1008">
        <f>H30/H13</f>
        <v>5.461187214611872E-2</v>
      </c>
      <c r="M30" s="1008">
        <f>J30/J13</f>
        <v>4.8082191780821917E-2</v>
      </c>
    </row>
    <row r="31" spans="1:18" ht="24" x14ac:dyDescent="0.2">
      <c r="A31" s="1001">
        <v>2214</v>
      </c>
      <c r="B31" s="1015" t="s">
        <v>1091</v>
      </c>
      <c r="C31" s="1006">
        <f t="shared" ref="C31:C58" si="15">E31+G31+I31</f>
        <v>542</v>
      </c>
      <c r="D31" s="1006">
        <f t="shared" si="14"/>
        <v>542</v>
      </c>
      <c r="E31" s="1007">
        <v>256</v>
      </c>
      <c r="F31" s="1014">
        <f>E31</f>
        <v>256</v>
      </c>
      <c r="G31" s="1014">
        <v>114</v>
      </c>
      <c r="H31" s="1014">
        <f>G31</f>
        <v>114</v>
      </c>
      <c r="I31" s="1014">
        <v>172</v>
      </c>
      <c r="J31" s="1014">
        <f>I31</f>
        <v>172</v>
      </c>
      <c r="K31" s="1008">
        <f>F31/E13</f>
        <v>2.8054794520547946E-2</v>
      </c>
      <c r="L31" s="1008">
        <f>H31/H13</f>
        <v>2.0821917808219178E-2</v>
      </c>
      <c r="M31" s="1008">
        <f>J31/J13</f>
        <v>2.3561643835616437E-2</v>
      </c>
    </row>
    <row r="32" spans="1:18" ht="15.75" customHeight="1" x14ac:dyDescent="0.2">
      <c r="A32" s="1001">
        <v>2222</v>
      </c>
      <c r="B32" s="1001" t="s">
        <v>1092</v>
      </c>
      <c r="C32" s="1006">
        <f t="shared" si="15"/>
        <v>1606</v>
      </c>
      <c r="D32" s="1006">
        <f t="shared" si="14"/>
        <v>2806</v>
      </c>
      <c r="E32" s="1007">
        <v>502</v>
      </c>
      <c r="F32" s="1014">
        <f>698+E32</f>
        <v>1200</v>
      </c>
      <c r="G32" s="1014">
        <v>566</v>
      </c>
      <c r="H32" s="1014">
        <f>134+G32</f>
        <v>700</v>
      </c>
      <c r="I32" s="1014">
        <v>538</v>
      </c>
      <c r="J32" s="1014">
        <f>368+I32</f>
        <v>906</v>
      </c>
      <c r="K32" s="1008">
        <f>F32/E13</f>
        <v>0.13150684931506848</v>
      </c>
      <c r="L32" s="1008">
        <f>H32/H13</f>
        <v>0.12785388127853881</v>
      </c>
      <c r="M32" s="1008">
        <f>J32/J13</f>
        <v>0.1241095890410959</v>
      </c>
      <c r="O32" s="730"/>
      <c r="P32" s="730"/>
      <c r="Q32" s="730"/>
      <c r="R32" s="730"/>
    </row>
    <row r="33" spans="1:18" ht="15.75" customHeight="1" x14ac:dyDescent="0.2">
      <c r="A33" s="1001">
        <v>2223</v>
      </c>
      <c r="B33" s="1001" t="s">
        <v>1093</v>
      </c>
      <c r="C33" s="1006">
        <f t="shared" si="15"/>
        <v>5995</v>
      </c>
      <c r="D33" s="1006">
        <f t="shared" si="14"/>
        <v>9506</v>
      </c>
      <c r="E33" s="1007">
        <v>2045</v>
      </c>
      <c r="F33" s="1014">
        <f>1355+E33</f>
        <v>3400</v>
      </c>
      <c r="G33" s="1014">
        <v>1712</v>
      </c>
      <c r="H33" s="1014">
        <f>1238+G33</f>
        <v>2950</v>
      </c>
      <c r="I33" s="1014">
        <v>2238</v>
      </c>
      <c r="J33" s="1014">
        <f>918+I33</f>
        <v>3156</v>
      </c>
      <c r="K33" s="1008">
        <f>F33/E13</f>
        <v>0.37260273972602742</v>
      </c>
      <c r="L33" s="1008">
        <f>H33/H13</f>
        <v>0.53881278538812782</v>
      </c>
      <c r="M33" s="1008">
        <f>J33/J13</f>
        <v>0.43232876712328766</v>
      </c>
      <c r="O33" s="730"/>
      <c r="P33" s="730"/>
      <c r="Q33" s="730"/>
      <c r="R33" s="730"/>
    </row>
    <row r="34" spans="1:18" ht="15.75" customHeight="1" x14ac:dyDescent="0.2">
      <c r="A34" s="1001">
        <v>2224</v>
      </c>
      <c r="B34" s="1015" t="s">
        <v>1094</v>
      </c>
      <c r="C34" s="1006">
        <f t="shared" si="15"/>
        <v>521</v>
      </c>
      <c r="D34" s="1006">
        <f t="shared" si="14"/>
        <v>757</v>
      </c>
      <c r="E34" s="1007">
        <v>114</v>
      </c>
      <c r="F34" s="1014">
        <f>236+E34</f>
        <v>350</v>
      </c>
      <c r="G34" s="1014">
        <v>192</v>
      </c>
      <c r="H34" s="1014">
        <f>G34</f>
        <v>192</v>
      </c>
      <c r="I34" s="1014">
        <v>215</v>
      </c>
      <c r="J34" s="1014">
        <f>I34</f>
        <v>215</v>
      </c>
      <c r="K34" s="1008">
        <f>F34/E13</f>
        <v>3.8356164383561646E-2</v>
      </c>
      <c r="L34" s="1008">
        <f>H34/H13</f>
        <v>3.5068493150684929E-2</v>
      </c>
      <c r="M34" s="1008">
        <f>J34/J13</f>
        <v>2.9452054794520548E-2</v>
      </c>
      <c r="O34" s="730"/>
      <c r="P34" s="730"/>
      <c r="Q34" s="730"/>
      <c r="R34" s="730"/>
    </row>
    <row r="35" spans="1:18" ht="24" x14ac:dyDescent="0.2">
      <c r="A35" s="1001">
        <v>2232</v>
      </c>
      <c r="B35" s="1015" t="s">
        <v>1095</v>
      </c>
      <c r="C35" s="1006">
        <f t="shared" si="15"/>
        <v>861</v>
      </c>
      <c r="D35" s="1006">
        <f t="shared" si="14"/>
        <v>1211</v>
      </c>
      <c r="E35" s="1007"/>
      <c r="F35" s="1014">
        <f>350+E35</f>
        <v>350</v>
      </c>
      <c r="G35" s="1014">
        <v>434</v>
      </c>
      <c r="H35" s="1014">
        <f>G35</f>
        <v>434</v>
      </c>
      <c r="I35" s="1014">
        <v>427</v>
      </c>
      <c r="J35" s="1014">
        <f>I35</f>
        <v>427</v>
      </c>
      <c r="K35" s="1008">
        <f>F35/E13</f>
        <v>3.8356164383561646E-2</v>
      </c>
      <c r="L35" s="1008">
        <f>H35/H13</f>
        <v>7.9269406392694058E-2</v>
      </c>
      <c r="M35" s="1008">
        <f>J35/J13</f>
        <v>5.8493150684931508E-2</v>
      </c>
      <c r="O35" s="730"/>
      <c r="P35" s="730"/>
      <c r="Q35" s="730"/>
      <c r="R35" s="730"/>
    </row>
    <row r="36" spans="1:18" ht="15.75" customHeight="1" x14ac:dyDescent="0.2">
      <c r="A36" s="1001">
        <v>2235</v>
      </c>
      <c r="B36" s="1015" t="s">
        <v>1096</v>
      </c>
      <c r="C36" s="1006">
        <f t="shared" si="15"/>
        <v>206</v>
      </c>
      <c r="D36" s="1006">
        <f t="shared" si="14"/>
        <v>800</v>
      </c>
      <c r="E36" s="1007"/>
      <c r="F36" s="1014">
        <f>450+E36</f>
        <v>450</v>
      </c>
      <c r="G36" s="1014">
        <v>64</v>
      </c>
      <c r="H36" s="1014">
        <f>96+G36</f>
        <v>160</v>
      </c>
      <c r="I36" s="1014">
        <v>142</v>
      </c>
      <c r="J36" s="1014">
        <f>48+I36</f>
        <v>190</v>
      </c>
      <c r="K36" s="1008">
        <f>F36/E13</f>
        <v>4.9315068493150684E-2</v>
      </c>
      <c r="L36" s="1008">
        <f>H36/H13</f>
        <v>2.9223744292237442E-2</v>
      </c>
      <c r="M36" s="1008">
        <f>J36/J13</f>
        <v>2.6027397260273973E-2</v>
      </c>
      <c r="O36" s="730"/>
      <c r="P36" s="730"/>
      <c r="Q36" s="730"/>
      <c r="R36" s="730"/>
    </row>
    <row r="37" spans="1:18" ht="15.75" customHeight="1" x14ac:dyDescent="0.2">
      <c r="A37" s="1001">
        <v>2239</v>
      </c>
      <c r="B37" s="1015" t="s">
        <v>1097</v>
      </c>
      <c r="C37" s="1006">
        <f t="shared" si="15"/>
        <v>4019</v>
      </c>
      <c r="D37" s="1006">
        <f t="shared" si="14"/>
        <v>8525</v>
      </c>
      <c r="E37" s="1007">
        <v>1542</v>
      </c>
      <c r="F37" s="1014">
        <f>1458+E37</f>
        <v>3000</v>
      </c>
      <c r="G37" s="1014">
        <v>913</v>
      </c>
      <c r="H37" s="1014">
        <f>1792+G37</f>
        <v>2705</v>
      </c>
      <c r="I37" s="1014">
        <v>1564</v>
      </c>
      <c r="J37" s="1014">
        <f>1256+I37</f>
        <v>2820</v>
      </c>
      <c r="K37" s="1008">
        <f>F37/E13</f>
        <v>0.32876712328767121</v>
      </c>
      <c r="L37" s="1008">
        <f>H37/H13</f>
        <v>0.49406392694063928</v>
      </c>
      <c r="M37" s="1008">
        <f>J37/J13</f>
        <v>0.38630136986301372</v>
      </c>
      <c r="O37" s="730"/>
      <c r="P37" s="730"/>
      <c r="Q37" s="730"/>
      <c r="R37" s="730"/>
    </row>
    <row r="38" spans="1:18" ht="15.75" customHeight="1" x14ac:dyDescent="0.2">
      <c r="A38" s="1001">
        <v>2242</v>
      </c>
      <c r="B38" s="1015" t="s">
        <v>1098</v>
      </c>
      <c r="C38" s="1006">
        <f t="shared" si="15"/>
        <v>600</v>
      </c>
      <c r="D38" s="1006">
        <f t="shared" si="14"/>
        <v>3160</v>
      </c>
      <c r="E38" s="1007">
        <v>191</v>
      </c>
      <c r="F38" s="1014">
        <f>864+E38</f>
        <v>1055</v>
      </c>
      <c r="G38" s="1014">
        <v>25</v>
      </c>
      <c r="H38" s="1014">
        <f>975+G38</f>
        <v>1000</v>
      </c>
      <c r="I38" s="1014">
        <v>384</v>
      </c>
      <c r="J38" s="1014">
        <f>721+I38</f>
        <v>1105</v>
      </c>
      <c r="K38" s="1008">
        <f>F38/E13</f>
        <v>0.11561643835616438</v>
      </c>
      <c r="L38" s="1008">
        <f>H38/H13</f>
        <v>0.18264840182648401</v>
      </c>
      <c r="M38" s="1008">
        <f>J38/J13</f>
        <v>0.15136986301369862</v>
      </c>
      <c r="O38" s="730"/>
      <c r="P38" s="730"/>
      <c r="Q38" s="730"/>
      <c r="R38" s="730"/>
    </row>
    <row r="39" spans="1:18" ht="24" x14ac:dyDescent="0.2">
      <c r="A39" s="1001">
        <v>2243</v>
      </c>
      <c r="B39" s="1015" t="s">
        <v>1099</v>
      </c>
      <c r="C39" s="1006">
        <f t="shared" si="15"/>
        <v>70</v>
      </c>
      <c r="D39" s="1006">
        <f t="shared" si="14"/>
        <v>170</v>
      </c>
      <c r="E39" s="1007">
        <v>29</v>
      </c>
      <c r="F39" s="1014">
        <f>30+E39</f>
        <v>59</v>
      </c>
      <c r="G39" s="1014">
        <v>18</v>
      </c>
      <c r="H39" s="1014">
        <f>34+G39</f>
        <v>52</v>
      </c>
      <c r="I39" s="1014">
        <v>23</v>
      </c>
      <c r="J39" s="1014">
        <f>36+I39</f>
        <v>59</v>
      </c>
      <c r="K39" s="1008">
        <f>F39/E13</f>
        <v>6.4657534246575343E-3</v>
      </c>
      <c r="L39" s="1008">
        <f>H39/H13</f>
        <v>9.4977168949771686E-3</v>
      </c>
      <c r="M39" s="1008">
        <f>J39/J13</f>
        <v>8.0821917808219183E-3</v>
      </c>
      <c r="O39" s="730"/>
      <c r="P39" s="730"/>
      <c r="Q39" s="730"/>
      <c r="R39" s="730"/>
    </row>
    <row r="40" spans="1:18" ht="15.75" customHeight="1" x14ac:dyDescent="0.2">
      <c r="A40" s="1001">
        <v>2244</v>
      </c>
      <c r="B40" s="1015" t="s">
        <v>1100</v>
      </c>
      <c r="C40" s="1006">
        <f t="shared" si="15"/>
        <v>4621</v>
      </c>
      <c r="D40" s="1006">
        <f t="shared" si="14"/>
        <v>10484</v>
      </c>
      <c r="E40" s="1007">
        <v>2907</v>
      </c>
      <c r="F40" s="1014">
        <f>1093+E40</f>
        <v>4000</v>
      </c>
      <c r="G40" s="1014">
        <v>849</v>
      </c>
      <c r="H40" s="1014">
        <f>2051+G40</f>
        <v>2900</v>
      </c>
      <c r="I40" s="1014">
        <v>865</v>
      </c>
      <c r="J40" s="1014">
        <f>2719+I40</f>
        <v>3584</v>
      </c>
      <c r="K40" s="1008">
        <f>F40/E13</f>
        <v>0.43835616438356162</v>
      </c>
      <c r="L40" s="1008">
        <f>H40/H13</f>
        <v>0.52968036529680362</v>
      </c>
      <c r="M40" s="1008">
        <f>J40/J13</f>
        <v>0.49095890410958903</v>
      </c>
      <c r="O40" s="730"/>
      <c r="P40" s="730"/>
      <c r="Q40" s="730"/>
      <c r="R40" s="730"/>
    </row>
    <row r="41" spans="1:18" ht="24" x14ac:dyDescent="0.2">
      <c r="A41" s="1001">
        <v>2249</v>
      </c>
      <c r="B41" s="1015" t="s">
        <v>1101</v>
      </c>
      <c r="C41" s="1006">
        <f t="shared" si="15"/>
        <v>3742</v>
      </c>
      <c r="D41" s="1006">
        <f t="shared" si="14"/>
        <v>9876</v>
      </c>
      <c r="E41" s="1007">
        <v>1365</v>
      </c>
      <c r="F41" s="1014">
        <f>2635+E41</f>
        <v>4000</v>
      </c>
      <c r="G41" s="1014">
        <v>933</v>
      </c>
      <c r="H41" s="1014">
        <f>1443+G41</f>
        <v>2376</v>
      </c>
      <c r="I41" s="1014">
        <v>1444</v>
      </c>
      <c r="J41" s="1014">
        <f>2056+I41</f>
        <v>3500</v>
      </c>
      <c r="K41" s="1008">
        <f>F41/E13</f>
        <v>0.43835616438356162</v>
      </c>
      <c r="L41" s="1008">
        <f>H41/H13</f>
        <v>0.43397260273972604</v>
      </c>
      <c r="M41" s="1008">
        <f>J41/J13</f>
        <v>0.47945205479452052</v>
      </c>
      <c r="O41" s="730"/>
      <c r="P41" s="730"/>
      <c r="Q41" s="730"/>
      <c r="R41" s="730"/>
    </row>
    <row r="42" spans="1:18" x14ac:dyDescent="0.2">
      <c r="A42" s="1001">
        <v>2251</v>
      </c>
      <c r="B42" s="1015" t="s">
        <v>1102</v>
      </c>
      <c r="C42" s="1006">
        <f t="shared" si="15"/>
        <v>748</v>
      </c>
      <c r="D42" s="1006">
        <f t="shared" si="14"/>
        <v>3112</v>
      </c>
      <c r="E42" s="1016">
        <v>312</v>
      </c>
      <c r="F42" s="1014">
        <f>1188+E42</f>
        <v>1500</v>
      </c>
      <c r="G42" s="1014">
        <v>188</v>
      </c>
      <c r="H42" s="1014">
        <f>512+G42</f>
        <v>700</v>
      </c>
      <c r="I42" s="1014">
        <v>248</v>
      </c>
      <c r="J42" s="1014">
        <f>664+I42</f>
        <v>912</v>
      </c>
      <c r="K42" s="1008">
        <f>F42/E13</f>
        <v>0.16438356164383561</v>
      </c>
      <c r="L42" s="1008">
        <f>H42/H13</f>
        <v>0.12785388127853881</v>
      </c>
      <c r="M42" s="1008">
        <f>J42/J13</f>
        <v>0.12493150684931507</v>
      </c>
      <c r="O42" s="730"/>
      <c r="P42" s="730"/>
      <c r="Q42" s="730"/>
      <c r="R42" s="730"/>
    </row>
    <row r="43" spans="1:18" ht="26.25" customHeight="1" x14ac:dyDescent="0.2">
      <c r="A43" s="1019">
        <v>2300</v>
      </c>
      <c r="B43" s="1010" t="s">
        <v>1103</v>
      </c>
      <c r="C43" s="1000">
        <f>SUM(C44:C55)</f>
        <v>72239</v>
      </c>
      <c r="D43" s="1000">
        <f>SUM(D44:D55)</f>
        <v>97692</v>
      </c>
      <c r="E43" s="1000">
        <f t="shared" ref="E43:M43" si="16">SUM(E44:E55)</f>
        <v>23831</v>
      </c>
      <c r="F43" s="1000">
        <f t="shared" si="16"/>
        <v>37160</v>
      </c>
      <c r="G43" s="1000">
        <f t="shared" si="16"/>
        <v>18961</v>
      </c>
      <c r="H43" s="1000">
        <f t="shared" si="16"/>
        <v>24386</v>
      </c>
      <c r="I43" s="1000">
        <f t="shared" si="16"/>
        <v>29447</v>
      </c>
      <c r="J43" s="1000">
        <f t="shared" si="16"/>
        <v>36146</v>
      </c>
      <c r="K43" s="1003">
        <f t="shared" si="16"/>
        <v>4.0723287671232873</v>
      </c>
      <c r="L43" s="1003">
        <f t="shared" si="16"/>
        <v>4.4540639269406395</v>
      </c>
      <c r="M43" s="1003">
        <f t="shared" si="16"/>
        <v>4.9515068493150682</v>
      </c>
      <c r="O43" s="730"/>
      <c r="P43" s="730"/>
      <c r="Q43" s="730"/>
      <c r="R43" s="730"/>
    </row>
    <row r="44" spans="1:18" x14ac:dyDescent="0.2">
      <c r="A44" s="1021">
        <v>2311</v>
      </c>
      <c r="B44" s="998" t="s">
        <v>1175</v>
      </c>
      <c r="C44" s="1006">
        <f t="shared" si="15"/>
        <v>0</v>
      </c>
      <c r="D44" s="1006">
        <f t="shared" si="14"/>
        <v>386</v>
      </c>
      <c r="E44" s="1014"/>
      <c r="F44" s="1014">
        <f>150+E44</f>
        <v>150</v>
      </c>
      <c r="G44" s="1014"/>
      <c r="H44" s="1014">
        <f>100+G44</f>
        <v>100</v>
      </c>
      <c r="I44" s="1014"/>
      <c r="J44" s="1014">
        <f>136+I44</f>
        <v>136</v>
      </c>
      <c r="K44" s="1008">
        <f>F44/E13</f>
        <v>1.643835616438356E-2</v>
      </c>
      <c r="L44" s="1008">
        <f>H44/H13</f>
        <v>1.8264840182648401E-2</v>
      </c>
      <c r="M44" s="1008">
        <f>J44/J13</f>
        <v>1.8630136986301369E-2</v>
      </c>
      <c r="O44" s="730"/>
      <c r="P44" s="730"/>
      <c r="Q44" s="730"/>
      <c r="R44" s="730"/>
    </row>
    <row r="45" spans="1:18" x14ac:dyDescent="0.2">
      <c r="A45" s="1021">
        <v>2312</v>
      </c>
      <c r="B45" s="998" t="s">
        <v>131</v>
      </c>
      <c r="C45" s="1006">
        <f t="shared" si="15"/>
        <v>0</v>
      </c>
      <c r="D45" s="1006">
        <f t="shared" si="14"/>
        <v>892</v>
      </c>
      <c r="E45" s="1014"/>
      <c r="F45" s="1014">
        <f>350+E45</f>
        <v>350</v>
      </c>
      <c r="G45" s="1014"/>
      <c r="H45" s="1014">
        <f>212+G45</f>
        <v>212</v>
      </c>
      <c r="I45" s="1014"/>
      <c r="J45" s="1014">
        <f>330+I45</f>
        <v>330</v>
      </c>
      <c r="K45" s="1008">
        <f>F45/E13</f>
        <v>3.8356164383561646E-2</v>
      </c>
      <c r="L45" s="1008">
        <f>H45/H13</f>
        <v>3.8721461187214611E-2</v>
      </c>
      <c r="M45" s="1008">
        <f>J45/J13</f>
        <v>4.5205479452054796E-2</v>
      </c>
      <c r="O45" s="730"/>
      <c r="P45" s="730"/>
      <c r="Q45" s="730"/>
      <c r="R45" s="730"/>
    </row>
    <row r="46" spans="1:18" ht="15.75" customHeight="1" x14ac:dyDescent="0.2">
      <c r="A46" s="1001">
        <v>2321</v>
      </c>
      <c r="B46" s="1015" t="s">
        <v>1104</v>
      </c>
      <c r="C46" s="1006">
        <f t="shared" si="15"/>
        <v>4217</v>
      </c>
      <c r="D46" s="1006">
        <f t="shared" si="14"/>
        <v>6640</v>
      </c>
      <c r="E46" s="1007">
        <v>1110</v>
      </c>
      <c r="F46" s="1014">
        <f>1110+E46</f>
        <v>2220</v>
      </c>
      <c r="G46" s="1014">
        <v>1266</v>
      </c>
      <c r="H46" s="1014">
        <f>954+G46</f>
        <v>2220</v>
      </c>
      <c r="I46" s="1014">
        <v>1841</v>
      </c>
      <c r="J46" s="1014">
        <f>359+I46</f>
        <v>2200</v>
      </c>
      <c r="K46" s="1008">
        <f>F46/E13</f>
        <v>0.2432876712328767</v>
      </c>
      <c r="L46" s="1008">
        <f>H46/H13</f>
        <v>0.40547945205479452</v>
      </c>
      <c r="M46" s="1008">
        <f>J46/J13</f>
        <v>0.30136986301369861</v>
      </c>
      <c r="O46" s="730"/>
      <c r="P46" s="730"/>
      <c r="Q46" s="730"/>
      <c r="R46" s="730"/>
    </row>
    <row r="47" spans="1:18" ht="15.75" customHeight="1" x14ac:dyDescent="0.2">
      <c r="A47" s="1001">
        <v>2322</v>
      </c>
      <c r="B47" s="1015" t="s">
        <v>1018</v>
      </c>
      <c r="C47" s="1006">
        <f t="shared" si="15"/>
        <v>1622</v>
      </c>
      <c r="D47" s="1006">
        <f t="shared" si="14"/>
        <v>2943</v>
      </c>
      <c r="E47" s="1007">
        <v>569</v>
      </c>
      <c r="F47" s="1014">
        <f>194+E47</f>
        <v>763</v>
      </c>
      <c r="G47" s="1014">
        <v>512</v>
      </c>
      <c r="H47" s="1014">
        <f>468+G47</f>
        <v>980</v>
      </c>
      <c r="I47" s="1014">
        <v>541</v>
      </c>
      <c r="J47" s="1014">
        <f>659+I47</f>
        <v>1200</v>
      </c>
      <c r="K47" s="1008">
        <f>F47/E13</f>
        <v>8.3616438356164377E-2</v>
      </c>
      <c r="L47" s="1008">
        <f>H47/H13</f>
        <v>0.17899543378995433</v>
      </c>
      <c r="M47" s="1008">
        <f>J47/J13</f>
        <v>0.16438356164383561</v>
      </c>
      <c r="O47" s="730"/>
      <c r="P47" s="730"/>
      <c r="Q47" s="730"/>
      <c r="R47" s="730"/>
    </row>
    <row r="48" spans="1:18" ht="15.75" customHeight="1" x14ac:dyDescent="0.2">
      <c r="A48" s="1001">
        <v>2341</v>
      </c>
      <c r="B48" s="1001" t="s">
        <v>1105</v>
      </c>
      <c r="C48" s="1006">
        <f t="shared" si="15"/>
        <v>10814</v>
      </c>
      <c r="D48" s="1006">
        <f t="shared" si="14"/>
        <v>11929</v>
      </c>
      <c r="E48" s="1007">
        <v>2165</v>
      </c>
      <c r="F48" s="1014">
        <f>1115+E48</f>
        <v>3280</v>
      </c>
      <c r="G48" s="1014">
        <v>3540</v>
      </c>
      <c r="H48" s="1014">
        <f>G48</f>
        <v>3540</v>
      </c>
      <c r="I48" s="1014">
        <v>5109</v>
      </c>
      <c r="J48" s="1014">
        <f>I48</f>
        <v>5109</v>
      </c>
      <c r="K48" s="1008">
        <f>F48/E13</f>
        <v>0.35945205479452053</v>
      </c>
      <c r="L48" s="1008">
        <f>H48/H13</f>
        <v>0.64657534246575343</v>
      </c>
      <c r="M48" s="1008">
        <f>J48/J13</f>
        <v>0.69986301369863013</v>
      </c>
      <c r="O48" s="730"/>
      <c r="P48" s="730"/>
      <c r="Q48" s="730"/>
      <c r="R48" s="730"/>
    </row>
    <row r="49" spans="1:13" ht="15.75" customHeight="1" x14ac:dyDescent="0.2">
      <c r="A49" s="1001">
        <v>2351</v>
      </c>
      <c r="B49" s="1001" t="s">
        <v>1106</v>
      </c>
      <c r="C49" s="1006">
        <f t="shared" si="15"/>
        <v>700</v>
      </c>
      <c r="D49" s="1006">
        <f t="shared" si="14"/>
        <v>3950</v>
      </c>
      <c r="E49" s="1007">
        <v>150</v>
      </c>
      <c r="F49" s="1014">
        <f>1750+E49</f>
        <v>1900</v>
      </c>
      <c r="G49" s="1014">
        <v>150</v>
      </c>
      <c r="H49" s="1014">
        <f>550+G49</f>
        <v>700</v>
      </c>
      <c r="I49" s="1014">
        <v>400</v>
      </c>
      <c r="J49" s="1014">
        <f>950+I49</f>
        <v>1350</v>
      </c>
      <c r="K49" s="1008">
        <f>F49/E13</f>
        <v>0.20821917808219179</v>
      </c>
      <c r="L49" s="1008">
        <f>H49/H13</f>
        <v>0.12785388127853881</v>
      </c>
      <c r="M49" s="1008">
        <f>J49/J13</f>
        <v>0.18493150684931506</v>
      </c>
    </row>
    <row r="50" spans="1:13" ht="15.75" customHeight="1" x14ac:dyDescent="0.2">
      <c r="A50" s="1001">
        <v>2352</v>
      </c>
      <c r="B50" s="1001" t="s">
        <v>1107</v>
      </c>
      <c r="C50" s="1006">
        <f t="shared" si="15"/>
        <v>2561</v>
      </c>
      <c r="D50" s="1006">
        <f t="shared" si="14"/>
        <v>3500</v>
      </c>
      <c r="E50" s="1007">
        <v>964</v>
      </c>
      <c r="F50" s="1014">
        <f>36+E50</f>
        <v>1000</v>
      </c>
      <c r="G50" s="1014">
        <v>626</v>
      </c>
      <c r="H50" s="1014">
        <f>374+G50</f>
        <v>1000</v>
      </c>
      <c r="I50" s="1014">
        <v>971</v>
      </c>
      <c r="J50" s="1014">
        <f>529+I50</f>
        <v>1500</v>
      </c>
      <c r="K50" s="1008">
        <f>F50/E13</f>
        <v>0.1095890410958904</v>
      </c>
      <c r="L50" s="1008">
        <f>H50/H13</f>
        <v>0.18264840182648401</v>
      </c>
      <c r="M50" s="1008">
        <f>J50/J13</f>
        <v>0.20547945205479451</v>
      </c>
    </row>
    <row r="51" spans="1:13" ht="15.75" customHeight="1" x14ac:dyDescent="0.2">
      <c r="A51" s="1001">
        <v>2355</v>
      </c>
      <c r="B51" s="1015" t="s">
        <v>1108</v>
      </c>
      <c r="C51" s="1006">
        <f t="shared" si="15"/>
        <v>340</v>
      </c>
      <c r="D51" s="1006">
        <f t="shared" si="14"/>
        <v>1800</v>
      </c>
      <c r="E51" s="1007">
        <v>84</v>
      </c>
      <c r="F51" s="1014">
        <f>666+E51</f>
        <v>750</v>
      </c>
      <c r="G51" s="1014">
        <v>128</v>
      </c>
      <c r="H51" s="1014">
        <f>172+G51</f>
        <v>300</v>
      </c>
      <c r="I51" s="1014">
        <v>128</v>
      </c>
      <c r="J51" s="1014">
        <f>622+I51</f>
        <v>750</v>
      </c>
      <c r="K51" s="1008">
        <f>F51/E13</f>
        <v>8.2191780821917804E-2</v>
      </c>
      <c r="L51" s="1008">
        <f>H51/H13</f>
        <v>5.4794520547945202E-2</v>
      </c>
      <c r="M51" s="1008">
        <f>J51/J13</f>
        <v>0.10273972602739725</v>
      </c>
    </row>
    <row r="52" spans="1:13" ht="15.75" customHeight="1" x14ac:dyDescent="0.2">
      <c r="A52" s="1001">
        <v>2361</v>
      </c>
      <c r="B52" s="1001" t="s">
        <v>1109</v>
      </c>
      <c r="C52" s="1006">
        <f t="shared" si="15"/>
        <v>1456</v>
      </c>
      <c r="D52" s="1006">
        <f t="shared" si="14"/>
        <v>3977</v>
      </c>
      <c r="E52" s="1007">
        <v>674</v>
      </c>
      <c r="F52" s="1014">
        <f>579+E52</f>
        <v>1253</v>
      </c>
      <c r="G52" s="1014">
        <v>462</v>
      </c>
      <c r="H52" s="1014">
        <f>402+G52</f>
        <v>864</v>
      </c>
      <c r="I52" s="1014">
        <v>320</v>
      </c>
      <c r="J52" s="1014">
        <f>1540+I52</f>
        <v>1860</v>
      </c>
      <c r="K52" s="1008">
        <f>F52/E13</f>
        <v>0.13731506849315067</v>
      </c>
      <c r="L52" s="1008">
        <f>H52/H13</f>
        <v>0.15780821917808219</v>
      </c>
      <c r="M52" s="1008">
        <f>J52/J13</f>
        <v>0.25479452054794521</v>
      </c>
    </row>
    <row r="53" spans="1:13" ht="27" customHeight="1" x14ac:dyDescent="0.2">
      <c r="A53" s="1001">
        <v>2362</v>
      </c>
      <c r="B53" s="998" t="s">
        <v>1110</v>
      </c>
      <c r="C53" s="1006">
        <f t="shared" si="15"/>
        <v>1000</v>
      </c>
      <c r="D53" s="1006">
        <f t="shared" si="14"/>
        <v>3534</v>
      </c>
      <c r="E53" s="1007">
        <v>200</v>
      </c>
      <c r="F53" s="1014">
        <f>684+E53</f>
        <v>884</v>
      </c>
      <c r="G53" s="1014">
        <v>350</v>
      </c>
      <c r="H53" s="1014">
        <f>500+G53</f>
        <v>850</v>
      </c>
      <c r="I53" s="1014">
        <v>450</v>
      </c>
      <c r="J53" s="1014">
        <f>1350+I53</f>
        <v>1800</v>
      </c>
      <c r="K53" s="1008">
        <f>F53/E13</f>
        <v>9.6876712328767128E-2</v>
      </c>
      <c r="L53" s="1008">
        <f>H53/H13</f>
        <v>0.15525114155251141</v>
      </c>
      <c r="M53" s="1008">
        <f>J53/J13</f>
        <v>0.24657534246575341</v>
      </c>
    </row>
    <row r="54" spans="1:13" ht="15.75" customHeight="1" x14ac:dyDescent="0.2">
      <c r="A54" s="1001">
        <v>2363</v>
      </c>
      <c r="B54" s="1001" t="s">
        <v>1111</v>
      </c>
      <c r="C54" s="1006">
        <f t="shared" si="15"/>
        <v>41697</v>
      </c>
      <c r="D54" s="1006">
        <f t="shared" si="14"/>
        <v>49713</v>
      </c>
      <c r="E54" s="1007">
        <v>14019</v>
      </c>
      <c r="F54" s="1014">
        <f>6695+E54</f>
        <v>20714</v>
      </c>
      <c r="G54" s="1014">
        <v>11107</v>
      </c>
      <c r="H54" s="1014">
        <f>1321+G54</f>
        <v>12428</v>
      </c>
      <c r="I54" s="1014">
        <v>16571</v>
      </c>
      <c r="J54" s="1014">
        <f>I54</f>
        <v>16571</v>
      </c>
      <c r="K54" s="1008">
        <f>F54/E13</f>
        <v>2.2700273972602738</v>
      </c>
      <c r="L54" s="1008">
        <f>H54/H13</f>
        <v>2.2699543378995433</v>
      </c>
      <c r="M54" s="1008">
        <f>J54/J13</f>
        <v>2.27</v>
      </c>
    </row>
    <row r="55" spans="1:13" ht="48.75" customHeight="1" x14ac:dyDescent="0.2">
      <c r="A55" s="1001">
        <v>2369</v>
      </c>
      <c r="B55" s="1015" t="s">
        <v>1112</v>
      </c>
      <c r="C55" s="1006">
        <f t="shared" si="15"/>
        <v>7832</v>
      </c>
      <c r="D55" s="1006">
        <f t="shared" si="14"/>
        <v>8428</v>
      </c>
      <c r="E55" s="1007">
        <v>3896</v>
      </c>
      <c r="F55" s="1014">
        <f>E55</f>
        <v>3896</v>
      </c>
      <c r="G55" s="1014">
        <v>820</v>
      </c>
      <c r="H55" s="1014">
        <f>372+G55</f>
        <v>1192</v>
      </c>
      <c r="I55" s="1014">
        <v>3116</v>
      </c>
      <c r="J55" s="1014">
        <f>224+I55</f>
        <v>3340</v>
      </c>
      <c r="K55" s="1008">
        <f>F55/E13</f>
        <v>0.42695890410958903</v>
      </c>
      <c r="L55" s="1008">
        <f>H55/H13</f>
        <v>0.21771689497716895</v>
      </c>
      <c r="M55" s="1008">
        <f>J55/J13</f>
        <v>0.45753424657534247</v>
      </c>
    </row>
    <row r="56" spans="1:13" ht="15.75" customHeight="1" x14ac:dyDescent="0.2">
      <c r="A56" s="1019">
        <v>2500</v>
      </c>
      <c r="B56" s="1002" t="s">
        <v>1113</v>
      </c>
      <c r="C56" s="1000">
        <f t="shared" ref="C56:M56" si="17">SUM(C57:C58)</f>
        <v>292</v>
      </c>
      <c r="D56" s="1000">
        <f t="shared" si="17"/>
        <v>292</v>
      </c>
      <c r="E56" s="1000">
        <f t="shared" si="17"/>
        <v>95</v>
      </c>
      <c r="F56" s="1000">
        <f t="shared" si="17"/>
        <v>95</v>
      </c>
      <c r="G56" s="1000">
        <f t="shared" si="17"/>
        <v>102</v>
      </c>
      <c r="H56" s="1000">
        <f t="shared" si="17"/>
        <v>102</v>
      </c>
      <c r="I56" s="1000">
        <f t="shared" si="17"/>
        <v>95</v>
      </c>
      <c r="J56" s="1000">
        <f t="shared" si="17"/>
        <v>95</v>
      </c>
      <c r="K56" s="1003">
        <f t="shared" si="17"/>
        <v>1.0410958904109589E-2</v>
      </c>
      <c r="L56" s="1003">
        <f t="shared" si="17"/>
        <v>1.8630136986301369E-2</v>
      </c>
      <c r="M56" s="1003">
        <f t="shared" si="17"/>
        <v>1.3013698630136987E-2</v>
      </c>
    </row>
    <row r="57" spans="1:13" ht="15.75" customHeight="1" x14ac:dyDescent="0.2">
      <c r="A57" s="1021">
        <v>2515</v>
      </c>
      <c r="B57" s="998" t="s">
        <v>1114</v>
      </c>
      <c r="C57" s="1006">
        <f t="shared" si="15"/>
        <v>114</v>
      </c>
      <c r="D57" s="1006">
        <f t="shared" si="14"/>
        <v>114</v>
      </c>
      <c r="E57" s="1007">
        <v>38</v>
      </c>
      <c r="F57" s="1014">
        <f>E57</f>
        <v>38</v>
      </c>
      <c r="G57" s="1014">
        <v>38</v>
      </c>
      <c r="H57" s="1014">
        <f>G57</f>
        <v>38</v>
      </c>
      <c r="I57" s="1014">
        <v>38</v>
      </c>
      <c r="J57" s="1014">
        <f>I57</f>
        <v>38</v>
      </c>
      <c r="K57" s="1008">
        <f>F57/E13</f>
        <v>4.1643835616438354E-3</v>
      </c>
      <c r="L57" s="1008">
        <f>H57/H13</f>
        <v>6.9406392694063923E-3</v>
      </c>
      <c r="M57" s="1008">
        <f>J57/J13</f>
        <v>5.2054794520547945E-3</v>
      </c>
    </row>
    <row r="58" spans="1:13" ht="15.75" customHeight="1" x14ac:dyDescent="0.2">
      <c r="A58" s="1001">
        <v>2519</v>
      </c>
      <c r="B58" s="1001" t="s">
        <v>1364</v>
      </c>
      <c r="C58" s="1006">
        <f t="shared" si="15"/>
        <v>178</v>
      </c>
      <c r="D58" s="1006">
        <f t="shared" si="14"/>
        <v>178</v>
      </c>
      <c r="E58" s="1007">
        <v>57</v>
      </c>
      <c r="F58" s="1014">
        <f>E58</f>
        <v>57</v>
      </c>
      <c r="G58" s="1014">
        <v>64</v>
      </c>
      <c r="H58" s="1014">
        <f>G58</f>
        <v>64</v>
      </c>
      <c r="I58" s="1014">
        <v>57</v>
      </c>
      <c r="J58" s="1014">
        <f>I58</f>
        <v>57</v>
      </c>
      <c r="K58" s="1008">
        <f>F58/E13</f>
        <v>6.2465753424657535E-3</v>
      </c>
      <c r="L58" s="1008">
        <f>H58/H13</f>
        <v>1.1689497716894977E-2</v>
      </c>
      <c r="M58" s="1008">
        <f>J58/J13</f>
        <v>7.8082191780821921E-3</v>
      </c>
    </row>
    <row r="59" spans="1:13" ht="15.75" customHeight="1" x14ac:dyDescent="0.2">
      <c r="A59" s="1020">
        <v>6000</v>
      </c>
      <c r="B59" s="1002" t="s">
        <v>1176</v>
      </c>
      <c r="C59" s="999">
        <f>SUM(C60)</f>
        <v>0</v>
      </c>
      <c r="D59" s="999"/>
      <c r="E59" s="999">
        <f>SUM(E60)</f>
        <v>0</v>
      </c>
      <c r="F59" s="999">
        <f t="shared" ref="F59:M60" si="18">SUM(F60)</f>
        <v>5018</v>
      </c>
      <c r="G59" s="999">
        <f t="shared" si="18"/>
        <v>0</v>
      </c>
      <c r="H59" s="999">
        <f t="shared" si="18"/>
        <v>0</v>
      </c>
      <c r="I59" s="999">
        <f t="shared" si="18"/>
        <v>0</v>
      </c>
      <c r="J59" s="999">
        <f t="shared" si="18"/>
        <v>0</v>
      </c>
      <c r="K59" s="1011">
        <f t="shared" si="18"/>
        <v>0.54991780821917813</v>
      </c>
      <c r="L59" s="1011">
        <f t="shared" si="18"/>
        <v>0</v>
      </c>
      <c r="M59" s="1011">
        <f t="shared" si="18"/>
        <v>0</v>
      </c>
    </row>
    <row r="60" spans="1:13" ht="15.75" customHeight="1" x14ac:dyDescent="0.2">
      <c r="A60" s="1019">
        <v>6200</v>
      </c>
      <c r="B60" s="1002" t="s">
        <v>1177</v>
      </c>
      <c r="C60" s="999">
        <f>SUM(C61)</f>
        <v>0</v>
      </c>
      <c r="D60" s="999"/>
      <c r="E60" s="999">
        <f>SUM(E61)</f>
        <v>0</v>
      </c>
      <c r="F60" s="999">
        <f t="shared" si="18"/>
        <v>5018</v>
      </c>
      <c r="G60" s="999">
        <f t="shared" si="18"/>
        <v>0</v>
      </c>
      <c r="H60" s="999">
        <f t="shared" si="18"/>
        <v>0</v>
      </c>
      <c r="I60" s="999">
        <f t="shared" si="18"/>
        <v>0</v>
      </c>
      <c r="J60" s="999">
        <f t="shared" si="18"/>
        <v>0</v>
      </c>
      <c r="K60" s="1011">
        <f t="shared" si="18"/>
        <v>0.54991780821917813</v>
      </c>
      <c r="L60" s="1011">
        <f t="shared" si="18"/>
        <v>0</v>
      </c>
      <c r="M60" s="1011">
        <f t="shared" si="18"/>
        <v>0</v>
      </c>
    </row>
    <row r="61" spans="1:13" ht="24" x14ac:dyDescent="0.2">
      <c r="A61" s="1021">
        <v>6220</v>
      </c>
      <c r="B61" s="998" t="s">
        <v>1178</v>
      </c>
      <c r="C61" s="1006">
        <f t="shared" ref="C61" si="19">E61+G61+I61</f>
        <v>0</v>
      </c>
      <c r="D61" s="1006">
        <f t="shared" ref="D61" si="20">SUM(F61+H61+J61)</f>
        <v>5018</v>
      </c>
      <c r="E61" s="1007"/>
      <c r="F61" s="1014">
        <f>5018+E61</f>
        <v>5018</v>
      </c>
      <c r="G61" s="1014"/>
      <c r="H61" s="1014">
        <f>G61</f>
        <v>0</v>
      </c>
      <c r="I61" s="1014"/>
      <c r="J61" s="1014"/>
      <c r="K61" s="1008">
        <f>F61/E13</f>
        <v>0.54991780821917813</v>
      </c>
      <c r="L61" s="1008">
        <f>H61/H13</f>
        <v>0</v>
      </c>
      <c r="M61" s="1008">
        <f>J61/J13</f>
        <v>0</v>
      </c>
    </row>
    <row r="62" spans="1:13" s="847" customFormat="1" ht="15.75" customHeight="1" x14ac:dyDescent="0.25">
      <c r="A62" s="844"/>
      <c r="B62" s="844"/>
      <c r="C62" s="844"/>
      <c r="D62" s="844"/>
      <c r="E62" s="845"/>
      <c r="F62" s="846"/>
      <c r="G62" s="846"/>
      <c r="H62" s="846"/>
      <c r="I62" s="846"/>
      <c r="J62" s="846"/>
      <c r="K62" s="844"/>
      <c r="L62" s="844"/>
      <c r="M62" s="844"/>
    </row>
    <row r="64" spans="1:13" x14ac:dyDescent="0.2">
      <c r="A64" s="731"/>
      <c r="C64" s="730"/>
      <c r="D64" s="730"/>
      <c r="E64" s="730"/>
      <c r="F64" s="730"/>
      <c r="G64" s="730"/>
      <c r="H64" s="730"/>
      <c r="I64" s="730"/>
      <c r="J64" s="730"/>
      <c r="K64" s="730"/>
      <c r="L64" s="730"/>
      <c r="M64" s="730"/>
    </row>
    <row r="65" spans="1:5" x14ac:dyDescent="0.2">
      <c r="A65" s="732"/>
      <c r="C65" s="733"/>
      <c r="D65" s="733"/>
      <c r="E65" s="733"/>
    </row>
  </sheetData>
  <mergeCells count="16">
    <mergeCell ref="H1:M1"/>
    <mergeCell ref="E13:F13"/>
    <mergeCell ref="A6:M6"/>
    <mergeCell ref="A7:M7"/>
    <mergeCell ref="A9:A11"/>
    <mergeCell ref="B9:B11"/>
    <mergeCell ref="C9:J9"/>
    <mergeCell ref="K9:M9"/>
    <mergeCell ref="C10:C11"/>
    <mergeCell ref="D10:D11"/>
    <mergeCell ref="E10:F10"/>
    <mergeCell ref="G10:H10"/>
    <mergeCell ref="I10:J10"/>
    <mergeCell ref="K10:K11"/>
    <mergeCell ref="L10:L11"/>
    <mergeCell ref="M10:M11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FF99"/>
  </sheetPr>
  <dimension ref="A1:H34"/>
  <sheetViews>
    <sheetView zoomScaleNormal="100" workbookViewId="0">
      <selection activeCell="B2" sqref="B2"/>
    </sheetView>
  </sheetViews>
  <sheetFormatPr defaultRowHeight="12" x14ac:dyDescent="0.2"/>
  <cols>
    <col min="1" max="1" width="4.5703125" style="95" customWidth="1"/>
    <col min="2" max="2" width="63.140625" style="95" customWidth="1"/>
    <col min="3" max="3" width="9.140625" style="95" hidden="1" customWidth="1"/>
    <col min="4" max="4" width="9" style="95" hidden="1" customWidth="1"/>
    <col min="5" max="5" width="10.28515625" style="95" hidden="1" customWidth="1"/>
    <col min="6" max="6" width="10.5703125" style="95" customWidth="1"/>
    <col min="7" max="7" width="9" style="95" customWidth="1"/>
    <col min="8" max="253" width="9.140625" style="95"/>
    <col min="254" max="254" width="6.140625" style="95" customWidth="1"/>
    <col min="255" max="255" width="39.7109375" style="95" customWidth="1"/>
    <col min="256" max="256" width="9.140625" style="95" customWidth="1"/>
    <col min="257" max="257" width="9" style="95" customWidth="1"/>
    <col min="258" max="258" width="10.28515625" style="95" customWidth="1"/>
    <col min="259" max="259" width="10.5703125" style="95" customWidth="1"/>
    <col min="260" max="260" width="9.7109375" style="95" customWidth="1"/>
    <col min="261" max="261" width="47.85546875" style="95" customWidth="1"/>
    <col min="262" max="509" width="9.140625" style="95"/>
    <col min="510" max="510" width="6.140625" style="95" customWidth="1"/>
    <col min="511" max="511" width="39.7109375" style="95" customWidth="1"/>
    <col min="512" max="512" width="9.140625" style="95" customWidth="1"/>
    <col min="513" max="513" width="9" style="95" customWidth="1"/>
    <col min="514" max="514" width="10.28515625" style="95" customWidth="1"/>
    <col min="515" max="515" width="10.5703125" style="95" customWidth="1"/>
    <col min="516" max="516" width="9.7109375" style="95" customWidth="1"/>
    <col min="517" max="517" width="47.85546875" style="95" customWidth="1"/>
    <col min="518" max="765" width="9.140625" style="95"/>
    <col min="766" max="766" width="6.140625" style="95" customWidth="1"/>
    <col min="767" max="767" width="39.7109375" style="95" customWidth="1"/>
    <col min="768" max="768" width="9.140625" style="95" customWidth="1"/>
    <col min="769" max="769" width="9" style="95" customWidth="1"/>
    <col min="770" max="770" width="10.28515625" style="95" customWidth="1"/>
    <col min="771" max="771" width="10.5703125" style="95" customWidth="1"/>
    <col min="772" max="772" width="9.7109375" style="95" customWidth="1"/>
    <col min="773" max="773" width="47.85546875" style="95" customWidth="1"/>
    <col min="774" max="1021" width="9.140625" style="95"/>
    <col min="1022" max="1022" width="6.140625" style="95" customWidth="1"/>
    <col min="1023" max="1023" width="39.7109375" style="95" customWidth="1"/>
    <col min="1024" max="1024" width="9.140625" style="95" customWidth="1"/>
    <col min="1025" max="1025" width="9" style="95" customWidth="1"/>
    <col min="1026" max="1026" width="10.28515625" style="95" customWidth="1"/>
    <col min="1027" max="1027" width="10.5703125" style="95" customWidth="1"/>
    <col min="1028" max="1028" width="9.7109375" style="95" customWidth="1"/>
    <col min="1029" max="1029" width="47.85546875" style="95" customWidth="1"/>
    <col min="1030" max="1277" width="9.140625" style="95"/>
    <col min="1278" max="1278" width="6.140625" style="95" customWidth="1"/>
    <col min="1279" max="1279" width="39.7109375" style="95" customWidth="1"/>
    <col min="1280" max="1280" width="9.140625" style="95" customWidth="1"/>
    <col min="1281" max="1281" width="9" style="95" customWidth="1"/>
    <col min="1282" max="1282" width="10.28515625" style="95" customWidth="1"/>
    <col min="1283" max="1283" width="10.5703125" style="95" customWidth="1"/>
    <col min="1284" max="1284" width="9.7109375" style="95" customWidth="1"/>
    <col min="1285" max="1285" width="47.85546875" style="95" customWidth="1"/>
    <col min="1286" max="1533" width="9.140625" style="95"/>
    <col min="1534" max="1534" width="6.140625" style="95" customWidth="1"/>
    <col min="1535" max="1535" width="39.7109375" style="95" customWidth="1"/>
    <col min="1536" max="1536" width="9.140625" style="95" customWidth="1"/>
    <col min="1537" max="1537" width="9" style="95" customWidth="1"/>
    <col min="1538" max="1538" width="10.28515625" style="95" customWidth="1"/>
    <col min="1539" max="1539" width="10.5703125" style="95" customWidth="1"/>
    <col min="1540" max="1540" width="9.7109375" style="95" customWidth="1"/>
    <col min="1541" max="1541" width="47.85546875" style="95" customWidth="1"/>
    <col min="1542" max="1789" width="9.140625" style="95"/>
    <col min="1790" max="1790" width="6.140625" style="95" customWidth="1"/>
    <col min="1791" max="1791" width="39.7109375" style="95" customWidth="1"/>
    <col min="1792" max="1792" width="9.140625" style="95" customWidth="1"/>
    <col min="1793" max="1793" width="9" style="95" customWidth="1"/>
    <col min="1794" max="1794" width="10.28515625" style="95" customWidth="1"/>
    <col min="1795" max="1795" width="10.5703125" style="95" customWidth="1"/>
    <col min="1796" max="1796" width="9.7109375" style="95" customWidth="1"/>
    <col min="1797" max="1797" width="47.85546875" style="95" customWidth="1"/>
    <col min="1798" max="2045" width="9.140625" style="95"/>
    <col min="2046" max="2046" width="6.140625" style="95" customWidth="1"/>
    <col min="2047" max="2047" width="39.7109375" style="95" customWidth="1"/>
    <col min="2048" max="2048" width="9.140625" style="95" customWidth="1"/>
    <col min="2049" max="2049" width="9" style="95" customWidth="1"/>
    <col min="2050" max="2050" width="10.28515625" style="95" customWidth="1"/>
    <col min="2051" max="2051" width="10.5703125" style="95" customWidth="1"/>
    <col min="2052" max="2052" width="9.7109375" style="95" customWidth="1"/>
    <col min="2053" max="2053" width="47.85546875" style="95" customWidth="1"/>
    <col min="2054" max="2301" width="9.140625" style="95"/>
    <col min="2302" max="2302" width="6.140625" style="95" customWidth="1"/>
    <col min="2303" max="2303" width="39.7109375" style="95" customWidth="1"/>
    <col min="2304" max="2304" width="9.140625" style="95" customWidth="1"/>
    <col min="2305" max="2305" width="9" style="95" customWidth="1"/>
    <col min="2306" max="2306" width="10.28515625" style="95" customWidth="1"/>
    <col min="2307" max="2307" width="10.5703125" style="95" customWidth="1"/>
    <col min="2308" max="2308" width="9.7109375" style="95" customWidth="1"/>
    <col min="2309" max="2309" width="47.85546875" style="95" customWidth="1"/>
    <col min="2310" max="2557" width="9.140625" style="95"/>
    <col min="2558" max="2558" width="6.140625" style="95" customWidth="1"/>
    <col min="2559" max="2559" width="39.7109375" style="95" customWidth="1"/>
    <col min="2560" max="2560" width="9.140625" style="95" customWidth="1"/>
    <col min="2561" max="2561" width="9" style="95" customWidth="1"/>
    <col min="2562" max="2562" width="10.28515625" style="95" customWidth="1"/>
    <col min="2563" max="2563" width="10.5703125" style="95" customWidth="1"/>
    <col min="2564" max="2564" width="9.7109375" style="95" customWidth="1"/>
    <col min="2565" max="2565" width="47.85546875" style="95" customWidth="1"/>
    <col min="2566" max="2813" width="9.140625" style="95"/>
    <col min="2814" max="2814" width="6.140625" style="95" customWidth="1"/>
    <col min="2815" max="2815" width="39.7109375" style="95" customWidth="1"/>
    <col min="2816" max="2816" width="9.140625" style="95" customWidth="1"/>
    <col min="2817" max="2817" width="9" style="95" customWidth="1"/>
    <col min="2818" max="2818" width="10.28515625" style="95" customWidth="1"/>
    <col min="2819" max="2819" width="10.5703125" style="95" customWidth="1"/>
    <col min="2820" max="2820" width="9.7109375" style="95" customWidth="1"/>
    <col min="2821" max="2821" width="47.85546875" style="95" customWidth="1"/>
    <col min="2822" max="3069" width="9.140625" style="95"/>
    <col min="3070" max="3070" width="6.140625" style="95" customWidth="1"/>
    <col min="3071" max="3071" width="39.7109375" style="95" customWidth="1"/>
    <col min="3072" max="3072" width="9.140625" style="95" customWidth="1"/>
    <col min="3073" max="3073" width="9" style="95" customWidth="1"/>
    <col min="3074" max="3074" width="10.28515625" style="95" customWidth="1"/>
    <col min="3075" max="3075" width="10.5703125" style="95" customWidth="1"/>
    <col min="3076" max="3076" width="9.7109375" style="95" customWidth="1"/>
    <col min="3077" max="3077" width="47.85546875" style="95" customWidth="1"/>
    <col min="3078" max="3325" width="9.140625" style="95"/>
    <col min="3326" max="3326" width="6.140625" style="95" customWidth="1"/>
    <col min="3327" max="3327" width="39.7109375" style="95" customWidth="1"/>
    <col min="3328" max="3328" width="9.140625" style="95" customWidth="1"/>
    <col min="3329" max="3329" width="9" style="95" customWidth="1"/>
    <col min="3330" max="3330" width="10.28515625" style="95" customWidth="1"/>
    <col min="3331" max="3331" width="10.5703125" style="95" customWidth="1"/>
    <col min="3332" max="3332" width="9.7109375" style="95" customWidth="1"/>
    <col min="3333" max="3333" width="47.85546875" style="95" customWidth="1"/>
    <col min="3334" max="3581" width="9.140625" style="95"/>
    <col min="3582" max="3582" width="6.140625" style="95" customWidth="1"/>
    <col min="3583" max="3583" width="39.7109375" style="95" customWidth="1"/>
    <col min="3584" max="3584" width="9.140625" style="95" customWidth="1"/>
    <col min="3585" max="3585" width="9" style="95" customWidth="1"/>
    <col min="3586" max="3586" width="10.28515625" style="95" customWidth="1"/>
    <col min="3587" max="3587" width="10.5703125" style="95" customWidth="1"/>
    <col min="3588" max="3588" width="9.7109375" style="95" customWidth="1"/>
    <col min="3589" max="3589" width="47.85546875" style="95" customWidth="1"/>
    <col min="3590" max="3837" width="9.140625" style="95"/>
    <col min="3838" max="3838" width="6.140625" style="95" customWidth="1"/>
    <col min="3839" max="3839" width="39.7109375" style="95" customWidth="1"/>
    <col min="3840" max="3840" width="9.140625" style="95" customWidth="1"/>
    <col min="3841" max="3841" width="9" style="95" customWidth="1"/>
    <col min="3842" max="3842" width="10.28515625" style="95" customWidth="1"/>
    <col min="3843" max="3843" width="10.5703125" style="95" customWidth="1"/>
    <col min="3844" max="3844" width="9.7109375" style="95" customWidth="1"/>
    <col min="3845" max="3845" width="47.85546875" style="95" customWidth="1"/>
    <col min="3846" max="4093" width="9.140625" style="95"/>
    <col min="4094" max="4094" width="6.140625" style="95" customWidth="1"/>
    <col min="4095" max="4095" width="39.7109375" style="95" customWidth="1"/>
    <col min="4096" max="4096" width="9.140625" style="95" customWidth="1"/>
    <col min="4097" max="4097" width="9" style="95" customWidth="1"/>
    <col min="4098" max="4098" width="10.28515625" style="95" customWidth="1"/>
    <col min="4099" max="4099" width="10.5703125" style="95" customWidth="1"/>
    <col min="4100" max="4100" width="9.7109375" style="95" customWidth="1"/>
    <col min="4101" max="4101" width="47.85546875" style="95" customWidth="1"/>
    <col min="4102" max="4349" width="9.140625" style="95"/>
    <col min="4350" max="4350" width="6.140625" style="95" customWidth="1"/>
    <col min="4351" max="4351" width="39.7109375" style="95" customWidth="1"/>
    <col min="4352" max="4352" width="9.140625" style="95" customWidth="1"/>
    <col min="4353" max="4353" width="9" style="95" customWidth="1"/>
    <col min="4354" max="4354" width="10.28515625" style="95" customWidth="1"/>
    <col min="4355" max="4355" width="10.5703125" style="95" customWidth="1"/>
    <col min="4356" max="4356" width="9.7109375" style="95" customWidth="1"/>
    <col min="4357" max="4357" width="47.85546875" style="95" customWidth="1"/>
    <col min="4358" max="4605" width="9.140625" style="95"/>
    <col min="4606" max="4606" width="6.140625" style="95" customWidth="1"/>
    <col min="4607" max="4607" width="39.7109375" style="95" customWidth="1"/>
    <col min="4608" max="4608" width="9.140625" style="95" customWidth="1"/>
    <col min="4609" max="4609" width="9" style="95" customWidth="1"/>
    <col min="4610" max="4610" width="10.28515625" style="95" customWidth="1"/>
    <col min="4611" max="4611" width="10.5703125" style="95" customWidth="1"/>
    <col min="4612" max="4612" width="9.7109375" style="95" customWidth="1"/>
    <col min="4613" max="4613" width="47.85546875" style="95" customWidth="1"/>
    <col min="4614" max="4861" width="9.140625" style="95"/>
    <col min="4862" max="4862" width="6.140625" style="95" customWidth="1"/>
    <col min="4863" max="4863" width="39.7109375" style="95" customWidth="1"/>
    <col min="4864" max="4864" width="9.140625" style="95" customWidth="1"/>
    <col min="4865" max="4865" width="9" style="95" customWidth="1"/>
    <col min="4866" max="4866" width="10.28515625" style="95" customWidth="1"/>
    <col min="4867" max="4867" width="10.5703125" style="95" customWidth="1"/>
    <col min="4868" max="4868" width="9.7109375" style="95" customWidth="1"/>
    <col min="4869" max="4869" width="47.85546875" style="95" customWidth="1"/>
    <col min="4870" max="5117" width="9.140625" style="95"/>
    <col min="5118" max="5118" width="6.140625" style="95" customWidth="1"/>
    <col min="5119" max="5119" width="39.7109375" style="95" customWidth="1"/>
    <col min="5120" max="5120" width="9.140625" style="95" customWidth="1"/>
    <col min="5121" max="5121" width="9" style="95" customWidth="1"/>
    <col min="5122" max="5122" width="10.28515625" style="95" customWidth="1"/>
    <col min="5123" max="5123" width="10.5703125" style="95" customWidth="1"/>
    <col min="5124" max="5124" width="9.7109375" style="95" customWidth="1"/>
    <col min="5125" max="5125" width="47.85546875" style="95" customWidth="1"/>
    <col min="5126" max="5373" width="9.140625" style="95"/>
    <col min="5374" max="5374" width="6.140625" style="95" customWidth="1"/>
    <col min="5375" max="5375" width="39.7109375" style="95" customWidth="1"/>
    <col min="5376" max="5376" width="9.140625" style="95" customWidth="1"/>
    <col min="5377" max="5377" width="9" style="95" customWidth="1"/>
    <col min="5378" max="5378" width="10.28515625" style="95" customWidth="1"/>
    <col min="5379" max="5379" width="10.5703125" style="95" customWidth="1"/>
    <col min="5380" max="5380" width="9.7109375" style="95" customWidth="1"/>
    <col min="5381" max="5381" width="47.85546875" style="95" customWidth="1"/>
    <col min="5382" max="5629" width="9.140625" style="95"/>
    <col min="5630" max="5630" width="6.140625" style="95" customWidth="1"/>
    <col min="5631" max="5631" width="39.7109375" style="95" customWidth="1"/>
    <col min="5632" max="5632" width="9.140625" style="95" customWidth="1"/>
    <col min="5633" max="5633" width="9" style="95" customWidth="1"/>
    <col min="5634" max="5634" width="10.28515625" style="95" customWidth="1"/>
    <col min="5635" max="5635" width="10.5703125" style="95" customWidth="1"/>
    <col min="5636" max="5636" width="9.7109375" style="95" customWidth="1"/>
    <col min="5637" max="5637" width="47.85546875" style="95" customWidth="1"/>
    <col min="5638" max="5885" width="9.140625" style="95"/>
    <col min="5886" max="5886" width="6.140625" style="95" customWidth="1"/>
    <col min="5887" max="5887" width="39.7109375" style="95" customWidth="1"/>
    <col min="5888" max="5888" width="9.140625" style="95" customWidth="1"/>
    <col min="5889" max="5889" width="9" style="95" customWidth="1"/>
    <col min="5890" max="5890" width="10.28515625" style="95" customWidth="1"/>
    <col min="5891" max="5891" width="10.5703125" style="95" customWidth="1"/>
    <col min="5892" max="5892" width="9.7109375" style="95" customWidth="1"/>
    <col min="5893" max="5893" width="47.85546875" style="95" customWidth="1"/>
    <col min="5894" max="6141" width="9.140625" style="95"/>
    <col min="6142" max="6142" width="6.140625" style="95" customWidth="1"/>
    <col min="6143" max="6143" width="39.7109375" style="95" customWidth="1"/>
    <col min="6144" max="6144" width="9.140625" style="95" customWidth="1"/>
    <col min="6145" max="6145" width="9" style="95" customWidth="1"/>
    <col min="6146" max="6146" width="10.28515625" style="95" customWidth="1"/>
    <col min="6147" max="6147" width="10.5703125" style="95" customWidth="1"/>
    <col min="6148" max="6148" width="9.7109375" style="95" customWidth="1"/>
    <col min="6149" max="6149" width="47.85546875" style="95" customWidth="1"/>
    <col min="6150" max="6397" width="9.140625" style="95"/>
    <col min="6398" max="6398" width="6.140625" style="95" customWidth="1"/>
    <col min="6399" max="6399" width="39.7109375" style="95" customWidth="1"/>
    <col min="6400" max="6400" width="9.140625" style="95" customWidth="1"/>
    <col min="6401" max="6401" width="9" style="95" customWidth="1"/>
    <col min="6402" max="6402" width="10.28515625" style="95" customWidth="1"/>
    <col min="6403" max="6403" width="10.5703125" style="95" customWidth="1"/>
    <col min="6404" max="6404" width="9.7109375" style="95" customWidth="1"/>
    <col min="6405" max="6405" width="47.85546875" style="95" customWidth="1"/>
    <col min="6406" max="6653" width="9.140625" style="95"/>
    <col min="6654" max="6654" width="6.140625" style="95" customWidth="1"/>
    <col min="6655" max="6655" width="39.7109375" style="95" customWidth="1"/>
    <col min="6656" max="6656" width="9.140625" style="95" customWidth="1"/>
    <col min="6657" max="6657" width="9" style="95" customWidth="1"/>
    <col min="6658" max="6658" width="10.28515625" style="95" customWidth="1"/>
    <col min="6659" max="6659" width="10.5703125" style="95" customWidth="1"/>
    <col min="6660" max="6660" width="9.7109375" style="95" customWidth="1"/>
    <col min="6661" max="6661" width="47.85546875" style="95" customWidth="1"/>
    <col min="6662" max="6909" width="9.140625" style="95"/>
    <col min="6910" max="6910" width="6.140625" style="95" customWidth="1"/>
    <col min="6911" max="6911" width="39.7109375" style="95" customWidth="1"/>
    <col min="6912" max="6912" width="9.140625" style="95" customWidth="1"/>
    <col min="6913" max="6913" width="9" style="95" customWidth="1"/>
    <col min="6914" max="6914" width="10.28515625" style="95" customWidth="1"/>
    <col min="6915" max="6915" width="10.5703125" style="95" customWidth="1"/>
    <col min="6916" max="6916" width="9.7109375" style="95" customWidth="1"/>
    <col min="6917" max="6917" width="47.85546875" style="95" customWidth="1"/>
    <col min="6918" max="7165" width="9.140625" style="95"/>
    <col min="7166" max="7166" width="6.140625" style="95" customWidth="1"/>
    <col min="7167" max="7167" width="39.7109375" style="95" customWidth="1"/>
    <col min="7168" max="7168" width="9.140625" style="95" customWidth="1"/>
    <col min="7169" max="7169" width="9" style="95" customWidth="1"/>
    <col min="7170" max="7170" width="10.28515625" style="95" customWidth="1"/>
    <col min="7171" max="7171" width="10.5703125" style="95" customWidth="1"/>
    <col min="7172" max="7172" width="9.7109375" style="95" customWidth="1"/>
    <col min="7173" max="7173" width="47.85546875" style="95" customWidth="1"/>
    <col min="7174" max="7421" width="9.140625" style="95"/>
    <col min="7422" max="7422" width="6.140625" style="95" customWidth="1"/>
    <col min="7423" max="7423" width="39.7109375" style="95" customWidth="1"/>
    <col min="7424" max="7424" width="9.140625" style="95" customWidth="1"/>
    <col min="7425" max="7425" width="9" style="95" customWidth="1"/>
    <col min="7426" max="7426" width="10.28515625" style="95" customWidth="1"/>
    <col min="7427" max="7427" width="10.5703125" style="95" customWidth="1"/>
    <col min="7428" max="7428" width="9.7109375" style="95" customWidth="1"/>
    <col min="7429" max="7429" width="47.85546875" style="95" customWidth="1"/>
    <col min="7430" max="7677" width="9.140625" style="95"/>
    <col min="7678" max="7678" width="6.140625" style="95" customWidth="1"/>
    <col min="7679" max="7679" width="39.7109375" style="95" customWidth="1"/>
    <col min="7680" max="7680" width="9.140625" style="95" customWidth="1"/>
    <col min="7681" max="7681" width="9" style="95" customWidth="1"/>
    <col min="7682" max="7682" width="10.28515625" style="95" customWidth="1"/>
    <col min="7683" max="7683" width="10.5703125" style="95" customWidth="1"/>
    <col min="7684" max="7684" width="9.7109375" style="95" customWidth="1"/>
    <col min="7685" max="7685" width="47.85546875" style="95" customWidth="1"/>
    <col min="7686" max="7933" width="9.140625" style="95"/>
    <col min="7934" max="7934" width="6.140625" style="95" customWidth="1"/>
    <col min="7935" max="7935" width="39.7109375" style="95" customWidth="1"/>
    <col min="7936" max="7936" width="9.140625" style="95" customWidth="1"/>
    <col min="7937" max="7937" width="9" style="95" customWidth="1"/>
    <col min="7938" max="7938" width="10.28515625" style="95" customWidth="1"/>
    <col min="7939" max="7939" width="10.5703125" style="95" customWidth="1"/>
    <col min="7940" max="7940" width="9.7109375" style="95" customWidth="1"/>
    <col min="7941" max="7941" width="47.85546875" style="95" customWidth="1"/>
    <col min="7942" max="8189" width="9.140625" style="95"/>
    <col min="8190" max="8190" width="6.140625" style="95" customWidth="1"/>
    <col min="8191" max="8191" width="39.7109375" style="95" customWidth="1"/>
    <col min="8192" max="8192" width="9.140625" style="95" customWidth="1"/>
    <col min="8193" max="8193" width="9" style="95" customWidth="1"/>
    <col min="8194" max="8194" width="10.28515625" style="95" customWidth="1"/>
    <col min="8195" max="8195" width="10.5703125" style="95" customWidth="1"/>
    <col min="8196" max="8196" width="9.7109375" style="95" customWidth="1"/>
    <col min="8197" max="8197" width="47.85546875" style="95" customWidth="1"/>
    <col min="8198" max="8445" width="9.140625" style="95"/>
    <col min="8446" max="8446" width="6.140625" style="95" customWidth="1"/>
    <col min="8447" max="8447" width="39.7109375" style="95" customWidth="1"/>
    <col min="8448" max="8448" width="9.140625" style="95" customWidth="1"/>
    <col min="8449" max="8449" width="9" style="95" customWidth="1"/>
    <col min="8450" max="8450" width="10.28515625" style="95" customWidth="1"/>
    <col min="8451" max="8451" width="10.5703125" style="95" customWidth="1"/>
    <col min="8452" max="8452" width="9.7109375" style="95" customWidth="1"/>
    <col min="8453" max="8453" width="47.85546875" style="95" customWidth="1"/>
    <col min="8454" max="8701" width="9.140625" style="95"/>
    <col min="8702" max="8702" width="6.140625" style="95" customWidth="1"/>
    <col min="8703" max="8703" width="39.7109375" style="95" customWidth="1"/>
    <col min="8704" max="8704" width="9.140625" style="95" customWidth="1"/>
    <col min="8705" max="8705" width="9" style="95" customWidth="1"/>
    <col min="8706" max="8706" width="10.28515625" style="95" customWidth="1"/>
    <col min="8707" max="8707" width="10.5703125" style="95" customWidth="1"/>
    <col min="8708" max="8708" width="9.7109375" style="95" customWidth="1"/>
    <col min="8709" max="8709" width="47.85546875" style="95" customWidth="1"/>
    <col min="8710" max="8957" width="9.140625" style="95"/>
    <col min="8958" max="8958" width="6.140625" style="95" customWidth="1"/>
    <col min="8959" max="8959" width="39.7109375" style="95" customWidth="1"/>
    <col min="8960" max="8960" width="9.140625" style="95" customWidth="1"/>
    <col min="8961" max="8961" width="9" style="95" customWidth="1"/>
    <col min="8962" max="8962" width="10.28515625" style="95" customWidth="1"/>
    <col min="8963" max="8963" width="10.5703125" style="95" customWidth="1"/>
    <col min="8964" max="8964" width="9.7109375" style="95" customWidth="1"/>
    <col min="8965" max="8965" width="47.85546875" style="95" customWidth="1"/>
    <col min="8966" max="9213" width="9.140625" style="95"/>
    <col min="9214" max="9214" width="6.140625" style="95" customWidth="1"/>
    <col min="9215" max="9215" width="39.7109375" style="95" customWidth="1"/>
    <col min="9216" max="9216" width="9.140625" style="95" customWidth="1"/>
    <col min="9217" max="9217" width="9" style="95" customWidth="1"/>
    <col min="9218" max="9218" width="10.28515625" style="95" customWidth="1"/>
    <col min="9219" max="9219" width="10.5703125" style="95" customWidth="1"/>
    <col min="9220" max="9220" width="9.7109375" style="95" customWidth="1"/>
    <col min="9221" max="9221" width="47.85546875" style="95" customWidth="1"/>
    <col min="9222" max="9469" width="9.140625" style="95"/>
    <col min="9470" max="9470" width="6.140625" style="95" customWidth="1"/>
    <col min="9471" max="9471" width="39.7109375" style="95" customWidth="1"/>
    <col min="9472" max="9472" width="9.140625" style="95" customWidth="1"/>
    <col min="9473" max="9473" width="9" style="95" customWidth="1"/>
    <col min="9474" max="9474" width="10.28515625" style="95" customWidth="1"/>
    <col min="9475" max="9475" width="10.5703125" style="95" customWidth="1"/>
    <col min="9476" max="9476" width="9.7109375" style="95" customWidth="1"/>
    <col min="9477" max="9477" width="47.85546875" style="95" customWidth="1"/>
    <col min="9478" max="9725" width="9.140625" style="95"/>
    <col min="9726" max="9726" width="6.140625" style="95" customWidth="1"/>
    <col min="9727" max="9727" width="39.7109375" style="95" customWidth="1"/>
    <col min="9728" max="9728" width="9.140625" style="95" customWidth="1"/>
    <col min="9729" max="9729" width="9" style="95" customWidth="1"/>
    <col min="9730" max="9730" width="10.28515625" style="95" customWidth="1"/>
    <col min="9731" max="9731" width="10.5703125" style="95" customWidth="1"/>
    <col min="9732" max="9732" width="9.7109375" style="95" customWidth="1"/>
    <col min="9733" max="9733" width="47.85546875" style="95" customWidth="1"/>
    <col min="9734" max="9981" width="9.140625" style="95"/>
    <col min="9982" max="9982" width="6.140625" style="95" customWidth="1"/>
    <col min="9983" max="9983" width="39.7109375" style="95" customWidth="1"/>
    <col min="9984" max="9984" width="9.140625" style="95" customWidth="1"/>
    <col min="9985" max="9985" width="9" style="95" customWidth="1"/>
    <col min="9986" max="9986" width="10.28515625" style="95" customWidth="1"/>
    <col min="9987" max="9987" width="10.5703125" style="95" customWidth="1"/>
    <col min="9988" max="9988" width="9.7109375" style="95" customWidth="1"/>
    <col min="9989" max="9989" width="47.85546875" style="95" customWidth="1"/>
    <col min="9990" max="10237" width="9.140625" style="95"/>
    <col min="10238" max="10238" width="6.140625" style="95" customWidth="1"/>
    <col min="10239" max="10239" width="39.7109375" style="95" customWidth="1"/>
    <col min="10240" max="10240" width="9.140625" style="95" customWidth="1"/>
    <col min="10241" max="10241" width="9" style="95" customWidth="1"/>
    <col min="10242" max="10242" width="10.28515625" style="95" customWidth="1"/>
    <col min="10243" max="10243" width="10.5703125" style="95" customWidth="1"/>
    <col min="10244" max="10244" width="9.7109375" style="95" customWidth="1"/>
    <col min="10245" max="10245" width="47.85546875" style="95" customWidth="1"/>
    <col min="10246" max="10493" width="9.140625" style="95"/>
    <col min="10494" max="10494" width="6.140625" style="95" customWidth="1"/>
    <col min="10495" max="10495" width="39.7109375" style="95" customWidth="1"/>
    <col min="10496" max="10496" width="9.140625" style="95" customWidth="1"/>
    <col min="10497" max="10497" width="9" style="95" customWidth="1"/>
    <col min="10498" max="10498" width="10.28515625" style="95" customWidth="1"/>
    <col min="10499" max="10499" width="10.5703125" style="95" customWidth="1"/>
    <col min="10500" max="10500" width="9.7109375" style="95" customWidth="1"/>
    <col min="10501" max="10501" width="47.85546875" style="95" customWidth="1"/>
    <col min="10502" max="10749" width="9.140625" style="95"/>
    <col min="10750" max="10750" width="6.140625" style="95" customWidth="1"/>
    <col min="10751" max="10751" width="39.7109375" style="95" customWidth="1"/>
    <col min="10752" max="10752" width="9.140625" style="95" customWidth="1"/>
    <col min="10753" max="10753" width="9" style="95" customWidth="1"/>
    <col min="10754" max="10754" width="10.28515625" style="95" customWidth="1"/>
    <col min="10755" max="10755" width="10.5703125" style="95" customWidth="1"/>
    <col min="10756" max="10756" width="9.7109375" style="95" customWidth="1"/>
    <col min="10757" max="10757" width="47.85546875" style="95" customWidth="1"/>
    <col min="10758" max="11005" width="9.140625" style="95"/>
    <col min="11006" max="11006" width="6.140625" style="95" customWidth="1"/>
    <col min="11007" max="11007" width="39.7109375" style="95" customWidth="1"/>
    <col min="11008" max="11008" width="9.140625" style="95" customWidth="1"/>
    <col min="11009" max="11009" width="9" style="95" customWidth="1"/>
    <col min="11010" max="11010" width="10.28515625" style="95" customWidth="1"/>
    <col min="11011" max="11011" width="10.5703125" style="95" customWidth="1"/>
    <col min="11012" max="11012" width="9.7109375" style="95" customWidth="1"/>
    <col min="11013" max="11013" width="47.85546875" style="95" customWidth="1"/>
    <col min="11014" max="11261" width="9.140625" style="95"/>
    <col min="11262" max="11262" width="6.140625" style="95" customWidth="1"/>
    <col min="11263" max="11263" width="39.7109375" style="95" customWidth="1"/>
    <col min="11264" max="11264" width="9.140625" style="95" customWidth="1"/>
    <col min="11265" max="11265" width="9" style="95" customWidth="1"/>
    <col min="11266" max="11266" width="10.28515625" style="95" customWidth="1"/>
    <col min="11267" max="11267" width="10.5703125" style="95" customWidth="1"/>
    <col min="11268" max="11268" width="9.7109375" style="95" customWidth="1"/>
    <col min="11269" max="11269" width="47.85546875" style="95" customWidth="1"/>
    <col min="11270" max="11517" width="9.140625" style="95"/>
    <col min="11518" max="11518" width="6.140625" style="95" customWidth="1"/>
    <col min="11519" max="11519" width="39.7109375" style="95" customWidth="1"/>
    <col min="11520" max="11520" width="9.140625" style="95" customWidth="1"/>
    <col min="11521" max="11521" width="9" style="95" customWidth="1"/>
    <col min="11522" max="11522" width="10.28515625" style="95" customWidth="1"/>
    <col min="11523" max="11523" width="10.5703125" style="95" customWidth="1"/>
    <col min="11524" max="11524" width="9.7109375" style="95" customWidth="1"/>
    <col min="11525" max="11525" width="47.85546875" style="95" customWidth="1"/>
    <col min="11526" max="11773" width="9.140625" style="95"/>
    <col min="11774" max="11774" width="6.140625" style="95" customWidth="1"/>
    <col min="11775" max="11775" width="39.7109375" style="95" customWidth="1"/>
    <col min="11776" max="11776" width="9.140625" style="95" customWidth="1"/>
    <col min="11777" max="11777" width="9" style="95" customWidth="1"/>
    <col min="11778" max="11778" width="10.28515625" style="95" customWidth="1"/>
    <col min="11779" max="11779" width="10.5703125" style="95" customWidth="1"/>
    <col min="11780" max="11780" width="9.7109375" style="95" customWidth="1"/>
    <col min="11781" max="11781" width="47.85546875" style="95" customWidth="1"/>
    <col min="11782" max="12029" width="9.140625" style="95"/>
    <col min="12030" max="12030" width="6.140625" style="95" customWidth="1"/>
    <col min="12031" max="12031" width="39.7109375" style="95" customWidth="1"/>
    <col min="12032" max="12032" width="9.140625" style="95" customWidth="1"/>
    <col min="12033" max="12033" width="9" style="95" customWidth="1"/>
    <col min="12034" max="12034" width="10.28515625" style="95" customWidth="1"/>
    <col min="12035" max="12035" width="10.5703125" style="95" customWidth="1"/>
    <col min="12036" max="12036" width="9.7109375" style="95" customWidth="1"/>
    <col min="12037" max="12037" width="47.85546875" style="95" customWidth="1"/>
    <col min="12038" max="12285" width="9.140625" style="95"/>
    <col min="12286" max="12286" width="6.140625" style="95" customWidth="1"/>
    <col min="12287" max="12287" width="39.7109375" style="95" customWidth="1"/>
    <col min="12288" max="12288" width="9.140625" style="95" customWidth="1"/>
    <col min="12289" max="12289" width="9" style="95" customWidth="1"/>
    <col min="12290" max="12290" width="10.28515625" style="95" customWidth="1"/>
    <col min="12291" max="12291" width="10.5703125" style="95" customWidth="1"/>
    <col min="12292" max="12292" width="9.7109375" style="95" customWidth="1"/>
    <col min="12293" max="12293" width="47.85546875" style="95" customWidth="1"/>
    <col min="12294" max="12541" width="9.140625" style="95"/>
    <col min="12542" max="12542" width="6.140625" style="95" customWidth="1"/>
    <col min="12543" max="12543" width="39.7109375" style="95" customWidth="1"/>
    <col min="12544" max="12544" width="9.140625" style="95" customWidth="1"/>
    <col min="12545" max="12545" width="9" style="95" customWidth="1"/>
    <col min="12546" max="12546" width="10.28515625" style="95" customWidth="1"/>
    <col min="12547" max="12547" width="10.5703125" style="95" customWidth="1"/>
    <col min="12548" max="12548" width="9.7109375" style="95" customWidth="1"/>
    <col min="12549" max="12549" width="47.85546875" style="95" customWidth="1"/>
    <col min="12550" max="12797" width="9.140625" style="95"/>
    <col min="12798" max="12798" width="6.140625" style="95" customWidth="1"/>
    <col min="12799" max="12799" width="39.7109375" style="95" customWidth="1"/>
    <col min="12800" max="12800" width="9.140625" style="95" customWidth="1"/>
    <col min="12801" max="12801" width="9" style="95" customWidth="1"/>
    <col min="12802" max="12802" width="10.28515625" style="95" customWidth="1"/>
    <col min="12803" max="12803" width="10.5703125" style="95" customWidth="1"/>
    <col min="12804" max="12804" width="9.7109375" style="95" customWidth="1"/>
    <col min="12805" max="12805" width="47.85546875" style="95" customWidth="1"/>
    <col min="12806" max="13053" width="9.140625" style="95"/>
    <col min="13054" max="13054" width="6.140625" style="95" customWidth="1"/>
    <col min="13055" max="13055" width="39.7109375" style="95" customWidth="1"/>
    <col min="13056" max="13056" width="9.140625" style="95" customWidth="1"/>
    <col min="13057" max="13057" width="9" style="95" customWidth="1"/>
    <col min="13058" max="13058" width="10.28515625" style="95" customWidth="1"/>
    <col min="13059" max="13059" width="10.5703125" style="95" customWidth="1"/>
    <col min="13060" max="13060" width="9.7109375" style="95" customWidth="1"/>
    <col min="13061" max="13061" width="47.85546875" style="95" customWidth="1"/>
    <col min="13062" max="13309" width="9.140625" style="95"/>
    <col min="13310" max="13310" width="6.140625" style="95" customWidth="1"/>
    <col min="13311" max="13311" width="39.7109375" style="95" customWidth="1"/>
    <col min="13312" max="13312" width="9.140625" style="95" customWidth="1"/>
    <col min="13313" max="13313" width="9" style="95" customWidth="1"/>
    <col min="13314" max="13314" width="10.28515625" style="95" customWidth="1"/>
    <col min="13315" max="13315" width="10.5703125" style="95" customWidth="1"/>
    <col min="13316" max="13316" width="9.7109375" style="95" customWidth="1"/>
    <col min="13317" max="13317" width="47.85546875" style="95" customWidth="1"/>
    <col min="13318" max="13565" width="9.140625" style="95"/>
    <col min="13566" max="13566" width="6.140625" style="95" customWidth="1"/>
    <col min="13567" max="13567" width="39.7109375" style="95" customWidth="1"/>
    <col min="13568" max="13568" width="9.140625" style="95" customWidth="1"/>
    <col min="13569" max="13569" width="9" style="95" customWidth="1"/>
    <col min="13570" max="13570" width="10.28515625" style="95" customWidth="1"/>
    <col min="13571" max="13571" width="10.5703125" style="95" customWidth="1"/>
    <col min="13572" max="13572" width="9.7109375" style="95" customWidth="1"/>
    <col min="13573" max="13573" width="47.85546875" style="95" customWidth="1"/>
    <col min="13574" max="13821" width="9.140625" style="95"/>
    <col min="13822" max="13822" width="6.140625" style="95" customWidth="1"/>
    <col min="13823" max="13823" width="39.7109375" style="95" customWidth="1"/>
    <col min="13824" max="13824" width="9.140625" style="95" customWidth="1"/>
    <col min="13825" max="13825" width="9" style="95" customWidth="1"/>
    <col min="13826" max="13826" width="10.28515625" style="95" customWidth="1"/>
    <col min="13827" max="13827" width="10.5703125" style="95" customWidth="1"/>
    <col min="13828" max="13828" width="9.7109375" style="95" customWidth="1"/>
    <col min="13829" max="13829" width="47.85546875" style="95" customWidth="1"/>
    <col min="13830" max="14077" width="9.140625" style="95"/>
    <col min="14078" max="14078" width="6.140625" style="95" customWidth="1"/>
    <col min="14079" max="14079" width="39.7109375" style="95" customWidth="1"/>
    <col min="14080" max="14080" width="9.140625" style="95" customWidth="1"/>
    <col min="14081" max="14081" width="9" style="95" customWidth="1"/>
    <col min="14082" max="14082" width="10.28515625" style="95" customWidth="1"/>
    <col min="14083" max="14083" width="10.5703125" style="95" customWidth="1"/>
    <col min="14084" max="14084" width="9.7109375" style="95" customWidth="1"/>
    <col min="14085" max="14085" width="47.85546875" style="95" customWidth="1"/>
    <col min="14086" max="14333" width="9.140625" style="95"/>
    <col min="14334" max="14334" width="6.140625" style="95" customWidth="1"/>
    <col min="14335" max="14335" width="39.7109375" style="95" customWidth="1"/>
    <col min="14336" max="14336" width="9.140625" style="95" customWidth="1"/>
    <col min="14337" max="14337" width="9" style="95" customWidth="1"/>
    <col min="14338" max="14338" width="10.28515625" style="95" customWidth="1"/>
    <col min="14339" max="14339" width="10.5703125" style="95" customWidth="1"/>
    <col min="14340" max="14340" width="9.7109375" style="95" customWidth="1"/>
    <col min="14341" max="14341" width="47.85546875" style="95" customWidth="1"/>
    <col min="14342" max="14589" width="9.140625" style="95"/>
    <col min="14590" max="14590" width="6.140625" style="95" customWidth="1"/>
    <col min="14591" max="14591" width="39.7109375" style="95" customWidth="1"/>
    <col min="14592" max="14592" width="9.140625" style="95" customWidth="1"/>
    <col min="14593" max="14593" width="9" style="95" customWidth="1"/>
    <col min="14594" max="14594" width="10.28515625" style="95" customWidth="1"/>
    <col min="14595" max="14595" width="10.5703125" style="95" customWidth="1"/>
    <col min="14596" max="14596" width="9.7109375" style="95" customWidth="1"/>
    <col min="14597" max="14597" width="47.85546875" style="95" customWidth="1"/>
    <col min="14598" max="14845" width="9.140625" style="95"/>
    <col min="14846" max="14846" width="6.140625" style="95" customWidth="1"/>
    <col min="14847" max="14847" width="39.7109375" style="95" customWidth="1"/>
    <col min="14848" max="14848" width="9.140625" style="95" customWidth="1"/>
    <col min="14849" max="14849" width="9" style="95" customWidth="1"/>
    <col min="14850" max="14850" width="10.28515625" style="95" customWidth="1"/>
    <col min="14851" max="14851" width="10.5703125" style="95" customWidth="1"/>
    <col min="14852" max="14852" width="9.7109375" style="95" customWidth="1"/>
    <col min="14853" max="14853" width="47.85546875" style="95" customWidth="1"/>
    <col min="14854" max="15101" width="9.140625" style="95"/>
    <col min="15102" max="15102" width="6.140625" style="95" customWidth="1"/>
    <col min="15103" max="15103" width="39.7109375" style="95" customWidth="1"/>
    <col min="15104" max="15104" width="9.140625" style="95" customWidth="1"/>
    <col min="15105" max="15105" width="9" style="95" customWidth="1"/>
    <col min="15106" max="15106" width="10.28515625" style="95" customWidth="1"/>
    <col min="15107" max="15107" width="10.5703125" style="95" customWidth="1"/>
    <col min="15108" max="15108" width="9.7109375" style="95" customWidth="1"/>
    <col min="15109" max="15109" width="47.85546875" style="95" customWidth="1"/>
    <col min="15110" max="15357" width="9.140625" style="95"/>
    <col min="15358" max="15358" width="6.140625" style="95" customWidth="1"/>
    <col min="15359" max="15359" width="39.7109375" style="95" customWidth="1"/>
    <col min="15360" max="15360" width="9.140625" style="95" customWidth="1"/>
    <col min="15361" max="15361" width="9" style="95" customWidth="1"/>
    <col min="15362" max="15362" width="10.28515625" style="95" customWidth="1"/>
    <col min="15363" max="15363" width="10.5703125" style="95" customWidth="1"/>
    <col min="15364" max="15364" width="9.7109375" style="95" customWidth="1"/>
    <col min="15365" max="15365" width="47.85546875" style="95" customWidth="1"/>
    <col min="15366" max="15613" width="9.140625" style="95"/>
    <col min="15614" max="15614" width="6.140625" style="95" customWidth="1"/>
    <col min="15615" max="15615" width="39.7109375" style="95" customWidth="1"/>
    <col min="15616" max="15616" width="9.140625" style="95" customWidth="1"/>
    <col min="15617" max="15617" width="9" style="95" customWidth="1"/>
    <col min="15618" max="15618" width="10.28515625" style="95" customWidth="1"/>
    <col min="15619" max="15619" width="10.5703125" style="95" customWidth="1"/>
    <col min="15620" max="15620" width="9.7109375" style="95" customWidth="1"/>
    <col min="15621" max="15621" width="47.85546875" style="95" customWidth="1"/>
    <col min="15622" max="15869" width="9.140625" style="95"/>
    <col min="15870" max="15870" width="6.140625" style="95" customWidth="1"/>
    <col min="15871" max="15871" width="39.7109375" style="95" customWidth="1"/>
    <col min="15872" max="15872" width="9.140625" style="95" customWidth="1"/>
    <col min="15873" max="15873" width="9" style="95" customWidth="1"/>
    <col min="15874" max="15874" width="10.28515625" style="95" customWidth="1"/>
    <col min="15875" max="15875" width="10.5703125" style="95" customWidth="1"/>
    <col min="15876" max="15876" width="9.7109375" style="95" customWidth="1"/>
    <col min="15877" max="15877" width="47.85546875" style="95" customWidth="1"/>
    <col min="15878" max="16125" width="9.140625" style="95"/>
    <col min="16126" max="16126" width="6.140625" style="95" customWidth="1"/>
    <col min="16127" max="16127" width="39.7109375" style="95" customWidth="1"/>
    <col min="16128" max="16128" width="9.140625" style="95" customWidth="1"/>
    <col min="16129" max="16129" width="9" style="95" customWidth="1"/>
    <col min="16130" max="16130" width="10.28515625" style="95" customWidth="1"/>
    <col min="16131" max="16131" width="10.5703125" style="95" customWidth="1"/>
    <col min="16132" max="16132" width="9.7109375" style="95" customWidth="1"/>
    <col min="16133" max="16133" width="47.85546875" style="95" customWidth="1"/>
    <col min="16134" max="16384" width="9.140625" style="95"/>
  </cols>
  <sheetData>
    <row r="1" spans="1:7" ht="16.5" x14ac:dyDescent="0.25">
      <c r="B1" s="1034" t="s">
        <v>1202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x14ac:dyDescent="0.2">
      <c r="A6" s="95" t="s">
        <v>298</v>
      </c>
      <c r="B6" s="128"/>
      <c r="C6" s="1069"/>
      <c r="D6" s="1069"/>
      <c r="E6" s="1069"/>
      <c r="F6" s="1069"/>
      <c r="G6" s="1069"/>
    </row>
    <row r="7" spans="1:7" x14ac:dyDescent="0.2">
      <c r="B7" s="128"/>
      <c r="C7" s="308"/>
      <c r="D7" s="308"/>
      <c r="E7" s="308"/>
      <c r="F7" s="308"/>
      <c r="G7" s="308"/>
    </row>
    <row r="8" spans="1:7" ht="15.75" x14ac:dyDescent="0.25">
      <c r="A8" s="1070" t="s">
        <v>291</v>
      </c>
      <c r="B8" s="1070"/>
      <c r="C8" s="1070"/>
      <c r="D8" s="1070"/>
      <c r="E8" s="1070"/>
      <c r="F8" s="1070"/>
      <c r="G8" s="1070"/>
    </row>
    <row r="9" spans="1:7" ht="9.75" customHeight="1" x14ac:dyDescent="0.25">
      <c r="A9" s="300"/>
      <c r="B9" s="300"/>
      <c r="C9" s="300"/>
      <c r="D9" s="300"/>
      <c r="E9" s="300"/>
      <c r="F9" s="300"/>
      <c r="G9" s="300"/>
    </row>
    <row r="10" spans="1:7" ht="15.75" x14ac:dyDescent="0.25">
      <c r="A10" s="95" t="s">
        <v>1199</v>
      </c>
      <c r="C10" s="301"/>
      <c r="D10" s="128"/>
      <c r="E10" s="128"/>
      <c r="F10" s="128"/>
      <c r="G10" s="128"/>
    </row>
    <row r="11" spans="1:7" ht="15.75" x14ac:dyDescent="0.25">
      <c r="C11" s="301"/>
      <c r="D11" s="128"/>
      <c r="E11" s="128"/>
      <c r="F11" s="128"/>
      <c r="G11" s="128"/>
    </row>
    <row r="12" spans="1:7" x14ac:dyDescent="0.2">
      <c r="A12" s="95" t="s">
        <v>1200</v>
      </c>
      <c r="C12" s="212"/>
      <c r="D12" s="212"/>
      <c r="E12" s="212"/>
      <c r="F12" s="212"/>
      <c r="G12" s="212"/>
    </row>
    <row r="13" spans="1:7" x14ac:dyDescent="0.2">
      <c r="A13" s="95" t="s">
        <v>1201</v>
      </c>
      <c r="C13" s="302"/>
      <c r="D13" s="212"/>
      <c r="E13" s="212"/>
      <c r="F13" s="212"/>
      <c r="G13" s="212"/>
    </row>
    <row r="14" spans="1:7" x14ac:dyDescent="0.2">
      <c r="A14" s="1071" t="s">
        <v>1</v>
      </c>
      <c r="B14" s="1071" t="s">
        <v>2</v>
      </c>
      <c r="C14" s="1071" t="s">
        <v>26</v>
      </c>
      <c r="D14" s="1071" t="s">
        <v>27</v>
      </c>
      <c r="E14" s="1071" t="s">
        <v>299</v>
      </c>
      <c r="F14" s="1072" t="s">
        <v>6</v>
      </c>
      <c r="G14" s="1072" t="s">
        <v>1190</v>
      </c>
    </row>
    <row r="15" spans="1:7" x14ac:dyDescent="0.2">
      <c r="A15" s="1071"/>
      <c r="B15" s="1071"/>
      <c r="C15" s="1071"/>
      <c r="D15" s="1071"/>
      <c r="E15" s="1071"/>
      <c r="F15" s="1073"/>
      <c r="G15" s="1073"/>
    </row>
    <row r="16" spans="1:7" ht="12.75" customHeight="1" x14ac:dyDescent="0.2">
      <c r="A16" s="1071"/>
      <c r="B16" s="1071"/>
      <c r="C16" s="1071"/>
      <c r="D16" s="1071"/>
      <c r="E16" s="1071"/>
      <c r="F16" s="1074"/>
      <c r="G16" s="1074"/>
    </row>
    <row r="17" spans="1:8" x14ac:dyDescent="0.2">
      <c r="A17" s="1063" t="s">
        <v>300</v>
      </c>
      <c r="B17" s="1064"/>
      <c r="C17" s="303">
        <f>SUM(C18:C33)</f>
        <v>230242</v>
      </c>
      <c r="D17" s="303">
        <f>SUM(D18:D33)</f>
        <v>153085.96</v>
      </c>
      <c r="E17" s="303">
        <f>SUM(E18:E33)</f>
        <v>282583</v>
      </c>
      <c r="F17" s="303"/>
      <c r="G17" s="303">
        <f>SUM(G18:G33)</f>
        <v>262709</v>
      </c>
    </row>
    <row r="18" spans="1:8" x14ac:dyDescent="0.2">
      <c r="A18" s="142">
        <v>1</v>
      </c>
      <c r="B18" s="53" t="s">
        <v>616</v>
      </c>
      <c r="C18" s="85">
        <v>93910</v>
      </c>
      <c r="D18" s="85">
        <v>60000</v>
      </c>
      <c r="E18" s="85">
        <v>73000</v>
      </c>
      <c r="F18" s="252">
        <v>2239</v>
      </c>
      <c r="G18" s="92">
        <v>73000</v>
      </c>
    </row>
    <row r="19" spans="1:8" ht="24" x14ac:dyDescent="0.2">
      <c r="A19" s="142">
        <v>2</v>
      </c>
      <c r="B19" s="53" t="s">
        <v>617</v>
      </c>
      <c r="C19" s="85">
        <v>0</v>
      </c>
      <c r="D19" s="85">
        <v>0</v>
      </c>
      <c r="E19" s="85">
        <v>5000</v>
      </c>
      <c r="F19" s="252">
        <v>2279</v>
      </c>
      <c r="G19" s="92">
        <v>5000</v>
      </c>
    </row>
    <row r="20" spans="1:8" x14ac:dyDescent="0.2">
      <c r="A20" s="142">
        <v>3</v>
      </c>
      <c r="B20" s="53" t="s">
        <v>618</v>
      </c>
      <c r="C20" s="85">
        <v>34149</v>
      </c>
      <c r="D20" s="85">
        <v>30000</v>
      </c>
      <c r="E20" s="85">
        <v>32000</v>
      </c>
      <c r="F20" s="252">
        <v>2219</v>
      </c>
      <c r="G20" s="92">
        <v>32000</v>
      </c>
    </row>
    <row r="21" spans="1:8" x14ac:dyDescent="0.2">
      <c r="A21" s="142">
        <v>4</v>
      </c>
      <c r="B21" s="53" t="s">
        <v>619</v>
      </c>
      <c r="C21" s="85">
        <v>13084</v>
      </c>
      <c r="D21" s="85">
        <v>13082.96</v>
      </c>
      <c r="E21" s="85">
        <v>17174</v>
      </c>
      <c r="F21" s="252">
        <v>2212</v>
      </c>
      <c r="G21" s="92">
        <v>13100</v>
      </c>
    </row>
    <row r="22" spans="1:8" x14ac:dyDescent="0.2">
      <c r="A22" s="142">
        <v>5</v>
      </c>
      <c r="B22" s="53" t="s">
        <v>620</v>
      </c>
      <c r="C22" s="85">
        <v>7126</v>
      </c>
      <c r="D22" s="85">
        <v>2500</v>
      </c>
      <c r="E22" s="85">
        <v>3000</v>
      </c>
      <c r="F22" s="252">
        <v>2239</v>
      </c>
      <c r="G22" s="92">
        <v>3000</v>
      </c>
    </row>
    <row r="23" spans="1:8" x14ac:dyDescent="0.2">
      <c r="A23" s="142">
        <v>6</v>
      </c>
      <c r="B23" s="53" t="s">
        <v>621</v>
      </c>
      <c r="C23" s="85">
        <v>6403</v>
      </c>
      <c r="D23" s="85">
        <v>6403</v>
      </c>
      <c r="E23" s="85">
        <v>7000</v>
      </c>
      <c r="F23" s="252">
        <v>2239</v>
      </c>
      <c r="G23" s="92">
        <v>7000</v>
      </c>
    </row>
    <row r="24" spans="1:8" x14ac:dyDescent="0.2">
      <c r="A24" s="142">
        <v>7</v>
      </c>
      <c r="B24" s="53" t="s">
        <v>622</v>
      </c>
      <c r="C24" s="85">
        <v>19921</v>
      </c>
      <c r="D24" s="85">
        <v>0</v>
      </c>
      <c r="E24" s="85">
        <f>30000+19921</f>
        <v>49921</v>
      </c>
      <c r="F24" s="252">
        <v>5110</v>
      </c>
      <c r="G24" s="92">
        <f>30000+19921</f>
        <v>49921</v>
      </c>
    </row>
    <row r="25" spans="1:8" s="313" customFormat="1" x14ac:dyDescent="0.2">
      <c r="A25" s="142">
        <v>8</v>
      </c>
      <c r="B25" s="53" t="s">
        <v>623</v>
      </c>
      <c r="C25" s="85">
        <v>0</v>
      </c>
      <c r="D25" s="85">
        <v>0</v>
      </c>
      <c r="E25" s="85">
        <v>2000</v>
      </c>
      <c r="F25" s="252">
        <v>2279</v>
      </c>
      <c r="G25" s="85">
        <v>2000</v>
      </c>
      <c r="H25" s="312"/>
    </row>
    <row r="26" spans="1:8" s="314" customFormat="1" x14ac:dyDescent="0.2">
      <c r="A26" s="1065">
        <v>9</v>
      </c>
      <c r="B26" s="1067" t="s">
        <v>624</v>
      </c>
      <c r="C26" s="311">
        <v>14229</v>
      </c>
      <c r="D26" s="311">
        <v>10005</v>
      </c>
      <c r="E26" s="311">
        <v>12500</v>
      </c>
      <c r="F26" s="252">
        <v>2231</v>
      </c>
      <c r="G26" s="311">
        <v>10000</v>
      </c>
    </row>
    <row r="27" spans="1:8" s="314" customFormat="1" x14ac:dyDescent="0.2">
      <c r="A27" s="1066"/>
      <c r="B27" s="1068"/>
      <c r="C27" s="311">
        <v>0</v>
      </c>
      <c r="D27" s="311">
        <v>0</v>
      </c>
      <c r="E27" s="311">
        <f>1500+1800</f>
        <v>3300</v>
      </c>
      <c r="F27" s="252">
        <v>2264</v>
      </c>
      <c r="G27" s="311">
        <v>3000</v>
      </c>
    </row>
    <row r="28" spans="1:8" s="314" customFormat="1" x14ac:dyDescent="0.2">
      <c r="A28" s="1066"/>
      <c r="B28" s="1068"/>
      <c r="C28" s="311">
        <v>7095</v>
      </c>
      <c r="D28" s="311">
        <v>7095</v>
      </c>
      <c r="E28" s="311">
        <v>11500</v>
      </c>
      <c r="F28" s="252">
        <v>2314</v>
      </c>
      <c r="G28" s="311">
        <v>10000</v>
      </c>
    </row>
    <row r="29" spans="1:8" s="314" customFormat="1" x14ac:dyDescent="0.2">
      <c r="A29" s="309">
        <v>10</v>
      </c>
      <c r="B29" s="310" t="s">
        <v>625</v>
      </c>
      <c r="C29" s="311">
        <v>11344</v>
      </c>
      <c r="D29" s="311">
        <v>6000</v>
      </c>
      <c r="E29" s="311">
        <v>10000</v>
      </c>
      <c r="F29" s="252">
        <v>2231</v>
      </c>
      <c r="G29" s="311">
        <v>10000</v>
      </c>
    </row>
    <row r="30" spans="1:8" s="314" customFormat="1" x14ac:dyDescent="0.2">
      <c r="A30" s="309">
        <v>11</v>
      </c>
      <c r="B30" s="310" t="s">
        <v>626</v>
      </c>
      <c r="C30" s="311">
        <v>22981</v>
      </c>
      <c r="D30" s="311">
        <v>18000</v>
      </c>
      <c r="E30" s="311">
        <v>41688</v>
      </c>
      <c r="F30" s="252">
        <v>1150</v>
      </c>
      <c r="G30" s="311">
        <v>30688</v>
      </c>
    </row>
    <row r="31" spans="1:8" s="313" customFormat="1" ht="24" x14ac:dyDescent="0.2">
      <c r="A31" s="142">
        <v>12</v>
      </c>
      <c r="B31" s="53" t="s">
        <v>627</v>
      </c>
      <c r="C31" s="85">
        <v>0</v>
      </c>
      <c r="D31" s="85">
        <v>0</v>
      </c>
      <c r="E31" s="85">
        <v>9000</v>
      </c>
      <c r="F31" s="252">
        <v>2232</v>
      </c>
      <c r="G31" s="85">
        <v>9000</v>
      </c>
    </row>
    <row r="32" spans="1:8" s="313" customFormat="1" x14ac:dyDescent="0.2">
      <c r="A32" s="142">
        <v>13</v>
      </c>
      <c r="B32" s="53" t="s">
        <v>628</v>
      </c>
      <c r="C32" s="85">
        <v>0</v>
      </c>
      <c r="D32" s="85">
        <v>0</v>
      </c>
      <c r="E32" s="85">
        <v>4000</v>
      </c>
      <c r="F32" s="252">
        <v>2239</v>
      </c>
      <c r="G32" s="85">
        <v>4000</v>
      </c>
    </row>
    <row r="33" spans="1:7" s="313" customFormat="1" ht="24" x14ac:dyDescent="0.2">
      <c r="A33" s="142">
        <v>14</v>
      </c>
      <c r="B33" s="53" t="s">
        <v>629</v>
      </c>
      <c r="C33" s="85">
        <v>0</v>
      </c>
      <c r="D33" s="85">
        <v>0</v>
      </c>
      <c r="E33" s="85">
        <v>1500</v>
      </c>
      <c r="F33" s="252">
        <v>2239</v>
      </c>
      <c r="G33" s="85">
        <v>1000</v>
      </c>
    </row>
    <row r="34" spans="1:7" s="313" customFormat="1" x14ac:dyDescent="0.2"/>
  </sheetData>
  <sortState ref="C22:F27">
    <sortCondition ref="F22:F27"/>
  </sortState>
  <mergeCells count="13">
    <mergeCell ref="A17:B17"/>
    <mergeCell ref="A26:A28"/>
    <mergeCell ref="B26:B28"/>
    <mergeCell ref="B1:G1"/>
    <mergeCell ref="C6:G6"/>
    <mergeCell ref="A8:G8"/>
    <mergeCell ref="A14:A16"/>
    <mergeCell ref="B14:B16"/>
    <mergeCell ref="C14:C16"/>
    <mergeCell ref="D14:D16"/>
    <mergeCell ref="E14:E16"/>
    <mergeCell ref="F14:F16"/>
    <mergeCell ref="G14:G16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99"/>
  </sheetPr>
  <dimension ref="A1:H18"/>
  <sheetViews>
    <sheetView zoomScaleNormal="100" workbookViewId="0">
      <selection activeCell="B2" sqref="B2"/>
    </sheetView>
  </sheetViews>
  <sheetFormatPr defaultRowHeight="12" x14ac:dyDescent="0.2"/>
  <cols>
    <col min="1" max="1" width="6.140625" style="95" customWidth="1"/>
    <col min="2" max="2" width="44.85546875" style="95" customWidth="1"/>
    <col min="3" max="3" width="11.85546875" style="95" hidden="1" customWidth="1"/>
    <col min="4" max="4" width="11.5703125" style="95" hidden="1" customWidth="1"/>
    <col min="5" max="5" width="10.28515625" style="95" hidden="1" customWidth="1"/>
    <col min="6" max="6" width="10.5703125" style="315" customWidth="1"/>
    <col min="7" max="7" width="9.7109375" style="95" customWidth="1"/>
    <col min="8" max="8" width="9.42578125" style="95" customWidth="1"/>
    <col min="9" max="253" width="9.140625" style="95"/>
    <col min="254" max="254" width="6.140625" style="95" customWidth="1"/>
    <col min="255" max="255" width="44.85546875" style="95" customWidth="1"/>
    <col min="256" max="256" width="11.85546875" style="95" customWidth="1"/>
    <col min="257" max="257" width="11.5703125" style="95" customWidth="1"/>
    <col min="258" max="258" width="10.28515625" style="95" customWidth="1"/>
    <col min="259" max="259" width="10.5703125" style="95" customWidth="1"/>
    <col min="260" max="260" width="9.7109375" style="95" customWidth="1"/>
    <col min="261" max="261" width="34" style="95" customWidth="1"/>
    <col min="262" max="262" width="29.140625" style="95" customWidth="1"/>
    <col min="263" max="509" width="9.140625" style="95"/>
    <col min="510" max="510" width="6.140625" style="95" customWidth="1"/>
    <col min="511" max="511" width="44.85546875" style="95" customWidth="1"/>
    <col min="512" max="512" width="11.85546875" style="95" customWidth="1"/>
    <col min="513" max="513" width="11.5703125" style="95" customWidth="1"/>
    <col min="514" max="514" width="10.28515625" style="95" customWidth="1"/>
    <col min="515" max="515" width="10.5703125" style="95" customWidth="1"/>
    <col min="516" max="516" width="9.7109375" style="95" customWidth="1"/>
    <col min="517" max="517" width="34" style="95" customWidth="1"/>
    <col min="518" max="518" width="29.140625" style="95" customWidth="1"/>
    <col min="519" max="765" width="9.140625" style="95"/>
    <col min="766" max="766" width="6.140625" style="95" customWidth="1"/>
    <col min="767" max="767" width="44.85546875" style="95" customWidth="1"/>
    <col min="768" max="768" width="11.85546875" style="95" customWidth="1"/>
    <col min="769" max="769" width="11.5703125" style="95" customWidth="1"/>
    <col min="770" max="770" width="10.28515625" style="95" customWidth="1"/>
    <col min="771" max="771" width="10.5703125" style="95" customWidth="1"/>
    <col min="772" max="772" width="9.7109375" style="95" customWidth="1"/>
    <col min="773" max="773" width="34" style="95" customWidth="1"/>
    <col min="774" max="774" width="29.140625" style="95" customWidth="1"/>
    <col min="775" max="1021" width="9.140625" style="95"/>
    <col min="1022" max="1022" width="6.140625" style="95" customWidth="1"/>
    <col min="1023" max="1023" width="44.85546875" style="95" customWidth="1"/>
    <col min="1024" max="1024" width="11.85546875" style="95" customWidth="1"/>
    <col min="1025" max="1025" width="11.5703125" style="95" customWidth="1"/>
    <col min="1026" max="1026" width="10.28515625" style="95" customWidth="1"/>
    <col min="1027" max="1027" width="10.5703125" style="95" customWidth="1"/>
    <col min="1028" max="1028" width="9.7109375" style="95" customWidth="1"/>
    <col min="1029" max="1029" width="34" style="95" customWidth="1"/>
    <col min="1030" max="1030" width="29.140625" style="95" customWidth="1"/>
    <col min="1031" max="1277" width="9.140625" style="95"/>
    <col min="1278" max="1278" width="6.140625" style="95" customWidth="1"/>
    <col min="1279" max="1279" width="44.85546875" style="95" customWidth="1"/>
    <col min="1280" max="1280" width="11.85546875" style="95" customWidth="1"/>
    <col min="1281" max="1281" width="11.5703125" style="95" customWidth="1"/>
    <col min="1282" max="1282" width="10.28515625" style="95" customWidth="1"/>
    <col min="1283" max="1283" width="10.5703125" style="95" customWidth="1"/>
    <col min="1284" max="1284" width="9.7109375" style="95" customWidth="1"/>
    <col min="1285" max="1285" width="34" style="95" customWidth="1"/>
    <col min="1286" max="1286" width="29.140625" style="95" customWidth="1"/>
    <col min="1287" max="1533" width="9.140625" style="95"/>
    <col min="1534" max="1534" width="6.140625" style="95" customWidth="1"/>
    <col min="1535" max="1535" width="44.85546875" style="95" customWidth="1"/>
    <col min="1536" max="1536" width="11.85546875" style="95" customWidth="1"/>
    <col min="1537" max="1537" width="11.5703125" style="95" customWidth="1"/>
    <col min="1538" max="1538" width="10.28515625" style="95" customWidth="1"/>
    <col min="1539" max="1539" width="10.5703125" style="95" customWidth="1"/>
    <col min="1540" max="1540" width="9.7109375" style="95" customWidth="1"/>
    <col min="1541" max="1541" width="34" style="95" customWidth="1"/>
    <col min="1542" max="1542" width="29.140625" style="95" customWidth="1"/>
    <col min="1543" max="1789" width="9.140625" style="95"/>
    <col min="1790" max="1790" width="6.140625" style="95" customWidth="1"/>
    <col min="1791" max="1791" width="44.85546875" style="95" customWidth="1"/>
    <col min="1792" max="1792" width="11.85546875" style="95" customWidth="1"/>
    <col min="1793" max="1793" width="11.5703125" style="95" customWidth="1"/>
    <col min="1794" max="1794" width="10.28515625" style="95" customWidth="1"/>
    <col min="1795" max="1795" width="10.5703125" style="95" customWidth="1"/>
    <col min="1796" max="1796" width="9.7109375" style="95" customWidth="1"/>
    <col min="1797" max="1797" width="34" style="95" customWidth="1"/>
    <col min="1798" max="1798" width="29.140625" style="95" customWidth="1"/>
    <col min="1799" max="2045" width="9.140625" style="95"/>
    <col min="2046" max="2046" width="6.140625" style="95" customWidth="1"/>
    <col min="2047" max="2047" width="44.85546875" style="95" customWidth="1"/>
    <col min="2048" max="2048" width="11.85546875" style="95" customWidth="1"/>
    <col min="2049" max="2049" width="11.5703125" style="95" customWidth="1"/>
    <col min="2050" max="2050" width="10.28515625" style="95" customWidth="1"/>
    <col min="2051" max="2051" width="10.5703125" style="95" customWidth="1"/>
    <col min="2052" max="2052" width="9.7109375" style="95" customWidth="1"/>
    <col min="2053" max="2053" width="34" style="95" customWidth="1"/>
    <col min="2054" max="2054" width="29.140625" style="95" customWidth="1"/>
    <col min="2055" max="2301" width="9.140625" style="95"/>
    <col min="2302" max="2302" width="6.140625" style="95" customWidth="1"/>
    <col min="2303" max="2303" width="44.85546875" style="95" customWidth="1"/>
    <col min="2304" max="2304" width="11.85546875" style="95" customWidth="1"/>
    <col min="2305" max="2305" width="11.5703125" style="95" customWidth="1"/>
    <col min="2306" max="2306" width="10.28515625" style="95" customWidth="1"/>
    <col min="2307" max="2307" width="10.5703125" style="95" customWidth="1"/>
    <col min="2308" max="2308" width="9.7109375" style="95" customWidth="1"/>
    <col min="2309" max="2309" width="34" style="95" customWidth="1"/>
    <col min="2310" max="2310" width="29.140625" style="95" customWidth="1"/>
    <col min="2311" max="2557" width="9.140625" style="95"/>
    <col min="2558" max="2558" width="6.140625" style="95" customWidth="1"/>
    <col min="2559" max="2559" width="44.85546875" style="95" customWidth="1"/>
    <col min="2560" max="2560" width="11.85546875" style="95" customWidth="1"/>
    <col min="2561" max="2561" width="11.5703125" style="95" customWidth="1"/>
    <col min="2562" max="2562" width="10.28515625" style="95" customWidth="1"/>
    <col min="2563" max="2563" width="10.5703125" style="95" customWidth="1"/>
    <col min="2564" max="2564" width="9.7109375" style="95" customWidth="1"/>
    <col min="2565" max="2565" width="34" style="95" customWidth="1"/>
    <col min="2566" max="2566" width="29.140625" style="95" customWidth="1"/>
    <col min="2567" max="2813" width="9.140625" style="95"/>
    <col min="2814" max="2814" width="6.140625" style="95" customWidth="1"/>
    <col min="2815" max="2815" width="44.85546875" style="95" customWidth="1"/>
    <col min="2816" max="2816" width="11.85546875" style="95" customWidth="1"/>
    <col min="2817" max="2817" width="11.5703125" style="95" customWidth="1"/>
    <col min="2818" max="2818" width="10.28515625" style="95" customWidth="1"/>
    <col min="2819" max="2819" width="10.5703125" style="95" customWidth="1"/>
    <col min="2820" max="2820" width="9.7109375" style="95" customWidth="1"/>
    <col min="2821" max="2821" width="34" style="95" customWidth="1"/>
    <col min="2822" max="2822" width="29.140625" style="95" customWidth="1"/>
    <col min="2823" max="3069" width="9.140625" style="95"/>
    <col min="3070" max="3070" width="6.140625" style="95" customWidth="1"/>
    <col min="3071" max="3071" width="44.85546875" style="95" customWidth="1"/>
    <col min="3072" max="3072" width="11.85546875" style="95" customWidth="1"/>
    <col min="3073" max="3073" width="11.5703125" style="95" customWidth="1"/>
    <col min="3074" max="3074" width="10.28515625" style="95" customWidth="1"/>
    <col min="3075" max="3075" width="10.5703125" style="95" customWidth="1"/>
    <col min="3076" max="3076" width="9.7109375" style="95" customWidth="1"/>
    <col min="3077" max="3077" width="34" style="95" customWidth="1"/>
    <col min="3078" max="3078" width="29.140625" style="95" customWidth="1"/>
    <col min="3079" max="3325" width="9.140625" style="95"/>
    <col min="3326" max="3326" width="6.140625" style="95" customWidth="1"/>
    <col min="3327" max="3327" width="44.85546875" style="95" customWidth="1"/>
    <col min="3328" max="3328" width="11.85546875" style="95" customWidth="1"/>
    <col min="3329" max="3329" width="11.5703125" style="95" customWidth="1"/>
    <col min="3330" max="3330" width="10.28515625" style="95" customWidth="1"/>
    <col min="3331" max="3331" width="10.5703125" style="95" customWidth="1"/>
    <col min="3332" max="3332" width="9.7109375" style="95" customWidth="1"/>
    <col min="3333" max="3333" width="34" style="95" customWidth="1"/>
    <col min="3334" max="3334" width="29.140625" style="95" customWidth="1"/>
    <col min="3335" max="3581" width="9.140625" style="95"/>
    <col min="3582" max="3582" width="6.140625" style="95" customWidth="1"/>
    <col min="3583" max="3583" width="44.85546875" style="95" customWidth="1"/>
    <col min="3584" max="3584" width="11.85546875" style="95" customWidth="1"/>
    <col min="3585" max="3585" width="11.5703125" style="95" customWidth="1"/>
    <col min="3586" max="3586" width="10.28515625" style="95" customWidth="1"/>
    <col min="3587" max="3587" width="10.5703125" style="95" customWidth="1"/>
    <col min="3588" max="3588" width="9.7109375" style="95" customWidth="1"/>
    <col min="3589" max="3589" width="34" style="95" customWidth="1"/>
    <col min="3590" max="3590" width="29.140625" style="95" customWidth="1"/>
    <col min="3591" max="3837" width="9.140625" style="95"/>
    <col min="3838" max="3838" width="6.140625" style="95" customWidth="1"/>
    <col min="3839" max="3839" width="44.85546875" style="95" customWidth="1"/>
    <col min="3840" max="3840" width="11.85546875" style="95" customWidth="1"/>
    <col min="3841" max="3841" width="11.5703125" style="95" customWidth="1"/>
    <col min="3842" max="3842" width="10.28515625" style="95" customWidth="1"/>
    <col min="3843" max="3843" width="10.5703125" style="95" customWidth="1"/>
    <col min="3844" max="3844" width="9.7109375" style="95" customWidth="1"/>
    <col min="3845" max="3845" width="34" style="95" customWidth="1"/>
    <col min="3846" max="3846" width="29.140625" style="95" customWidth="1"/>
    <col min="3847" max="4093" width="9.140625" style="95"/>
    <col min="4094" max="4094" width="6.140625" style="95" customWidth="1"/>
    <col min="4095" max="4095" width="44.85546875" style="95" customWidth="1"/>
    <col min="4096" max="4096" width="11.85546875" style="95" customWidth="1"/>
    <col min="4097" max="4097" width="11.5703125" style="95" customWidth="1"/>
    <col min="4098" max="4098" width="10.28515625" style="95" customWidth="1"/>
    <col min="4099" max="4099" width="10.5703125" style="95" customWidth="1"/>
    <col min="4100" max="4100" width="9.7109375" style="95" customWidth="1"/>
    <col min="4101" max="4101" width="34" style="95" customWidth="1"/>
    <col min="4102" max="4102" width="29.140625" style="95" customWidth="1"/>
    <col min="4103" max="4349" width="9.140625" style="95"/>
    <col min="4350" max="4350" width="6.140625" style="95" customWidth="1"/>
    <col min="4351" max="4351" width="44.85546875" style="95" customWidth="1"/>
    <col min="4352" max="4352" width="11.85546875" style="95" customWidth="1"/>
    <col min="4353" max="4353" width="11.5703125" style="95" customWidth="1"/>
    <col min="4354" max="4354" width="10.28515625" style="95" customWidth="1"/>
    <col min="4355" max="4355" width="10.5703125" style="95" customWidth="1"/>
    <col min="4356" max="4356" width="9.7109375" style="95" customWidth="1"/>
    <col min="4357" max="4357" width="34" style="95" customWidth="1"/>
    <col min="4358" max="4358" width="29.140625" style="95" customWidth="1"/>
    <col min="4359" max="4605" width="9.140625" style="95"/>
    <col min="4606" max="4606" width="6.140625" style="95" customWidth="1"/>
    <col min="4607" max="4607" width="44.85546875" style="95" customWidth="1"/>
    <col min="4608" max="4608" width="11.85546875" style="95" customWidth="1"/>
    <col min="4609" max="4609" width="11.5703125" style="95" customWidth="1"/>
    <col min="4610" max="4610" width="10.28515625" style="95" customWidth="1"/>
    <col min="4611" max="4611" width="10.5703125" style="95" customWidth="1"/>
    <col min="4612" max="4612" width="9.7109375" style="95" customWidth="1"/>
    <col min="4613" max="4613" width="34" style="95" customWidth="1"/>
    <col min="4614" max="4614" width="29.140625" style="95" customWidth="1"/>
    <col min="4615" max="4861" width="9.140625" style="95"/>
    <col min="4862" max="4862" width="6.140625" style="95" customWidth="1"/>
    <col min="4863" max="4863" width="44.85546875" style="95" customWidth="1"/>
    <col min="4864" max="4864" width="11.85546875" style="95" customWidth="1"/>
    <col min="4865" max="4865" width="11.5703125" style="95" customWidth="1"/>
    <col min="4866" max="4866" width="10.28515625" style="95" customWidth="1"/>
    <col min="4867" max="4867" width="10.5703125" style="95" customWidth="1"/>
    <col min="4868" max="4868" width="9.7109375" style="95" customWidth="1"/>
    <col min="4869" max="4869" width="34" style="95" customWidth="1"/>
    <col min="4870" max="4870" width="29.140625" style="95" customWidth="1"/>
    <col min="4871" max="5117" width="9.140625" style="95"/>
    <col min="5118" max="5118" width="6.140625" style="95" customWidth="1"/>
    <col min="5119" max="5119" width="44.85546875" style="95" customWidth="1"/>
    <col min="5120" max="5120" width="11.85546875" style="95" customWidth="1"/>
    <col min="5121" max="5121" width="11.5703125" style="95" customWidth="1"/>
    <col min="5122" max="5122" width="10.28515625" style="95" customWidth="1"/>
    <col min="5123" max="5123" width="10.5703125" style="95" customWidth="1"/>
    <col min="5124" max="5124" width="9.7109375" style="95" customWidth="1"/>
    <col min="5125" max="5125" width="34" style="95" customWidth="1"/>
    <col min="5126" max="5126" width="29.140625" style="95" customWidth="1"/>
    <col min="5127" max="5373" width="9.140625" style="95"/>
    <col min="5374" max="5374" width="6.140625" style="95" customWidth="1"/>
    <col min="5375" max="5375" width="44.85546875" style="95" customWidth="1"/>
    <col min="5376" max="5376" width="11.85546875" style="95" customWidth="1"/>
    <col min="5377" max="5377" width="11.5703125" style="95" customWidth="1"/>
    <col min="5378" max="5378" width="10.28515625" style="95" customWidth="1"/>
    <col min="5379" max="5379" width="10.5703125" style="95" customWidth="1"/>
    <col min="5380" max="5380" width="9.7109375" style="95" customWidth="1"/>
    <col min="5381" max="5381" width="34" style="95" customWidth="1"/>
    <col min="5382" max="5382" width="29.140625" style="95" customWidth="1"/>
    <col min="5383" max="5629" width="9.140625" style="95"/>
    <col min="5630" max="5630" width="6.140625" style="95" customWidth="1"/>
    <col min="5631" max="5631" width="44.85546875" style="95" customWidth="1"/>
    <col min="5632" max="5632" width="11.85546875" style="95" customWidth="1"/>
    <col min="5633" max="5633" width="11.5703125" style="95" customWidth="1"/>
    <col min="5634" max="5634" width="10.28515625" style="95" customWidth="1"/>
    <col min="5635" max="5635" width="10.5703125" style="95" customWidth="1"/>
    <col min="5636" max="5636" width="9.7109375" style="95" customWidth="1"/>
    <col min="5637" max="5637" width="34" style="95" customWidth="1"/>
    <col min="5638" max="5638" width="29.140625" style="95" customWidth="1"/>
    <col min="5639" max="5885" width="9.140625" style="95"/>
    <col min="5886" max="5886" width="6.140625" style="95" customWidth="1"/>
    <col min="5887" max="5887" width="44.85546875" style="95" customWidth="1"/>
    <col min="5888" max="5888" width="11.85546875" style="95" customWidth="1"/>
    <col min="5889" max="5889" width="11.5703125" style="95" customWidth="1"/>
    <col min="5890" max="5890" width="10.28515625" style="95" customWidth="1"/>
    <col min="5891" max="5891" width="10.5703125" style="95" customWidth="1"/>
    <col min="5892" max="5892" width="9.7109375" style="95" customWidth="1"/>
    <col min="5893" max="5893" width="34" style="95" customWidth="1"/>
    <col min="5894" max="5894" width="29.140625" style="95" customWidth="1"/>
    <col min="5895" max="6141" width="9.140625" style="95"/>
    <col min="6142" max="6142" width="6.140625" style="95" customWidth="1"/>
    <col min="6143" max="6143" width="44.85546875" style="95" customWidth="1"/>
    <col min="6144" max="6144" width="11.85546875" style="95" customWidth="1"/>
    <col min="6145" max="6145" width="11.5703125" style="95" customWidth="1"/>
    <col min="6146" max="6146" width="10.28515625" style="95" customWidth="1"/>
    <col min="6147" max="6147" width="10.5703125" style="95" customWidth="1"/>
    <col min="6148" max="6148" width="9.7109375" style="95" customWidth="1"/>
    <col min="6149" max="6149" width="34" style="95" customWidth="1"/>
    <col min="6150" max="6150" width="29.140625" style="95" customWidth="1"/>
    <col min="6151" max="6397" width="9.140625" style="95"/>
    <col min="6398" max="6398" width="6.140625" style="95" customWidth="1"/>
    <col min="6399" max="6399" width="44.85546875" style="95" customWidth="1"/>
    <col min="6400" max="6400" width="11.85546875" style="95" customWidth="1"/>
    <col min="6401" max="6401" width="11.5703125" style="95" customWidth="1"/>
    <col min="6402" max="6402" width="10.28515625" style="95" customWidth="1"/>
    <col min="6403" max="6403" width="10.5703125" style="95" customWidth="1"/>
    <col min="6404" max="6404" width="9.7109375" style="95" customWidth="1"/>
    <col min="6405" max="6405" width="34" style="95" customWidth="1"/>
    <col min="6406" max="6406" width="29.140625" style="95" customWidth="1"/>
    <col min="6407" max="6653" width="9.140625" style="95"/>
    <col min="6654" max="6654" width="6.140625" style="95" customWidth="1"/>
    <col min="6655" max="6655" width="44.85546875" style="95" customWidth="1"/>
    <col min="6656" max="6656" width="11.85546875" style="95" customWidth="1"/>
    <col min="6657" max="6657" width="11.5703125" style="95" customWidth="1"/>
    <col min="6658" max="6658" width="10.28515625" style="95" customWidth="1"/>
    <col min="6659" max="6659" width="10.5703125" style="95" customWidth="1"/>
    <col min="6660" max="6660" width="9.7109375" style="95" customWidth="1"/>
    <col min="6661" max="6661" width="34" style="95" customWidth="1"/>
    <col min="6662" max="6662" width="29.140625" style="95" customWidth="1"/>
    <col min="6663" max="6909" width="9.140625" style="95"/>
    <col min="6910" max="6910" width="6.140625" style="95" customWidth="1"/>
    <col min="6911" max="6911" width="44.85546875" style="95" customWidth="1"/>
    <col min="6912" max="6912" width="11.85546875" style="95" customWidth="1"/>
    <col min="6913" max="6913" width="11.5703125" style="95" customWidth="1"/>
    <col min="6914" max="6914" width="10.28515625" style="95" customWidth="1"/>
    <col min="6915" max="6915" width="10.5703125" style="95" customWidth="1"/>
    <col min="6916" max="6916" width="9.7109375" style="95" customWidth="1"/>
    <col min="6917" max="6917" width="34" style="95" customWidth="1"/>
    <col min="6918" max="6918" width="29.140625" style="95" customWidth="1"/>
    <col min="6919" max="7165" width="9.140625" style="95"/>
    <col min="7166" max="7166" width="6.140625" style="95" customWidth="1"/>
    <col min="7167" max="7167" width="44.85546875" style="95" customWidth="1"/>
    <col min="7168" max="7168" width="11.85546875" style="95" customWidth="1"/>
    <col min="7169" max="7169" width="11.5703125" style="95" customWidth="1"/>
    <col min="7170" max="7170" width="10.28515625" style="95" customWidth="1"/>
    <col min="7171" max="7171" width="10.5703125" style="95" customWidth="1"/>
    <col min="7172" max="7172" width="9.7109375" style="95" customWidth="1"/>
    <col min="7173" max="7173" width="34" style="95" customWidth="1"/>
    <col min="7174" max="7174" width="29.140625" style="95" customWidth="1"/>
    <col min="7175" max="7421" width="9.140625" style="95"/>
    <col min="7422" max="7422" width="6.140625" style="95" customWidth="1"/>
    <col min="7423" max="7423" width="44.85546875" style="95" customWidth="1"/>
    <col min="7424" max="7424" width="11.85546875" style="95" customWidth="1"/>
    <col min="7425" max="7425" width="11.5703125" style="95" customWidth="1"/>
    <col min="7426" max="7426" width="10.28515625" style="95" customWidth="1"/>
    <col min="7427" max="7427" width="10.5703125" style="95" customWidth="1"/>
    <col min="7428" max="7428" width="9.7109375" style="95" customWidth="1"/>
    <col min="7429" max="7429" width="34" style="95" customWidth="1"/>
    <col min="7430" max="7430" width="29.140625" style="95" customWidth="1"/>
    <col min="7431" max="7677" width="9.140625" style="95"/>
    <col min="7678" max="7678" width="6.140625" style="95" customWidth="1"/>
    <col min="7679" max="7679" width="44.85546875" style="95" customWidth="1"/>
    <col min="7680" max="7680" width="11.85546875" style="95" customWidth="1"/>
    <col min="7681" max="7681" width="11.5703125" style="95" customWidth="1"/>
    <col min="7682" max="7682" width="10.28515625" style="95" customWidth="1"/>
    <col min="7683" max="7683" width="10.5703125" style="95" customWidth="1"/>
    <col min="7684" max="7684" width="9.7109375" style="95" customWidth="1"/>
    <col min="7685" max="7685" width="34" style="95" customWidth="1"/>
    <col min="7686" max="7686" width="29.140625" style="95" customWidth="1"/>
    <col min="7687" max="7933" width="9.140625" style="95"/>
    <col min="7934" max="7934" width="6.140625" style="95" customWidth="1"/>
    <col min="7935" max="7935" width="44.85546875" style="95" customWidth="1"/>
    <col min="7936" max="7936" width="11.85546875" style="95" customWidth="1"/>
    <col min="7937" max="7937" width="11.5703125" style="95" customWidth="1"/>
    <col min="7938" max="7938" width="10.28515625" style="95" customWidth="1"/>
    <col min="7939" max="7939" width="10.5703125" style="95" customWidth="1"/>
    <col min="7940" max="7940" width="9.7109375" style="95" customWidth="1"/>
    <col min="7941" max="7941" width="34" style="95" customWidth="1"/>
    <col min="7942" max="7942" width="29.140625" style="95" customWidth="1"/>
    <col min="7943" max="8189" width="9.140625" style="95"/>
    <col min="8190" max="8190" width="6.140625" style="95" customWidth="1"/>
    <col min="8191" max="8191" width="44.85546875" style="95" customWidth="1"/>
    <col min="8192" max="8192" width="11.85546875" style="95" customWidth="1"/>
    <col min="8193" max="8193" width="11.5703125" style="95" customWidth="1"/>
    <col min="8194" max="8194" width="10.28515625" style="95" customWidth="1"/>
    <col min="8195" max="8195" width="10.5703125" style="95" customWidth="1"/>
    <col min="8196" max="8196" width="9.7109375" style="95" customWidth="1"/>
    <col min="8197" max="8197" width="34" style="95" customWidth="1"/>
    <col min="8198" max="8198" width="29.140625" style="95" customWidth="1"/>
    <col min="8199" max="8445" width="9.140625" style="95"/>
    <col min="8446" max="8446" width="6.140625" style="95" customWidth="1"/>
    <col min="8447" max="8447" width="44.85546875" style="95" customWidth="1"/>
    <col min="8448" max="8448" width="11.85546875" style="95" customWidth="1"/>
    <col min="8449" max="8449" width="11.5703125" style="95" customWidth="1"/>
    <col min="8450" max="8450" width="10.28515625" style="95" customWidth="1"/>
    <col min="8451" max="8451" width="10.5703125" style="95" customWidth="1"/>
    <col min="8452" max="8452" width="9.7109375" style="95" customWidth="1"/>
    <col min="8453" max="8453" width="34" style="95" customWidth="1"/>
    <col min="8454" max="8454" width="29.140625" style="95" customWidth="1"/>
    <col min="8455" max="8701" width="9.140625" style="95"/>
    <col min="8702" max="8702" width="6.140625" style="95" customWidth="1"/>
    <col min="8703" max="8703" width="44.85546875" style="95" customWidth="1"/>
    <col min="8704" max="8704" width="11.85546875" style="95" customWidth="1"/>
    <col min="8705" max="8705" width="11.5703125" style="95" customWidth="1"/>
    <col min="8706" max="8706" width="10.28515625" style="95" customWidth="1"/>
    <col min="8707" max="8707" width="10.5703125" style="95" customWidth="1"/>
    <col min="8708" max="8708" width="9.7109375" style="95" customWidth="1"/>
    <col min="8709" max="8709" width="34" style="95" customWidth="1"/>
    <col min="8710" max="8710" width="29.140625" style="95" customWidth="1"/>
    <col min="8711" max="8957" width="9.140625" style="95"/>
    <col min="8958" max="8958" width="6.140625" style="95" customWidth="1"/>
    <col min="8959" max="8959" width="44.85546875" style="95" customWidth="1"/>
    <col min="8960" max="8960" width="11.85546875" style="95" customWidth="1"/>
    <col min="8961" max="8961" width="11.5703125" style="95" customWidth="1"/>
    <col min="8962" max="8962" width="10.28515625" style="95" customWidth="1"/>
    <col min="8963" max="8963" width="10.5703125" style="95" customWidth="1"/>
    <col min="8964" max="8964" width="9.7109375" style="95" customWidth="1"/>
    <col min="8965" max="8965" width="34" style="95" customWidth="1"/>
    <col min="8966" max="8966" width="29.140625" style="95" customWidth="1"/>
    <col min="8967" max="9213" width="9.140625" style="95"/>
    <col min="9214" max="9214" width="6.140625" style="95" customWidth="1"/>
    <col min="9215" max="9215" width="44.85546875" style="95" customWidth="1"/>
    <col min="9216" max="9216" width="11.85546875" style="95" customWidth="1"/>
    <col min="9217" max="9217" width="11.5703125" style="95" customWidth="1"/>
    <col min="9218" max="9218" width="10.28515625" style="95" customWidth="1"/>
    <col min="9219" max="9219" width="10.5703125" style="95" customWidth="1"/>
    <col min="9220" max="9220" width="9.7109375" style="95" customWidth="1"/>
    <col min="9221" max="9221" width="34" style="95" customWidth="1"/>
    <col min="9222" max="9222" width="29.140625" style="95" customWidth="1"/>
    <col min="9223" max="9469" width="9.140625" style="95"/>
    <col min="9470" max="9470" width="6.140625" style="95" customWidth="1"/>
    <col min="9471" max="9471" width="44.85546875" style="95" customWidth="1"/>
    <col min="9472" max="9472" width="11.85546875" style="95" customWidth="1"/>
    <col min="9473" max="9473" width="11.5703125" style="95" customWidth="1"/>
    <col min="9474" max="9474" width="10.28515625" style="95" customWidth="1"/>
    <col min="9475" max="9475" width="10.5703125" style="95" customWidth="1"/>
    <col min="9476" max="9476" width="9.7109375" style="95" customWidth="1"/>
    <col min="9477" max="9477" width="34" style="95" customWidth="1"/>
    <col min="9478" max="9478" width="29.140625" style="95" customWidth="1"/>
    <col min="9479" max="9725" width="9.140625" style="95"/>
    <col min="9726" max="9726" width="6.140625" style="95" customWidth="1"/>
    <col min="9727" max="9727" width="44.85546875" style="95" customWidth="1"/>
    <col min="9728" max="9728" width="11.85546875" style="95" customWidth="1"/>
    <col min="9729" max="9729" width="11.5703125" style="95" customWidth="1"/>
    <col min="9730" max="9730" width="10.28515625" style="95" customWidth="1"/>
    <col min="9731" max="9731" width="10.5703125" style="95" customWidth="1"/>
    <col min="9732" max="9732" width="9.7109375" style="95" customWidth="1"/>
    <col min="9733" max="9733" width="34" style="95" customWidth="1"/>
    <col min="9734" max="9734" width="29.140625" style="95" customWidth="1"/>
    <col min="9735" max="9981" width="9.140625" style="95"/>
    <col min="9982" max="9982" width="6.140625" style="95" customWidth="1"/>
    <col min="9983" max="9983" width="44.85546875" style="95" customWidth="1"/>
    <col min="9984" max="9984" width="11.85546875" style="95" customWidth="1"/>
    <col min="9985" max="9985" width="11.5703125" style="95" customWidth="1"/>
    <col min="9986" max="9986" width="10.28515625" style="95" customWidth="1"/>
    <col min="9987" max="9987" width="10.5703125" style="95" customWidth="1"/>
    <col min="9988" max="9988" width="9.7109375" style="95" customWidth="1"/>
    <col min="9989" max="9989" width="34" style="95" customWidth="1"/>
    <col min="9990" max="9990" width="29.140625" style="95" customWidth="1"/>
    <col min="9991" max="10237" width="9.140625" style="95"/>
    <col min="10238" max="10238" width="6.140625" style="95" customWidth="1"/>
    <col min="10239" max="10239" width="44.85546875" style="95" customWidth="1"/>
    <col min="10240" max="10240" width="11.85546875" style="95" customWidth="1"/>
    <col min="10241" max="10241" width="11.5703125" style="95" customWidth="1"/>
    <col min="10242" max="10242" width="10.28515625" style="95" customWidth="1"/>
    <col min="10243" max="10243" width="10.5703125" style="95" customWidth="1"/>
    <col min="10244" max="10244" width="9.7109375" style="95" customWidth="1"/>
    <col min="10245" max="10245" width="34" style="95" customWidth="1"/>
    <col min="10246" max="10246" width="29.140625" style="95" customWidth="1"/>
    <col min="10247" max="10493" width="9.140625" style="95"/>
    <col min="10494" max="10494" width="6.140625" style="95" customWidth="1"/>
    <col min="10495" max="10495" width="44.85546875" style="95" customWidth="1"/>
    <col min="10496" max="10496" width="11.85546875" style="95" customWidth="1"/>
    <col min="10497" max="10497" width="11.5703125" style="95" customWidth="1"/>
    <col min="10498" max="10498" width="10.28515625" style="95" customWidth="1"/>
    <col min="10499" max="10499" width="10.5703125" style="95" customWidth="1"/>
    <col min="10500" max="10500" width="9.7109375" style="95" customWidth="1"/>
    <col min="10501" max="10501" width="34" style="95" customWidth="1"/>
    <col min="10502" max="10502" width="29.140625" style="95" customWidth="1"/>
    <col min="10503" max="10749" width="9.140625" style="95"/>
    <col min="10750" max="10750" width="6.140625" style="95" customWidth="1"/>
    <col min="10751" max="10751" width="44.85546875" style="95" customWidth="1"/>
    <col min="10752" max="10752" width="11.85546875" style="95" customWidth="1"/>
    <col min="10753" max="10753" width="11.5703125" style="95" customWidth="1"/>
    <col min="10754" max="10754" width="10.28515625" style="95" customWidth="1"/>
    <col min="10755" max="10755" width="10.5703125" style="95" customWidth="1"/>
    <col min="10756" max="10756" width="9.7109375" style="95" customWidth="1"/>
    <col min="10757" max="10757" width="34" style="95" customWidth="1"/>
    <col min="10758" max="10758" width="29.140625" style="95" customWidth="1"/>
    <col min="10759" max="11005" width="9.140625" style="95"/>
    <col min="11006" max="11006" width="6.140625" style="95" customWidth="1"/>
    <col min="11007" max="11007" width="44.85546875" style="95" customWidth="1"/>
    <col min="11008" max="11008" width="11.85546875" style="95" customWidth="1"/>
    <col min="11009" max="11009" width="11.5703125" style="95" customWidth="1"/>
    <col min="11010" max="11010" width="10.28515625" style="95" customWidth="1"/>
    <col min="11011" max="11011" width="10.5703125" style="95" customWidth="1"/>
    <col min="11012" max="11012" width="9.7109375" style="95" customWidth="1"/>
    <col min="11013" max="11013" width="34" style="95" customWidth="1"/>
    <col min="11014" max="11014" width="29.140625" style="95" customWidth="1"/>
    <col min="11015" max="11261" width="9.140625" style="95"/>
    <col min="11262" max="11262" width="6.140625" style="95" customWidth="1"/>
    <col min="11263" max="11263" width="44.85546875" style="95" customWidth="1"/>
    <col min="11264" max="11264" width="11.85546875" style="95" customWidth="1"/>
    <col min="11265" max="11265" width="11.5703125" style="95" customWidth="1"/>
    <col min="11266" max="11266" width="10.28515625" style="95" customWidth="1"/>
    <col min="11267" max="11267" width="10.5703125" style="95" customWidth="1"/>
    <col min="11268" max="11268" width="9.7109375" style="95" customWidth="1"/>
    <col min="11269" max="11269" width="34" style="95" customWidth="1"/>
    <col min="11270" max="11270" width="29.140625" style="95" customWidth="1"/>
    <col min="11271" max="11517" width="9.140625" style="95"/>
    <col min="11518" max="11518" width="6.140625" style="95" customWidth="1"/>
    <col min="11519" max="11519" width="44.85546875" style="95" customWidth="1"/>
    <col min="11520" max="11520" width="11.85546875" style="95" customWidth="1"/>
    <col min="11521" max="11521" width="11.5703125" style="95" customWidth="1"/>
    <col min="11522" max="11522" width="10.28515625" style="95" customWidth="1"/>
    <col min="11523" max="11523" width="10.5703125" style="95" customWidth="1"/>
    <col min="11524" max="11524" width="9.7109375" style="95" customWidth="1"/>
    <col min="11525" max="11525" width="34" style="95" customWidth="1"/>
    <col min="11526" max="11526" width="29.140625" style="95" customWidth="1"/>
    <col min="11527" max="11773" width="9.140625" style="95"/>
    <col min="11774" max="11774" width="6.140625" style="95" customWidth="1"/>
    <col min="11775" max="11775" width="44.85546875" style="95" customWidth="1"/>
    <col min="11776" max="11776" width="11.85546875" style="95" customWidth="1"/>
    <col min="11777" max="11777" width="11.5703125" style="95" customWidth="1"/>
    <col min="11778" max="11778" width="10.28515625" style="95" customWidth="1"/>
    <col min="11779" max="11779" width="10.5703125" style="95" customWidth="1"/>
    <col min="11780" max="11780" width="9.7109375" style="95" customWidth="1"/>
    <col min="11781" max="11781" width="34" style="95" customWidth="1"/>
    <col min="11782" max="11782" width="29.140625" style="95" customWidth="1"/>
    <col min="11783" max="12029" width="9.140625" style="95"/>
    <col min="12030" max="12030" width="6.140625" style="95" customWidth="1"/>
    <col min="12031" max="12031" width="44.85546875" style="95" customWidth="1"/>
    <col min="12032" max="12032" width="11.85546875" style="95" customWidth="1"/>
    <col min="12033" max="12033" width="11.5703125" style="95" customWidth="1"/>
    <col min="12034" max="12034" width="10.28515625" style="95" customWidth="1"/>
    <col min="12035" max="12035" width="10.5703125" style="95" customWidth="1"/>
    <col min="12036" max="12036" width="9.7109375" style="95" customWidth="1"/>
    <col min="12037" max="12037" width="34" style="95" customWidth="1"/>
    <col min="12038" max="12038" width="29.140625" style="95" customWidth="1"/>
    <col min="12039" max="12285" width="9.140625" style="95"/>
    <col min="12286" max="12286" width="6.140625" style="95" customWidth="1"/>
    <col min="12287" max="12287" width="44.85546875" style="95" customWidth="1"/>
    <col min="12288" max="12288" width="11.85546875" style="95" customWidth="1"/>
    <col min="12289" max="12289" width="11.5703125" style="95" customWidth="1"/>
    <col min="12290" max="12290" width="10.28515625" style="95" customWidth="1"/>
    <col min="12291" max="12291" width="10.5703125" style="95" customWidth="1"/>
    <col min="12292" max="12292" width="9.7109375" style="95" customWidth="1"/>
    <col min="12293" max="12293" width="34" style="95" customWidth="1"/>
    <col min="12294" max="12294" width="29.140625" style="95" customWidth="1"/>
    <col min="12295" max="12541" width="9.140625" style="95"/>
    <col min="12542" max="12542" width="6.140625" style="95" customWidth="1"/>
    <col min="12543" max="12543" width="44.85546875" style="95" customWidth="1"/>
    <col min="12544" max="12544" width="11.85546875" style="95" customWidth="1"/>
    <col min="12545" max="12545" width="11.5703125" style="95" customWidth="1"/>
    <col min="12546" max="12546" width="10.28515625" style="95" customWidth="1"/>
    <col min="12547" max="12547" width="10.5703125" style="95" customWidth="1"/>
    <col min="12548" max="12548" width="9.7109375" style="95" customWidth="1"/>
    <col min="12549" max="12549" width="34" style="95" customWidth="1"/>
    <col min="12550" max="12550" width="29.140625" style="95" customWidth="1"/>
    <col min="12551" max="12797" width="9.140625" style="95"/>
    <col min="12798" max="12798" width="6.140625" style="95" customWidth="1"/>
    <col min="12799" max="12799" width="44.85546875" style="95" customWidth="1"/>
    <col min="12800" max="12800" width="11.85546875" style="95" customWidth="1"/>
    <col min="12801" max="12801" width="11.5703125" style="95" customWidth="1"/>
    <col min="12802" max="12802" width="10.28515625" style="95" customWidth="1"/>
    <col min="12803" max="12803" width="10.5703125" style="95" customWidth="1"/>
    <col min="12804" max="12804" width="9.7109375" style="95" customWidth="1"/>
    <col min="12805" max="12805" width="34" style="95" customWidth="1"/>
    <col min="12806" max="12806" width="29.140625" style="95" customWidth="1"/>
    <col min="12807" max="13053" width="9.140625" style="95"/>
    <col min="13054" max="13054" width="6.140625" style="95" customWidth="1"/>
    <col min="13055" max="13055" width="44.85546875" style="95" customWidth="1"/>
    <col min="13056" max="13056" width="11.85546875" style="95" customWidth="1"/>
    <col min="13057" max="13057" width="11.5703125" style="95" customWidth="1"/>
    <col min="13058" max="13058" width="10.28515625" style="95" customWidth="1"/>
    <col min="13059" max="13059" width="10.5703125" style="95" customWidth="1"/>
    <col min="13060" max="13060" width="9.7109375" style="95" customWidth="1"/>
    <col min="13061" max="13061" width="34" style="95" customWidth="1"/>
    <col min="13062" max="13062" width="29.140625" style="95" customWidth="1"/>
    <col min="13063" max="13309" width="9.140625" style="95"/>
    <col min="13310" max="13310" width="6.140625" style="95" customWidth="1"/>
    <col min="13311" max="13311" width="44.85546875" style="95" customWidth="1"/>
    <col min="13312" max="13312" width="11.85546875" style="95" customWidth="1"/>
    <col min="13313" max="13313" width="11.5703125" style="95" customWidth="1"/>
    <col min="13314" max="13314" width="10.28515625" style="95" customWidth="1"/>
    <col min="13315" max="13315" width="10.5703125" style="95" customWidth="1"/>
    <col min="13316" max="13316" width="9.7109375" style="95" customWidth="1"/>
    <col min="13317" max="13317" width="34" style="95" customWidth="1"/>
    <col min="13318" max="13318" width="29.140625" style="95" customWidth="1"/>
    <col min="13319" max="13565" width="9.140625" style="95"/>
    <col min="13566" max="13566" width="6.140625" style="95" customWidth="1"/>
    <col min="13567" max="13567" width="44.85546875" style="95" customWidth="1"/>
    <col min="13568" max="13568" width="11.85546875" style="95" customWidth="1"/>
    <col min="13569" max="13569" width="11.5703125" style="95" customWidth="1"/>
    <col min="13570" max="13570" width="10.28515625" style="95" customWidth="1"/>
    <col min="13571" max="13571" width="10.5703125" style="95" customWidth="1"/>
    <col min="13572" max="13572" width="9.7109375" style="95" customWidth="1"/>
    <col min="13573" max="13573" width="34" style="95" customWidth="1"/>
    <col min="13574" max="13574" width="29.140625" style="95" customWidth="1"/>
    <col min="13575" max="13821" width="9.140625" style="95"/>
    <col min="13822" max="13822" width="6.140625" style="95" customWidth="1"/>
    <col min="13823" max="13823" width="44.85546875" style="95" customWidth="1"/>
    <col min="13824" max="13824" width="11.85546875" style="95" customWidth="1"/>
    <col min="13825" max="13825" width="11.5703125" style="95" customWidth="1"/>
    <col min="13826" max="13826" width="10.28515625" style="95" customWidth="1"/>
    <col min="13827" max="13827" width="10.5703125" style="95" customWidth="1"/>
    <col min="13828" max="13828" width="9.7109375" style="95" customWidth="1"/>
    <col min="13829" max="13829" width="34" style="95" customWidth="1"/>
    <col min="13830" max="13830" width="29.140625" style="95" customWidth="1"/>
    <col min="13831" max="14077" width="9.140625" style="95"/>
    <col min="14078" max="14078" width="6.140625" style="95" customWidth="1"/>
    <col min="14079" max="14079" width="44.85546875" style="95" customWidth="1"/>
    <col min="14080" max="14080" width="11.85546875" style="95" customWidth="1"/>
    <col min="14081" max="14081" width="11.5703125" style="95" customWidth="1"/>
    <col min="14082" max="14082" width="10.28515625" style="95" customWidth="1"/>
    <col min="14083" max="14083" width="10.5703125" style="95" customWidth="1"/>
    <col min="14084" max="14084" width="9.7109375" style="95" customWidth="1"/>
    <col min="14085" max="14085" width="34" style="95" customWidth="1"/>
    <col min="14086" max="14086" width="29.140625" style="95" customWidth="1"/>
    <col min="14087" max="14333" width="9.140625" style="95"/>
    <col min="14334" max="14334" width="6.140625" style="95" customWidth="1"/>
    <col min="14335" max="14335" width="44.85546875" style="95" customWidth="1"/>
    <col min="14336" max="14336" width="11.85546875" style="95" customWidth="1"/>
    <col min="14337" max="14337" width="11.5703125" style="95" customWidth="1"/>
    <col min="14338" max="14338" width="10.28515625" style="95" customWidth="1"/>
    <col min="14339" max="14339" width="10.5703125" style="95" customWidth="1"/>
    <col min="14340" max="14340" width="9.7109375" style="95" customWidth="1"/>
    <col min="14341" max="14341" width="34" style="95" customWidth="1"/>
    <col min="14342" max="14342" width="29.140625" style="95" customWidth="1"/>
    <col min="14343" max="14589" width="9.140625" style="95"/>
    <col min="14590" max="14590" width="6.140625" style="95" customWidth="1"/>
    <col min="14591" max="14591" width="44.85546875" style="95" customWidth="1"/>
    <col min="14592" max="14592" width="11.85546875" style="95" customWidth="1"/>
    <col min="14593" max="14593" width="11.5703125" style="95" customWidth="1"/>
    <col min="14594" max="14594" width="10.28515625" style="95" customWidth="1"/>
    <col min="14595" max="14595" width="10.5703125" style="95" customWidth="1"/>
    <col min="14596" max="14596" width="9.7109375" style="95" customWidth="1"/>
    <col min="14597" max="14597" width="34" style="95" customWidth="1"/>
    <col min="14598" max="14598" width="29.140625" style="95" customWidth="1"/>
    <col min="14599" max="14845" width="9.140625" style="95"/>
    <col min="14846" max="14846" width="6.140625" style="95" customWidth="1"/>
    <col min="14847" max="14847" width="44.85546875" style="95" customWidth="1"/>
    <col min="14848" max="14848" width="11.85546875" style="95" customWidth="1"/>
    <col min="14849" max="14849" width="11.5703125" style="95" customWidth="1"/>
    <col min="14850" max="14850" width="10.28515625" style="95" customWidth="1"/>
    <col min="14851" max="14851" width="10.5703125" style="95" customWidth="1"/>
    <col min="14852" max="14852" width="9.7109375" style="95" customWidth="1"/>
    <col min="14853" max="14853" width="34" style="95" customWidth="1"/>
    <col min="14854" max="14854" width="29.140625" style="95" customWidth="1"/>
    <col min="14855" max="15101" width="9.140625" style="95"/>
    <col min="15102" max="15102" width="6.140625" style="95" customWidth="1"/>
    <col min="15103" max="15103" width="44.85546875" style="95" customWidth="1"/>
    <col min="15104" max="15104" width="11.85546875" style="95" customWidth="1"/>
    <col min="15105" max="15105" width="11.5703125" style="95" customWidth="1"/>
    <col min="15106" max="15106" width="10.28515625" style="95" customWidth="1"/>
    <col min="15107" max="15107" width="10.5703125" style="95" customWidth="1"/>
    <col min="15108" max="15108" width="9.7109375" style="95" customWidth="1"/>
    <col min="15109" max="15109" width="34" style="95" customWidth="1"/>
    <col min="15110" max="15110" width="29.140625" style="95" customWidth="1"/>
    <col min="15111" max="15357" width="9.140625" style="95"/>
    <col min="15358" max="15358" width="6.140625" style="95" customWidth="1"/>
    <col min="15359" max="15359" width="44.85546875" style="95" customWidth="1"/>
    <col min="15360" max="15360" width="11.85546875" style="95" customWidth="1"/>
    <col min="15361" max="15361" width="11.5703125" style="95" customWidth="1"/>
    <col min="15362" max="15362" width="10.28515625" style="95" customWidth="1"/>
    <col min="15363" max="15363" width="10.5703125" style="95" customWidth="1"/>
    <col min="15364" max="15364" width="9.7109375" style="95" customWidth="1"/>
    <col min="15365" max="15365" width="34" style="95" customWidth="1"/>
    <col min="15366" max="15366" width="29.140625" style="95" customWidth="1"/>
    <col min="15367" max="15613" width="9.140625" style="95"/>
    <col min="15614" max="15614" width="6.140625" style="95" customWidth="1"/>
    <col min="15615" max="15615" width="44.85546875" style="95" customWidth="1"/>
    <col min="15616" max="15616" width="11.85546875" style="95" customWidth="1"/>
    <col min="15617" max="15617" width="11.5703125" style="95" customWidth="1"/>
    <col min="15618" max="15618" width="10.28515625" style="95" customWidth="1"/>
    <col min="15619" max="15619" width="10.5703125" style="95" customWidth="1"/>
    <col min="15620" max="15620" width="9.7109375" style="95" customWidth="1"/>
    <col min="15621" max="15621" width="34" style="95" customWidth="1"/>
    <col min="15622" max="15622" width="29.140625" style="95" customWidth="1"/>
    <col min="15623" max="15869" width="9.140625" style="95"/>
    <col min="15870" max="15870" width="6.140625" style="95" customWidth="1"/>
    <col min="15871" max="15871" width="44.85546875" style="95" customWidth="1"/>
    <col min="15872" max="15872" width="11.85546875" style="95" customWidth="1"/>
    <col min="15873" max="15873" width="11.5703125" style="95" customWidth="1"/>
    <col min="15874" max="15874" width="10.28515625" style="95" customWidth="1"/>
    <col min="15875" max="15875" width="10.5703125" style="95" customWidth="1"/>
    <col min="15876" max="15876" width="9.7109375" style="95" customWidth="1"/>
    <col min="15877" max="15877" width="34" style="95" customWidth="1"/>
    <col min="15878" max="15878" width="29.140625" style="95" customWidth="1"/>
    <col min="15879" max="16125" width="9.140625" style="95"/>
    <col min="16126" max="16126" width="6.140625" style="95" customWidth="1"/>
    <col min="16127" max="16127" width="44.85546875" style="95" customWidth="1"/>
    <col min="16128" max="16128" width="11.85546875" style="95" customWidth="1"/>
    <col min="16129" max="16129" width="11.5703125" style="95" customWidth="1"/>
    <col min="16130" max="16130" width="10.28515625" style="95" customWidth="1"/>
    <col min="16131" max="16131" width="10.5703125" style="95" customWidth="1"/>
    <col min="16132" max="16132" width="9.7109375" style="95" customWidth="1"/>
    <col min="16133" max="16133" width="34" style="95" customWidth="1"/>
    <col min="16134" max="16134" width="29.140625" style="95" customWidth="1"/>
    <col min="16135" max="16384" width="9.140625" style="95"/>
  </cols>
  <sheetData>
    <row r="1" spans="1:8" ht="16.5" x14ac:dyDescent="0.25">
      <c r="B1" s="1034" t="s">
        <v>1205</v>
      </c>
      <c r="C1" s="1034"/>
      <c r="D1" s="1034"/>
      <c r="E1" s="1034"/>
      <c r="F1" s="1034"/>
      <c r="G1" s="1034"/>
    </row>
    <row r="2" spans="1:8" ht="16.5" x14ac:dyDescent="0.25">
      <c r="B2" s="1"/>
      <c r="C2" s="950"/>
      <c r="D2" s="950"/>
      <c r="E2" s="950"/>
      <c r="F2" s="950"/>
      <c r="G2" s="951" t="s">
        <v>1184</v>
      </c>
    </row>
    <row r="3" spans="1:8" ht="16.5" x14ac:dyDescent="0.25">
      <c r="B3" s="1"/>
      <c r="C3" s="950"/>
      <c r="D3" s="950"/>
      <c r="E3" s="950"/>
      <c r="F3" s="950"/>
      <c r="G3" s="951" t="s">
        <v>1185</v>
      </c>
    </row>
    <row r="6" spans="1:8" x14ac:dyDescent="0.2">
      <c r="A6" s="95" t="s">
        <v>298</v>
      </c>
      <c r="B6" s="128"/>
      <c r="C6" s="1069"/>
      <c r="D6" s="1069"/>
      <c r="E6" s="1069"/>
      <c r="F6" s="1069"/>
      <c r="G6" s="1069"/>
    </row>
    <row r="7" spans="1:8" x14ac:dyDescent="0.2">
      <c r="B7" s="128"/>
      <c r="C7" s="858"/>
      <c r="D7" s="858"/>
      <c r="E7" s="858"/>
      <c r="F7" s="858"/>
      <c r="G7" s="858"/>
    </row>
    <row r="8" spans="1:8" ht="15.75" x14ac:dyDescent="0.25">
      <c r="A8" s="1070" t="s">
        <v>291</v>
      </c>
      <c r="B8" s="1070"/>
      <c r="C8" s="1070"/>
      <c r="D8" s="1070"/>
      <c r="E8" s="1070"/>
      <c r="F8" s="1070"/>
      <c r="G8" s="1070"/>
    </row>
    <row r="9" spans="1:8" ht="12" customHeight="1" x14ac:dyDescent="0.25">
      <c r="A9" s="300"/>
      <c r="B9" s="300"/>
      <c r="C9" s="300"/>
      <c r="D9" s="300"/>
      <c r="E9" s="300"/>
      <c r="F9" s="371"/>
      <c r="G9" s="300"/>
    </row>
    <row r="10" spans="1:8" ht="12" customHeight="1" x14ac:dyDescent="0.25">
      <c r="A10" s="95" t="s">
        <v>1203</v>
      </c>
      <c r="C10" s="301"/>
      <c r="D10" s="128"/>
      <c r="E10" s="128"/>
      <c r="F10" s="316"/>
      <c r="G10" s="128"/>
    </row>
    <row r="11" spans="1:8" ht="12" customHeight="1" x14ac:dyDescent="0.25">
      <c r="C11" s="301"/>
      <c r="D11" s="128"/>
      <c r="E11" s="128"/>
      <c r="F11" s="316"/>
      <c r="G11" s="128"/>
    </row>
    <row r="12" spans="1:8" x14ac:dyDescent="0.2">
      <c r="A12" s="95" t="s">
        <v>1196</v>
      </c>
      <c r="C12" s="212"/>
      <c r="D12" s="212"/>
      <c r="E12" s="212"/>
      <c r="F12" s="320"/>
      <c r="G12" s="212"/>
    </row>
    <row r="13" spans="1:8" x14ac:dyDescent="0.2">
      <c r="A13" s="95" t="s">
        <v>1204</v>
      </c>
      <c r="C13" s="302"/>
      <c r="D13" s="212"/>
      <c r="E13" s="212"/>
      <c r="F13" s="320"/>
      <c r="G13" s="212"/>
    </row>
    <row r="14" spans="1:8" ht="36" customHeight="1" x14ac:dyDescent="0.2">
      <c r="A14" s="1071" t="s">
        <v>1</v>
      </c>
      <c r="B14" s="1071" t="s">
        <v>2</v>
      </c>
      <c r="C14" s="1071" t="s">
        <v>26</v>
      </c>
      <c r="D14" s="1071" t="s">
        <v>27</v>
      </c>
      <c r="E14" s="1071" t="s">
        <v>299</v>
      </c>
      <c r="F14" s="1076" t="s">
        <v>6</v>
      </c>
      <c r="G14" s="1071" t="s">
        <v>1190</v>
      </c>
    </row>
    <row r="15" spans="1:8" ht="12.75" customHeight="1" x14ac:dyDescent="0.2">
      <c r="A15" s="1071"/>
      <c r="B15" s="1071"/>
      <c r="C15" s="1071"/>
      <c r="D15" s="1071"/>
      <c r="E15" s="1071"/>
      <c r="F15" s="1076"/>
      <c r="G15" s="1071"/>
    </row>
    <row r="16" spans="1:8" x14ac:dyDescent="0.2">
      <c r="A16" s="1075" t="s">
        <v>300</v>
      </c>
      <c r="B16" s="1075"/>
      <c r="C16" s="303">
        <f>SUM(C17:C18)</f>
        <v>21734</v>
      </c>
      <c r="D16" s="303">
        <f>SUM(D17:D18)</f>
        <v>11406</v>
      </c>
      <c r="E16" s="303">
        <f>SUM(E17:E18)</f>
        <v>53000</v>
      </c>
      <c r="F16" s="243"/>
      <c r="G16" s="303">
        <f>SUM(G17:G18)</f>
        <v>37000</v>
      </c>
      <c r="H16" s="304"/>
    </row>
    <row r="17" spans="1:8" ht="12" customHeight="1" x14ac:dyDescent="0.2">
      <c r="A17" s="859">
        <v>1</v>
      </c>
      <c r="B17" s="861" t="s">
        <v>614</v>
      </c>
      <c r="C17" s="92">
        <f>11383+3100</f>
        <v>14483</v>
      </c>
      <c r="D17" s="92">
        <v>4155</v>
      </c>
      <c r="E17" s="92">
        <f>8000+1000</f>
        <v>9000</v>
      </c>
      <c r="F17" s="243">
        <v>2279</v>
      </c>
      <c r="G17" s="92">
        <v>9000</v>
      </c>
      <c r="H17" s="305"/>
    </row>
    <row r="18" spans="1:8" ht="12" customHeight="1" x14ac:dyDescent="0.2">
      <c r="A18" s="859">
        <v>2</v>
      </c>
      <c r="B18" s="861" t="s">
        <v>615</v>
      </c>
      <c r="C18" s="92">
        <v>7251</v>
      </c>
      <c r="D18" s="92">
        <v>7251</v>
      </c>
      <c r="E18" s="92">
        <v>44000</v>
      </c>
      <c r="F18" s="243">
        <v>2279</v>
      </c>
      <c r="G18" s="92">
        <v>28000</v>
      </c>
      <c r="H18" s="306"/>
    </row>
  </sheetData>
  <sortState ref="C14:G17">
    <sortCondition ref="F11:F15"/>
  </sortState>
  <mergeCells count="11">
    <mergeCell ref="A16:B16"/>
    <mergeCell ref="B1:G1"/>
    <mergeCell ref="C6:G6"/>
    <mergeCell ref="A8:G8"/>
    <mergeCell ref="A14:A15"/>
    <mergeCell ref="B14:B15"/>
    <mergeCell ref="C14:C15"/>
    <mergeCell ref="D14:D15"/>
    <mergeCell ref="E14:E15"/>
    <mergeCell ref="F14:F15"/>
    <mergeCell ref="G14:G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99"/>
  </sheetPr>
  <dimension ref="A1:G40"/>
  <sheetViews>
    <sheetView topLeftCell="A7" zoomScaleNormal="100" workbookViewId="0">
      <selection activeCell="B2" sqref="B2"/>
    </sheetView>
  </sheetViews>
  <sheetFormatPr defaultRowHeight="12.75" x14ac:dyDescent="0.2"/>
  <cols>
    <col min="1" max="1" width="4.85546875" style="322" customWidth="1"/>
    <col min="2" max="2" width="62" style="322" customWidth="1"/>
    <col min="3" max="3" width="9.140625" style="324" hidden="1" customWidth="1"/>
    <col min="4" max="4" width="9.7109375" style="324" hidden="1" customWidth="1"/>
    <col min="5" max="5" width="10.28515625" style="324" hidden="1" customWidth="1"/>
    <col min="6" max="6" width="11" style="324" customWidth="1"/>
    <col min="7" max="7" width="9.85546875" style="324" customWidth="1"/>
    <col min="8" max="252" width="9.140625" style="322"/>
    <col min="253" max="253" width="6.42578125" style="322" customWidth="1"/>
    <col min="254" max="254" width="30.28515625" style="322" customWidth="1"/>
    <col min="255" max="255" width="9.5703125" style="322" customWidth="1"/>
    <col min="256" max="256" width="10.5703125" style="322" customWidth="1"/>
    <col min="257" max="257" width="10.28515625" style="322" customWidth="1"/>
    <col min="258" max="258" width="11.7109375" style="322" customWidth="1"/>
    <col min="259" max="259" width="9.85546875" style="322" customWidth="1"/>
    <col min="260" max="260" width="53.5703125" style="322" customWidth="1"/>
    <col min="261" max="508" width="9.140625" style="322"/>
    <col min="509" max="509" width="6.42578125" style="322" customWidth="1"/>
    <col min="510" max="510" width="30.28515625" style="322" customWidth="1"/>
    <col min="511" max="511" width="9.5703125" style="322" customWidth="1"/>
    <col min="512" max="512" width="10.5703125" style="322" customWidth="1"/>
    <col min="513" max="513" width="10.28515625" style="322" customWidth="1"/>
    <col min="514" max="514" width="11.7109375" style="322" customWidth="1"/>
    <col min="515" max="515" width="9.85546875" style="322" customWidth="1"/>
    <col min="516" max="516" width="53.5703125" style="322" customWidth="1"/>
    <col min="517" max="764" width="9.140625" style="322"/>
    <col min="765" max="765" width="6.42578125" style="322" customWidth="1"/>
    <col min="766" max="766" width="30.28515625" style="322" customWidth="1"/>
    <col min="767" max="767" width="9.5703125" style="322" customWidth="1"/>
    <col min="768" max="768" width="10.5703125" style="322" customWidth="1"/>
    <col min="769" max="769" width="10.28515625" style="322" customWidth="1"/>
    <col min="770" max="770" width="11.7109375" style="322" customWidth="1"/>
    <col min="771" max="771" width="9.85546875" style="322" customWidth="1"/>
    <col min="772" max="772" width="53.5703125" style="322" customWidth="1"/>
    <col min="773" max="1020" width="9.140625" style="322"/>
    <col min="1021" max="1021" width="6.42578125" style="322" customWidth="1"/>
    <col min="1022" max="1022" width="30.28515625" style="322" customWidth="1"/>
    <col min="1023" max="1023" width="9.5703125" style="322" customWidth="1"/>
    <col min="1024" max="1024" width="10.5703125" style="322" customWidth="1"/>
    <col min="1025" max="1025" width="10.28515625" style="322" customWidth="1"/>
    <col min="1026" max="1026" width="11.7109375" style="322" customWidth="1"/>
    <col min="1027" max="1027" width="9.85546875" style="322" customWidth="1"/>
    <col min="1028" max="1028" width="53.5703125" style="322" customWidth="1"/>
    <col min="1029" max="1276" width="9.140625" style="322"/>
    <col min="1277" max="1277" width="6.42578125" style="322" customWidth="1"/>
    <col min="1278" max="1278" width="30.28515625" style="322" customWidth="1"/>
    <col min="1279" max="1279" width="9.5703125" style="322" customWidth="1"/>
    <col min="1280" max="1280" width="10.5703125" style="322" customWidth="1"/>
    <col min="1281" max="1281" width="10.28515625" style="322" customWidth="1"/>
    <col min="1282" max="1282" width="11.7109375" style="322" customWidth="1"/>
    <col min="1283" max="1283" width="9.85546875" style="322" customWidth="1"/>
    <col min="1284" max="1284" width="53.5703125" style="322" customWidth="1"/>
    <col min="1285" max="1532" width="9.140625" style="322"/>
    <col min="1533" max="1533" width="6.42578125" style="322" customWidth="1"/>
    <col min="1534" max="1534" width="30.28515625" style="322" customWidth="1"/>
    <col min="1535" max="1535" width="9.5703125" style="322" customWidth="1"/>
    <col min="1536" max="1536" width="10.5703125" style="322" customWidth="1"/>
    <col min="1537" max="1537" width="10.28515625" style="322" customWidth="1"/>
    <col min="1538" max="1538" width="11.7109375" style="322" customWidth="1"/>
    <col min="1539" max="1539" width="9.85546875" style="322" customWidth="1"/>
    <col min="1540" max="1540" width="53.5703125" style="322" customWidth="1"/>
    <col min="1541" max="1788" width="9.140625" style="322"/>
    <col min="1789" max="1789" width="6.42578125" style="322" customWidth="1"/>
    <col min="1790" max="1790" width="30.28515625" style="322" customWidth="1"/>
    <col min="1791" max="1791" width="9.5703125" style="322" customWidth="1"/>
    <col min="1792" max="1792" width="10.5703125" style="322" customWidth="1"/>
    <col min="1793" max="1793" width="10.28515625" style="322" customWidth="1"/>
    <col min="1794" max="1794" width="11.7109375" style="322" customWidth="1"/>
    <col min="1795" max="1795" width="9.85546875" style="322" customWidth="1"/>
    <col min="1796" max="1796" width="53.5703125" style="322" customWidth="1"/>
    <col min="1797" max="2044" width="9.140625" style="322"/>
    <col min="2045" max="2045" width="6.42578125" style="322" customWidth="1"/>
    <col min="2046" max="2046" width="30.28515625" style="322" customWidth="1"/>
    <col min="2047" max="2047" width="9.5703125" style="322" customWidth="1"/>
    <col min="2048" max="2048" width="10.5703125" style="322" customWidth="1"/>
    <col min="2049" max="2049" width="10.28515625" style="322" customWidth="1"/>
    <col min="2050" max="2050" width="11.7109375" style="322" customWidth="1"/>
    <col min="2051" max="2051" width="9.85546875" style="322" customWidth="1"/>
    <col min="2052" max="2052" width="53.5703125" style="322" customWidth="1"/>
    <col min="2053" max="2300" width="9.140625" style="322"/>
    <col min="2301" max="2301" width="6.42578125" style="322" customWidth="1"/>
    <col min="2302" max="2302" width="30.28515625" style="322" customWidth="1"/>
    <col min="2303" max="2303" width="9.5703125" style="322" customWidth="1"/>
    <col min="2304" max="2304" width="10.5703125" style="322" customWidth="1"/>
    <col min="2305" max="2305" width="10.28515625" style="322" customWidth="1"/>
    <col min="2306" max="2306" width="11.7109375" style="322" customWidth="1"/>
    <col min="2307" max="2307" width="9.85546875" style="322" customWidth="1"/>
    <col min="2308" max="2308" width="53.5703125" style="322" customWidth="1"/>
    <col min="2309" max="2556" width="9.140625" style="322"/>
    <col min="2557" max="2557" width="6.42578125" style="322" customWidth="1"/>
    <col min="2558" max="2558" width="30.28515625" style="322" customWidth="1"/>
    <col min="2559" max="2559" width="9.5703125" style="322" customWidth="1"/>
    <col min="2560" max="2560" width="10.5703125" style="322" customWidth="1"/>
    <col min="2561" max="2561" width="10.28515625" style="322" customWidth="1"/>
    <col min="2562" max="2562" width="11.7109375" style="322" customWidth="1"/>
    <col min="2563" max="2563" width="9.85546875" style="322" customWidth="1"/>
    <col min="2564" max="2564" width="53.5703125" style="322" customWidth="1"/>
    <col min="2565" max="2812" width="9.140625" style="322"/>
    <col min="2813" max="2813" width="6.42578125" style="322" customWidth="1"/>
    <col min="2814" max="2814" width="30.28515625" style="322" customWidth="1"/>
    <col min="2815" max="2815" width="9.5703125" style="322" customWidth="1"/>
    <col min="2816" max="2816" width="10.5703125" style="322" customWidth="1"/>
    <col min="2817" max="2817" width="10.28515625" style="322" customWidth="1"/>
    <col min="2818" max="2818" width="11.7109375" style="322" customWidth="1"/>
    <col min="2819" max="2819" width="9.85546875" style="322" customWidth="1"/>
    <col min="2820" max="2820" width="53.5703125" style="322" customWidth="1"/>
    <col min="2821" max="3068" width="9.140625" style="322"/>
    <col min="3069" max="3069" width="6.42578125" style="322" customWidth="1"/>
    <col min="3070" max="3070" width="30.28515625" style="322" customWidth="1"/>
    <col min="3071" max="3071" width="9.5703125" style="322" customWidth="1"/>
    <col min="3072" max="3072" width="10.5703125" style="322" customWidth="1"/>
    <col min="3073" max="3073" width="10.28515625" style="322" customWidth="1"/>
    <col min="3074" max="3074" width="11.7109375" style="322" customWidth="1"/>
    <col min="3075" max="3075" width="9.85546875" style="322" customWidth="1"/>
    <col min="3076" max="3076" width="53.5703125" style="322" customWidth="1"/>
    <col min="3077" max="3324" width="9.140625" style="322"/>
    <col min="3325" max="3325" width="6.42578125" style="322" customWidth="1"/>
    <col min="3326" max="3326" width="30.28515625" style="322" customWidth="1"/>
    <col min="3327" max="3327" width="9.5703125" style="322" customWidth="1"/>
    <col min="3328" max="3328" width="10.5703125" style="322" customWidth="1"/>
    <col min="3329" max="3329" width="10.28515625" style="322" customWidth="1"/>
    <col min="3330" max="3330" width="11.7109375" style="322" customWidth="1"/>
    <col min="3331" max="3331" width="9.85546875" style="322" customWidth="1"/>
    <col min="3332" max="3332" width="53.5703125" style="322" customWidth="1"/>
    <col min="3333" max="3580" width="9.140625" style="322"/>
    <col min="3581" max="3581" width="6.42578125" style="322" customWidth="1"/>
    <col min="3582" max="3582" width="30.28515625" style="322" customWidth="1"/>
    <col min="3583" max="3583" width="9.5703125" style="322" customWidth="1"/>
    <col min="3584" max="3584" width="10.5703125" style="322" customWidth="1"/>
    <col min="3585" max="3585" width="10.28515625" style="322" customWidth="1"/>
    <col min="3586" max="3586" width="11.7109375" style="322" customWidth="1"/>
    <col min="3587" max="3587" width="9.85546875" style="322" customWidth="1"/>
    <col min="3588" max="3588" width="53.5703125" style="322" customWidth="1"/>
    <col min="3589" max="3836" width="9.140625" style="322"/>
    <col min="3837" max="3837" width="6.42578125" style="322" customWidth="1"/>
    <col min="3838" max="3838" width="30.28515625" style="322" customWidth="1"/>
    <col min="3839" max="3839" width="9.5703125" style="322" customWidth="1"/>
    <col min="3840" max="3840" width="10.5703125" style="322" customWidth="1"/>
    <col min="3841" max="3841" width="10.28515625" style="322" customWidth="1"/>
    <col min="3842" max="3842" width="11.7109375" style="322" customWidth="1"/>
    <col min="3843" max="3843" width="9.85546875" style="322" customWidth="1"/>
    <col min="3844" max="3844" width="53.5703125" style="322" customWidth="1"/>
    <col min="3845" max="4092" width="9.140625" style="322"/>
    <col min="4093" max="4093" width="6.42578125" style="322" customWidth="1"/>
    <col min="4094" max="4094" width="30.28515625" style="322" customWidth="1"/>
    <col min="4095" max="4095" width="9.5703125" style="322" customWidth="1"/>
    <col min="4096" max="4096" width="10.5703125" style="322" customWidth="1"/>
    <col min="4097" max="4097" width="10.28515625" style="322" customWidth="1"/>
    <col min="4098" max="4098" width="11.7109375" style="322" customWidth="1"/>
    <col min="4099" max="4099" width="9.85546875" style="322" customWidth="1"/>
    <col min="4100" max="4100" width="53.5703125" style="322" customWidth="1"/>
    <col min="4101" max="4348" width="9.140625" style="322"/>
    <col min="4349" max="4349" width="6.42578125" style="322" customWidth="1"/>
    <col min="4350" max="4350" width="30.28515625" style="322" customWidth="1"/>
    <col min="4351" max="4351" width="9.5703125" style="322" customWidth="1"/>
    <col min="4352" max="4352" width="10.5703125" style="322" customWidth="1"/>
    <col min="4353" max="4353" width="10.28515625" style="322" customWidth="1"/>
    <col min="4354" max="4354" width="11.7109375" style="322" customWidth="1"/>
    <col min="4355" max="4355" width="9.85546875" style="322" customWidth="1"/>
    <col min="4356" max="4356" width="53.5703125" style="322" customWidth="1"/>
    <col min="4357" max="4604" width="9.140625" style="322"/>
    <col min="4605" max="4605" width="6.42578125" style="322" customWidth="1"/>
    <col min="4606" max="4606" width="30.28515625" style="322" customWidth="1"/>
    <col min="4607" max="4607" width="9.5703125" style="322" customWidth="1"/>
    <col min="4608" max="4608" width="10.5703125" style="322" customWidth="1"/>
    <col min="4609" max="4609" width="10.28515625" style="322" customWidth="1"/>
    <col min="4610" max="4610" width="11.7109375" style="322" customWidth="1"/>
    <col min="4611" max="4611" width="9.85546875" style="322" customWidth="1"/>
    <col min="4612" max="4612" width="53.5703125" style="322" customWidth="1"/>
    <col min="4613" max="4860" width="9.140625" style="322"/>
    <col min="4861" max="4861" width="6.42578125" style="322" customWidth="1"/>
    <col min="4862" max="4862" width="30.28515625" style="322" customWidth="1"/>
    <col min="4863" max="4863" width="9.5703125" style="322" customWidth="1"/>
    <col min="4864" max="4864" width="10.5703125" style="322" customWidth="1"/>
    <col min="4865" max="4865" width="10.28515625" style="322" customWidth="1"/>
    <col min="4866" max="4866" width="11.7109375" style="322" customWidth="1"/>
    <col min="4867" max="4867" width="9.85546875" style="322" customWidth="1"/>
    <col min="4868" max="4868" width="53.5703125" style="322" customWidth="1"/>
    <col min="4869" max="5116" width="9.140625" style="322"/>
    <col min="5117" max="5117" width="6.42578125" style="322" customWidth="1"/>
    <col min="5118" max="5118" width="30.28515625" style="322" customWidth="1"/>
    <col min="5119" max="5119" width="9.5703125" style="322" customWidth="1"/>
    <col min="5120" max="5120" width="10.5703125" style="322" customWidth="1"/>
    <col min="5121" max="5121" width="10.28515625" style="322" customWidth="1"/>
    <col min="5122" max="5122" width="11.7109375" style="322" customWidth="1"/>
    <col min="5123" max="5123" width="9.85546875" style="322" customWidth="1"/>
    <col min="5124" max="5124" width="53.5703125" style="322" customWidth="1"/>
    <col min="5125" max="5372" width="9.140625" style="322"/>
    <col min="5373" max="5373" width="6.42578125" style="322" customWidth="1"/>
    <col min="5374" max="5374" width="30.28515625" style="322" customWidth="1"/>
    <col min="5375" max="5375" width="9.5703125" style="322" customWidth="1"/>
    <col min="5376" max="5376" width="10.5703125" style="322" customWidth="1"/>
    <col min="5377" max="5377" width="10.28515625" style="322" customWidth="1"/>
    <col min="5378" max="5378" width="11.7109375" style="322" customWidth="1"/>
    <col min="5379" max="5379" width="9.85546875" style="322" customWidth="1"/>
    <col min="5380" max="5380" width="53.5703125" style="322" customWidth="1"/>
    <col min="5381" max="5628" width="9.140625" style="322"/>
    <col min="5629" max="5629" width="6.42578125" style="322" customWidth="1"/>
    <col min="5630" max="5630" width="30.28515625" style="322" customWidth="1"/>
    <col min="5631" max="5631" width="9.5703125" style="322" customWidth="1"/>
    <col min="5632" max="5632" width="10.5703125" style="322" customWidth="1"/>
    <col min="5633" max="5633" width="10.28515625" style="322" customWidth="1"/>
    <col min="5634" max="5634" width="11.7109375" style="322" customWidth="1"/>
    <col min="5635" max="5635" width="9.85546875" style="322" customWidth="1"/>
    <col min="5636" max="5636" width="53.5703125" style="322" customWidth="1"/>
    <col min="5637" max="5884" width="9.140625" style="322"/>
    <col min="5885" max="5885" width="6.42578125" style="322" customWidth="1"/>
    <col min="5886" max="5886" width="30.28515625" style="322" customWidth="1"/>
    <col min="5887" max="5887" width="9.5703125" style="322" customWidth="1"/>
    <col min="5888" max="5888" width="10.5703125" style="322" customWidth="1"/>
    <col min="5889" max="5889" width="10.28515625" style="322" customWidth="1"/>
    <col min="5890" max="5890" width="11.7109375" style="322" customWidth="1"/>
    <col min="5891" max="5891" width="9.85546875" style="322" customWidth="1"/>
    <col min="5892" max="5892" width="53.5703125" style="322" customWidth="1"/>
    <col min="5893" max="6140" width="9.140625" style="322"/>
    <col min="6141" max="6141" width="6.42578125" style="322" customWidth="1"/>
    <col min="6142" max="6142" width="30.28515625" style="322" customWidth="1"/>
    <col min="6143" max="6143" width="9.5703125" style="322" customWidth="1"/>
    <col min="6144" max="6144" width="10.5703125" style="322" customWidth="1"/>
    <col min="6145" max="6145" width="10.28515625" style="322" customWidth="1"/>
    <col min="6146" max="6146" width="11.7109375" style="322" customWidth="1"/>
    <col min="6147" max="6147" width="9.85546875" style="322" customWidth="1"/>
    <col min="6148" max="6148" width="53.5703125" style="322" customWidth="1"/>
    <col min="6149" max="6396" width="9.140625" style="322"/>
    <col min="6397" max="6397" width="6.42578125" style="322" customWidth="1"/>
    <col min="6398" max="6398" width="30.28515625" style="322" customWidth="1"/>
    <col min="6399" max="6399" width="9.5703125" style="322" customWidth="1"/>
    <col min="6400" max="6400" width="10.5703125" style="322" customWidth="1"/>
    <col min="6401" max="6401" width="10.28515625" style="322" customWidth="1"/>
    <col min="6402" max="6402" width="11.7109375" style="322" customWidth="1"/>
    <col min="6403" max="6403" width="9.85546875" style="322" customWidth="1"/>
    <col min="6404" max="6404" width="53.5703125" style="322" customWidth="1"/>
    <col min="6405" max="6652" width="9.140625" style="322"/>
    <col min="6653" max="6653" width="6.42578125" style="322" customWidth="1"/>
    <col min="6654" max="6654" width="30.28515625" style="322" customWidth="1"/>
    <col min="6655" max="6655" width="9.5703125" style="322" customWidth="1"/>
    <col min="6656" max="6656" width="10.5703125" style="322" customWidth="1"/>
    <col min="6657" max="6657" width="10.28515625" style="322" customWidth="1"/>
    <col min="6658" max="6658" width="11.7109375" style="322" customWidth="1"/>
    <col min="6659" max="6659" width="9.85546875" style="322" customWidth="1"/>
    <col min="6660" max="6660" width="53.5703125" style="322" customWidth="1"/>
    <col min="6661" max="6908" width="9.140625" style="322"/>
    <col min="6909" max="6909" width="6.42578125" style="322" customWidth="1"/>
    <col min="6910" max="6910" width="30.28515625" style="322" customWidth="1"/>
    <col min="6911" max="6911" width="9.5703125" style="322" customWidth="1"/>
    <col min="6912" max="6912" width="10.5703125" style="322" customWidth="1"/>
    <col min="6913" max="6913" width="10.28515625" style="322" customWidth="1"/>
    <col min="6914" max="6914" width="11.7109375" style="322" customWidth="1"/>
    <col min="6915" max="6915" width="9.85546875" style="322" customWidth="1"/>
    <col min="6916" max="6916" width="53.5703125" style="322" customWidth="1"/>
    <col min="6917" max="7164" width="9.140625" style="322"/>
    <col min="7165" max="7165" width="6.42578125" style="322" customWidth="1"/>
    <col min="7166" max="7166" width="30.28515625" style="322" customWidth="1"/>
    <col min="7167" max="7167" width="9.5703125" style="322" customWidth="1"/>
    <col min="7168" max="7168" width="10.5703125" style="322" customWidth="1"/>
    <col min="7169" max="7169" width="10.28515625" style="322" customWidth="1"/>
    <col min="7170" max="7170" width="11.7109375" style="322" customWidth="1"/>
    <col min="7171" max="7171" width="9.85546875" style="322" customWidth="1"/>
    <col min="7172" max="7172" width="53.5703125" style="322" customWidth="1"/>
    <col min="7173" max="7420" width="9.140625" style="322"/>
    <col min="7421" max="7421" width="6.42578125" style="322" customWidth="1"/>
    <col min="7422" max="7422" width="30.28515625" style="322" customWidth="1"/>
    <col min="7423" max="7423" width="9.5703125" style="322" customWidth="1"/>
    <col min="7424" max="7424" width="10.5703125" style="322" customWidth="1"/>
    <col min="7425" max="7425" width="10.28515625" style="322" customWidth="1"/>
    <col min="7426" max="7426" width="11.7109375" style="322" customWidth="1"/>
    <col min="7427" max="7427" width="9.85546875" style="322" customWidth="1"/>
    <col min="7428" max="7428" width="53.5703125" style="322" customWidth="1"/>
    <col min="7429" max="7676" width="9.140625" style="322"/>
    <col min="7677" max="7677" width="6.42578125" style="322" customWidth="1"/>
    <col min="7678" max="7678" width="30.28515625" style="322" customWidth="1"/>
    <col min="7679" max="7679" width="9.5703125" style="322" customWidth="1"/>
    <col min="7680" max="7680" width="10.5703125" style="322" customWidth="1"/>
    <col min="7681" max="7681" width="10.28515625" style="322" customWidth="1"/>
    <col min="7682" max="7682" width="11.7109375" style="322" customWidth="1"/>
    <col min="7683" max="7683" width="9.85546875" style="322" customWidth="1"/>
    <col min="7684" max="7684" width="53.5703125" style="322" customWidth="1"/>
    <col min="7685" max="7932" width="9.140625" style="322"/>
    <col min="7933" max="7933" width="6.42578125" style="322" customWidth="1"/>
    <col min="7934" max="7934" width="30.28515625" style="322" customWidth="1"/>
    <col min="7935" max="7935" width="9.5703125" style="322" customWidth="1"/>
    <col min="7936" max="7936" width="10.5703125" style="322" customWidth="1"/>
    <col min="7937" max="7937" width="10.28515625" style="322" customWidth="1"/>
    <col min="7938" max="7938" width="11.7109375" style="322" customWidth="1"/>
    <col min="7939" max="7939" width="9.85546875" style="322" customWidth="1"/>
    <col min="7940" max="7940" width="53.5703125" style="322" customWidth="1"/>
    <col min="7941" max="8188" width="9.140625" style="322"/>
    <col min="8189" max="8189" width="6.42578125" style="322" customWidth="1"/>
    <col min="8190" max="8190" width="30.28515625" style="322" customWidth="1"/>
    <col min="8191" max="8191" width="9.5703125" style="322" customWidth="1"/>
    <col min="8192" max="8192" width="10.5703125" style="322" customWidth="1"/>
    <col min="8193" max="8193" width="10.28515625" style="322" customWidth="1"/>
    <col min="8194" max="8194" width="11.7109375" style="322" customWidth="1"/>
    <col min="8195" max="8195" width="9.85546875" style="322" customWidth="1"/>
    <col min="8196" max="8196" width="53.5703125" style="322" customWidth="1"/>
    <col min="8197" max="8444" width="9.140625" style="322"/>
    <col min="8445" max="8445" width="6.42578125" style="322" customWidth="1"/>
    <col min="8446" max="8446" width="30.28515625" style="322" customWidth="1"/>
    <col min="8447" max="8447" width="9.5703125" style="322" customWidth="1"/>
    <col min="8448" max="8448" width="10.5703125" style="322" customWidth="1"/>
    <col min="8449" max="8449" width="10.28515625" style="322" customWidth="1"/>
    <col min="8450" max="8450" width="11.7109375" style="322" customWidth="1"/>
    <col min="8451" max="8451" width="9.85546875" style="322" customWidth="1"/>
    <col min="8452" max="8452" width="53.5703125" style="322" customWidth="1"/>
    <col min="8453" max="8700" width="9.140625" style="322"/>
    <col min="8701" max="8701" width="6.42578125" style="322" customWidth="1"/>
    <col min="8702" max="8702" width="30.28515625" style="322" customWidth="1"/>
    <col min="8703" max="8703" width="9.5703125" style="322" customWidth="1"/>
    <col min="8704" max="8704" width="10.5703125" style="322" customWidth="1"/>
    <col min="8705" max="8705" width="10.28515625" style="322" customWidth="1"/>
    <col min="8706" max="8706" width="11.7109375" style="322" customWidth="1"/>
    <col min="8707" max="8707" width="9.85546875" style="322" customWidth="1"/>
    <col min="8708" max="8708" width="53.5703125" style="322" customWidth="1"/>
    <col min="8709" max="8956" width="9.140625" style="322"/>
    <col min="8957" max="8957" width="6.42578125" style="322" customWidth="1"/>
    <col min="8958" max="8958" width="30.28515625" style="322" customWidth="1"/>
    <col min="8959" max="8959" width="9.5703125" style="322" customWidth="1"/>
    <col min="8960" max="8960" width="10.5703125" style="322" customWidth="1"/>
    <col min="8961" max="8961" width="10.28515625" style="322" customWidth="1"/>
    <col min="8962" max="8962" width="11.7109375" style="322" customWidth="1"/>
    <col min="8963" max="8963" width="9.85546875" style="322" customWidth="1"/>
    <col min="8964" max="8964" width="53.5703125" style="322" customWidth="1"/>
    <col min="8965" max="9212" width="9.140625" style="322"/>
    <col min="9213" max="9213" width="6.42578125" style="322" customWidth="1"/>
    <col min="9214" max="9214" width="30.28515625" style="322" customWidth="1"/>
    <col min="9215" max="9215" width="9.5703125" style="322" customWidth="1"/>
    <col min="9216" max="9216" width="10.5703125" style="322" customWidth="1"/>
    <col min="9217" max="9217" width="10.28515625" style="322" customWidth="1"/>
    <col min="9218" max="9218" width="11.7109375" style="322" customWidth="1"/>
    <col min="9219" max="9219" width="9.85546875" style="322" customWidth="1"/>
    <col min="9220" max="9220" width="53.5703125" style="322" customWidth="1"/>
    <col min="9221" max="9468" width="9.140625" style="322"/>
    <col min="9469" max="9469" width="6.42578125" style="322" customWidth="1"/>
    <col min="9470" max="9470" width="30.28515625" style="322" customWidth="1"/>
    <col min="9471" max="9471" width="9.5703125" style="322" customWidth="1"/>
    <col min="9472" max="9472" width="10.5703125" style="322" customWidth="1"/>
    <col min="9473" max="9473" width="10.28515625" style="322" customWidth="1"/>
    <col min="9474" max="9474" width="11.7109375" style="322" customWidth="1"/>
    <col min="9475" max="9475" width="9.85546875" style="322" customWidth="1"/>
    <col min="9476" max="9476" width="53.5703125" style="322" customWidth="1"/>
    <col min="9477" max="9724" width="9.140625" style="322"/>
    <col min="9725" max="9725" width="6.42578125" style="322" customWidth="1"/>
    <col min="9726" max="9726" width="30.28515625" style="322" customWidth="1"/>
    <col min="9727" max="9727" width="9.5703125" style="322" customWidth="1"/>
    <col min="9728" max="9728" width="10.5703125" style="322" customWidth="1"/>
    <col min="9729" max="9729" width="10.28515625" style="322" customWidth="1"/>
    <col min="9730" max="9730" width="11.7109375" style="322" customWidth="1"/>
    <col min="9731" max="9731" width="9.85546875" style="322" customWidth="1"/>
    <col min="9732" max="9732" width="53.5703125" style="322" customWidth="1"/>
    <col min="9733" max="9980" width="9.140625" style="322"/>
    <col min="9981" max="9981" width="6.42578125" style="322" customWidth="1"/>
    <col min="9982" max="9982" width="30.28515625" style="322" customWidth="1"/>
    <col min="9983" max="9983" width="9.5703125" style="322" customWidth="1"/>
    <col min="9984" max="9984" width="10.5703125" style="322" customWidth="1"/>
    <col min="9985" max="9985" width="10.28515625" style="322" customWidth="1"/>
    <col min="9986" max="9986" width="11.7109375" style="322" customWidth="1"/>
    <col min="9987" max="9987" width="9.85546875" style="322" customWidth="1"/>
    <col min="9988" max="9988" width="53.5703125" style="322" customWidth="1"/>
    <col min="9989" max="10236" width="9.140625" style="322"/>
    <col min="10237" max="10237" width="6.42578125" style="322" customWidth="1"/>
    <col min="10238" max="10238" width="30.28515625" style="322" customWidth="1"/>
    <col min="10239" max="10239" width="9.5703125" style="322" customWidth="1"/>
    <col min="10240" max="10240" width="10.5703125" style="322" customWidth="1"/>
    <col min="10241" max="10241" width="10.28515625" style="322" customWidth="1"/>
    <col min="10242" max="10242" width="11.7109375" style="322" customWidth="1"/>
    <col min="10243" max="10243" width="9.85546875" style="322" customWidth="1"/>
    <col min="10244" max="10244" width="53.5703125" style="322" customWidth="1"/>
    <col min="10245" max="10492" width="9.140625" style="322"/>
    <col min="10493" max="10493" width="6.42578125" style="322" customWidth="1"/>
    <col min="10494" max="10494" width="30.28515625" style="322" customWidth="1"/>
    <col min="10495" max="10495" width="9.5703125" style="322" customWidth="1"/>
    <col min="10496" max="10496" width="10.5703125" style="322" customWidth="1"/>
    <col min="10497" max="10497" width="10.28515625" style="322" customWidth="1"/>
    <col min="10498" max="10498" width="11.7109375" style="322" customWidth="1"/>
    <col min="10499" max="10499" width="9.85546875" style="322" customWidth="1"/>
    <col min="10500" max="10500" width="53.5703125" style="322" customWidth="1"/>
    <col min="10501" max="10748" width="9.140625" style="322"/>
    <col min="10749" max="10749" width="6.42578125" style="322" customWidth="1"/>
    <col min="10750" max="10750" width="30.28515625" style="322" customWidth="1"/>
    <col min="10751" max="10751" width="9.5703125" style="322" customWidth="1"/>
    <col min="10752" max="10752" width="10.5703125" style="322" customWidth="1"/>
    <col min="10753" max="10753" width="10.28515625" style="322" customWidth="1"/>
    <col min="10754" max="10754" width="11.7109375" style="322" customWidth="1"/>
    <col min="10755" max="10755" width="9.85546875" style="322" customWidth="1"/>
    <col min="10756" max="10756" width="53.5703125" style="322" customWidth="1"/>
    <col min="10757" max="11004" width="9.140625" style="322"/>
    <col min="11005" max="11005" width="6.42578125" style="322" customWidth="1"/>
    <col min="11006" max="11006" width="30.28515625" style="322" customWidth="1"/>
    <col min="11007" max="11007" width="9.5703125" style="322" customWidth="1"/>
    <col min="11008" max="11008" width="10.5703125" style="322" customWidth="1"/>
    <col min="11009" max="11009" width="10.28515625" style="322" customWidth="1"/>
    <col min="11010" max="11010" width="11.7109375" style="322" customWidth="1"/>
    <col min="11011" max="11011" width="9.85546875" style="322" customWidth="1"/>
    <col min="11012" max="11012" width="53.5703125" style="322" customWidth="1"/>
    <col min="11013" max="11260" width="9.140625" style="322"/>
    <col min="11261" max="11261" width="6.42578125" style="322" customWidth="1"/>
    <col min="11262" max="11262" width="30.28515625" style="322" customWidth="1"/>
    <col min="11263" max="11263" width="9.5703125" style="322" customWidth="1"/>
    <col min="11264" max="11264" width="10.5703125" style="322" customWidth="1"/>
    <col min="11265" max="11265" width="10.28515625" style="322" customWidth="1"/>
    <col min="11266" max="11266" width="11.7109375" style="322" customWidth="1"/>
    <col min="11267" max="11267" width="9.85546875" style="322" customWidth="1"/>
    <col min="11268" max="11268" width="53.5703125" style="322" customWidth="1"/>
    <col min="11269" max="11516" width="9.140625" style="322"/>
    <col min="11517" max="11517" width="6.42578125" style="322" customWidth="1"/>
    <col min="11518" max="11518" width="30.28515625" style="322" customWidth="1"/>
    <col min="11519" max="11519" width="9.5703125" style="322" customWidth="1"/>
    <col min="11520" max="11520" width="10.5703125" style="322" customWidth="1"/>
    <col min="11521" max="11521" width="10.28515625" style="322" customWidth="1"/>
    <col min="11522" max="11522" width="11.7109375" style="322" customWidth="1"/>
    <col min="11523" max="11523" width="9.85546875" style="322" customWidth="1"/>
    <col min="11524" max="11524" width="53.5703125" style="322" customWidth="1"/>
    <col min="11525" max="11772" width="9.140625" style="322"/>
    <col min="11773" max="11773" width="6.42578125" style="322" customWidth="1"/>
    <col min="11774" max="11774" width="30.28515625" style="322" customWidth="1"/>
    <col min="11775" max="11775" width="9.5703125" style="322" customWidth="1"/>
    <col min="11776" max="11776" width="10.5703125" style="322" customWidth="1"/>
    <col min="11777" max="11777" width="10.28515625" style="322" customWidth="1"/>
    <col min="11778" max="11778" width="11.7109375" style="322" customWidth="1"/>
    <col min="11779" max="11779" width="9.85546875" style="322" customWidth="1"/>
    <col min="11780" max="11780" width="53.5703125" style="322" customWidth="1"/>
    <col min="11781" max="12028" width="9.140625" style="322"/>
    <col min="12029" max="12029" width="6.42578125" style="322" customWidth="1"/>
    <col min="12030" max="12030" width="30.28515625" style="322" customWidth="1"/>
    <col min="12031" max="12031" width="9.5703125" style="322" customWidth="1"/>
    <col min="12032" max="12032" width="10.5703125" style="322" customWidth="1"/>
    <col min="12033" max="12033" width="10.28515625" style="322" customWidth="1"/>
    <col min="12034" max="12034" width="11.7109375" style="322" customWidth="1"/>
    <col min="12035" max="12035" width="9.85546875" style="322" customWidth="1"/>
    <col min="12036" max="12036" width="53.5703125" style="322" customWidth="1"/>
    <col min="12037" max="12284" width="9.140625" style="322"/>
    <col min="12285" max="12285" width="6.42578125" style="322" customWidth="1"/>
    <col min="12286" max="12286" width="30.28515625" style="322" customWidth="1"/>
    <col min="12287" max="12287" width="9.5703125" style="322" customWidth="1"/>
    <col min="12288" max="12288" width="10.5703125" style="322" customWidth="1"/>
    <col min="12289" max="12289" width="10.28515625" style="322" customWidth="1"/>
    <col min="12290" max="12290" width="11.7109375" style="322" customWidth="1"/>
    <col min="12291" max="12291" width="9.85546875" style="322" customWidth="1"/>
    <col min="12292" max="12292" width="53.5703125" style="322" customWidth="1"/>
    <col min="12293" max="12540" width="9.140625" style="322"/>
    <col min="12541" max="12541" width="6.42578125" style="322" customWidth="1"/>
    <col min="12542" max="12542" width="30.28515625" style="322" customWidth="1"/>
    <col min="12543" max="12543" width="9.5703125" style="322" customWidth="1"/>
    <col min="12544" max="12544" width="10.5703125" style="322" customWidth="1"/>
    <col min="12545" max="12545" width="10.28515625" style="322" customWidth="1"/>
    <col min="12546" max="12546" width="11.7109375" style="322" customWidth="1"/>
    <col min="12547" max="12547" width="9.85546875" style="322" customWidth="1"/>
    <col min="12548" max="12548" width="53.5703125" style="322" customWidth="1"/>
    <col min="12549" max="12796" width="9.140625" style="322"/>
    <col min="12797" max="12797" width="6.42578125" style="322" customWidth="1"/>
    <col min="12798" max="12798" width="30.28515625" style="322" customWidth="1"/>
    <col min="12799" max="12799" width="9.5703125" style="322" customWidth="1"/>
    <col min="12800" max="12800" width="10.5703125" style="322" customWidth="1"/>
    <col min="12801" max="12801" width="10.28515625" style="322" customWidth="1"/>
    <col min="12802" max="12802" width="11.7109375" style="322" customWidth="1"/>
    <col min="12803" max="12803" width="9.85546875" style="322" customWidth="1"/>
    <col min="12804" max="12804" width="53.5703125" style="322" customWidth="1"/>
    <col min="12805" max="13052" width="9.140625" style="322"/>
    <col min="13053" max="13053" width="6.42578125" style="322" customWidth="1"/>
    <col min="13054" max="13054" width="30.28515625" style="322" customWidth="1"/>
    <col min="13055" max="13055" width="9.5703125" style="322" customWidth="1"/>
    <col min="13056" max="13056" width="10.5703125" style="322" customWidth="1"/>
    <col min="13057" max="13057" width="10.28515625" style="322" customWidth="1"/>
    <col min="13058" max="13058" width="11.7109375" style="322" customWidth="1"/>
    <col min="13059" max="13059" width="9.85546875" style="322" customWidth="1"/>
    <col min="13060" max="13060" width="53.5703125" style="322" customWidth="1"/>
    <col min="13061" max="13308" width="9.140625" style="322"/>
    <col min="13309" max="13309" width="6.42578125" style="322" customWidth="1"/>
    <col min="13310" max="13310" width="30.28515625" style="322" customWidth="1"/>
    <col min="13311" max="13311" width="9.5703125" style="322" customWidth="1"/>
    <col min="13312" max="13312" width="10.5703125" style="322" customWidth="1"/>
    <col min="13313" max="13313" width="10.28515625" style="322" customWidth="1"/>
    <col min="13314" max="13314" width="11.7109375" style="322" customWidth="1"/>
    <col min="13315" max="13315" width="9.85546875" style="322" customWidth="1"/>
    <col min="13316" max="13316" width="53.5703125" style="322" customWidth="1"/>
    <col min="13317" max="13564" width="9.140625" style="322"/>
    <col min="13565" max="13565" width="6.42578125" style="322" customWidth="1"/>
    <col min="13566" max="13566" width="30.28515625" style="322" customWidth="1"/>
    <col min="13567" max="13567" width="9.5703125" style="322" customWidth="1"/>
    <col min="13568" max="13568" width="10.5703125" style="322" customWidth="1"/>
    <col min="13569" max="13569" width="10.28515625" style="322" customWidth="1"/>
    <col min="13570" max="13570" width="11.7109375" style="322" customWidth="1"/>
    <col min="13571" max="13571" width="9.85546875" style="322" customWidth="1"/>
    <col min="13572" max="13572" width="53.5703125" style="322" customWidth="1"/>
    <col min="13573" max="13820" width="9.140625" style="322"/>
    <col min="13821" max="13821" width="6.42578125" style="322" customWidth="1"/>
    <col min="13822" max="13822" width="30.28515625" style="322" customWidth="1"/>
    <col min="13823" max="13823" width="9.5703125" style="322" customWidth="1"/>
    <col min="13824" max="13824" width="10.5703125" style="322" customWidth="1"/>
    <col min="13825" max="13825" width="10.28515625" style="322" customWidth="1"/>
    <col min="13826" max="13826" width="11.7109375" style="322" customWidth="1"/>
    <col min="13827" max="13827" width="9.85546875" style="322" customWidth="1"/>
    <col min="13828" max="13828" width="53.5703125" style="322" customWidth="1"/>
    <col min="13829" max="14076" width="9.140625" style="322"/>
    <col min="14077" max="14077" width="6.42578125" style="322" customWidth="1"/>
    <col min="14078" max="14078" width="30.28515625" style="322" customWidth="1"/>
    <col min="14079" max="14079" width="9.5703125" style="322" customWidth="1"/>
    <col min="14080" max="14080" width="10.5703125" style="322" customWidth="1"/>
    <col min="14081" max="14081" width="10.28515625" style="322" customWidth="1"/>
    <col min="14082" max="14082" width="11.7109375" style="322" customWidth="1"/>
    <col min="14083" max="14083" width="9.85546875" style="322" customWidth="1"/>
    <col min="14084" max="14084" width="53.5703125" style="322" customWidth="1"/>
    <col min="14085" max="14332" width="9.140625" style="322"/>
    <col min="14333" max="14333" width="6.42578125" style="322" customWidth="1"/>
    <col min="14334" max="14334" width="30.28515625" style="322" customWidth="1"/>
    <col min="14335" max="14335" width="9.5703125" style="322" customWidth="1"/>
    <col min="14336" max="14336" width="10.5703125" style="322" customWidth="1"/>
    <col min="14337" max="14337" width="10.28515625" style="322" customWidth="1"/>
    <col min="14338" max="14338" width="11.7109375" style="322" customWidth="1"/>
    <col min="14339" max="14339" width="9.85546875" style="322" customWidth="1"/>
    <col min="14340" max="14340" width="53.5703125" style="322" customWidth="1"/>
    <col min="14341" max="14588" width="9.140625" style="322"/>
    <col min="14589" max="14589" width="6.42578125" style="322" customWidth="1"/>
    <col min="14590" max="14590" width="30.28515625" style="322" customWidth="1"/>
    <col min="14591" max="14591" width="9.5703125" style="322" customWidth="1"/>
    <col min="14592" max="14592" width="10.5703125" style="322" customWidth="1"/>
    <col min="14593" max="14593" width="10.28515625" style="322" customWidth="1"/>
    <col min="14594" max="14594" width="11.7109375" style="322" customWidth="1"/>
    <col min="14595" max="14595" width="9.85546875" style="322" customWidth="1"/>
    <col min="14596" max="14596" width="53.5703125" style="322" customWidth="1"/>
    <col min="14597" max="14844" width="9.140625" style="322"/>
    <col min="14845" max="14845" width="6.42578125" style="322" customWidth="1"/>
    <col min="14846" max="14846" width="30.28515625" style="322" customWidth="1"/>
    <col min="14847" max="14847" width="9.5703125" style="322" customWidth="1"/>
    <col min="14848" max="14848" width="10.5703125" style="322" customWidth="1"/>
    <col min="14849" max="14849" width="10.28515625" style="322" customWidth="1"/>
    <col min="14850" max="14850" width="11.7109375" style="322" customWidth="1"/>
    <col min="14851" max="14851" width="9.85546875" style="322" customWidth="1"/>
    <col min="14852" max="14852" width="53.5703125" style="322" customWidth="1"/>
    <col min="14853" max="15100" width="9.140625" style="322"/>
    <col min="15101" max="15101" width="6.42578125" style="322" customWidth="1"/>
    <col min="15102" max="15102" width="30.28515625" style="322" customWidth="1"/>
    <col min="15103" max="15103" width="9.5703125" style="322" customWidth="1"/>
    <col min="15104" max="15104" width="10.5703125" style="322" customWidth="1"/>
    <col min="15105" max="15105" width="10.28515625" style="322" customWidth="1"/>
    <col min="15106" max="15106" width="11.7109375" style="322" customWidth="1"/>
    <col min="15107" max="15107" width="9.85546875" style="322" customWidth="1"/>
    <col min="15108" max="15108" width="53.5703125" style="322" customWidth="1"/>
    <col min="15109" max="15356" width="9.140625" style="322"/>
    <col min="15357" max="15357" width="6.42578125" style="322" customWidth="1"/>
    <col min="15358" max="15358" width="30.28515625" style="322" customWidth="1"/>
    <col min="15359" max="15359" width="9.5703125" style="322" customWidth="1"/>
    <col min="15360" max="15360" width="10.5703125" style="322" customWidth="1"/>
    <col min="15361" max="15361" width="10.28515625" style="322" customWidth="1"/>
    <col min="15362" max="15362" width="11.7109375" style="322" customWidth="1"/>
    <col min="15363" max="15363" width="9.85546875" style="322" customWidth="1"/>
    <col min="15364" max="15364" width="53.5703125" style="322" customWidth="1"/>
    <col min="15365" max="15612" width="9.140625" style="322"/>
    <col min="15613" max="15613" width="6.42578125" style="322" customWidth="1"/>
    <col min="15614" max="15614" width="30.28515625" style="322" customWidth="1"/>
    <col min="15615" max="15615" width="9.5703125" style="322" customWidth="1"/>
    <col min="15616" max="15616" width="10.5703125" style="322" customWidth="1"/>
    <col min="15617" max="15617" width="10.28515625" style="322" customWidth="1"/>
    <col min="15618" max="15618" width="11.7109375" style="322" customWidth="1"/>
    <col min="15619" max="15619" width="9.85546875" style="322" customWidth="1"/>
    <col min="15620" max="15620" width="53.5703125" style="322" customWidth="1"/>
    <col min="15621" max="15868" width="9.140625" style="322"/>
    <col min="15869" max="15869" width="6.42578125" style="322" customWidth="1"/>
    <col min="15870" max="15870" width="30.28515625" style="322" customWidth="1"/>
    <col min="15871" max="15871" width="9.5703125" style="322" customWidth="1"/>
    <col min="15872" max="15872" width="10.5703125" style="322" customWidth="1"/>
    <col min="15873" max="15873" width="10.28515625" style="322" customWidth="1"/>
    <col min="15874" max="15874" width="11.7109375" style="322" customWidth="1"/>
    <col min="15875" max="15875" width="9.85546875" style="322" customWidth="1"/>
    <col min="15876" max="15876" width="53.5703125" style="322" customWidth="1"/>
    <col min="15877" max="16124" width="9.140625" style="322"/>
    <col min="16125" max="16125" width="6.42578125" style="322" customWidth="1"/>
    <col min="16126" max="16126" width="30.28515625" style="322" customWidth="1"/>
    <col min="16127" max="16127" width="9.5703125" style="322" customWidth="1"/>
    <col min="16128" max="16128" width="10.5703125" style="322" customWidth="1"/>
    <col min="16129" max="16129" width="10.28515625" style="322" customWidth="1"/>
    <col min="16130" max="16130" width="11.7109375" style="322" customWidth="1"/>
    <col min="16131" max="16131" width="9.85546875" style="322" customWidth="1"/>
    <col min="16132" max="16132" width="53.5703125" style="322" customWidth="1"/>
    <col min="16133" max="16384" width="9.140625" style="322"/>
  </cols>
  <sheetData>
    <row r="1" spans="1:7" ht="16.5" x14ac:dyDescent="0.25">
      <c r="B1" s="1034" t="s">
        <v>1210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6" spans="1:7" s="95" customFormat="1" ht="12" x14ac:dyDescent="0.2">
      <c r="A6" s="128" t="s">
        <v>298</v>
      </c>
      <c r="B6" s="128"/>
      <c r="C6" s="128"/>
      <c r="D6" s="128"/>
      <c r="E6" s="128"/>
      <c r="F6" s="128"/>
      <c r="G6" s="128"/>
    </row>
    <row r="7" spans="1:7" s="95" customFormat="1" ht="12" x14ac:dyDescent="0.2">
      <c r="A7" s="128"/>
      <c r="B7" s="128"/>
      <c r="C7" s="128"/>
      <c r="D7" s="128"/>
      <c r="E7" s="128"/>
      <c r="F7" s="128"/>
      <c r="G7" s="128"/>
    </row>
    <row r="8" spans="1:7" s="95" customFormat="1" ht="15.75" x14ac:dyDescent="0.25">
      <c r="A8" s="1070" t="s">
        <v>291</v>
      </c>
      <c r="B8" s="1070"/>
      <c r="C8" s="1070"/>
      <c r="D8" s="1070"/>
      <c r="E8" s="1070"/>
      <c r="F8" s="1070"/>
      <c r="G8" s="1070"/>
    </row>
    <row r="9" spans="1:7" s="95" customFormat="1" ht="15.75" x14ac:dyDescent="0.25">
      <c r="A9" s="300"/>
      <c r="B9" s="300"/>
      <c r="C9" s="476"/>
      <c r="D9" s="476"/>
      <c r="E9" s="476"/>
      <c r="F9" s="476"/>
      <c r="G9" s="476"/>
    </row>
    <row r="10" spans="1:7" s="95" customFormat="1" ht="15.75" x14ac:dyDescent="0.25">
      <c r="A10" s="333" t="s">
        <v>1206</v>
      </c>
      <c r="B10" s="333"/>
      <c r="C10" s="954"/>
      <c r="D10" s="954"/>
      <c r="E10" s="954"/>
      <c r="F10" s="954"/>
      <c r="G10" s="954"/>
    </row>
    <row r="11" spans="1:7" s="95" customFormat="1" ht="15.75" x14ac:dyDescent="0.25">
      <c r="A11" s="333"/>
      <c r="B11" s="333"/>
      <c r="C11" s="380"/>
      <c r="D11" s="380"/>
      <c r="E11" s="380"/>
      <c r="F11" s="380"/>
      <c r="G11" s="380"/>
    </row>
    <row r="12" spans="1:7" s="95" customFormat="1" ht="12" x14ac:dyDescent="0.2">
      <c r="A12" s="95" t="s">
        <v>1196</v>
      </c>
      <c r="C12" s="320"/>
      <c r="D12" s="320"/>
      <c r="E12" s="320"/>
      <c r="F12" s="320"/>
      <c r="G12" s="320"/>
    </row>
    <row r="13" spans="1:7" s="95" customFormat="1" ht="12" x14ac:dyDescent="0.2">
      <c r="A13" s="95" t="s">
        <v>1207</v>
      </c>
      <c r="C13" s="1084"/>
      <c r="D13" s="1084"/>
      <c r="E13" s="1084"/>
      <c r="F13" s="1084"/>
      <c r="G13" s="1084"/>
    </row>
    <row r="14" spans="1:7" s="95" customFormat="1" ht="12" x14ac:dyDescent="0.2">
      <c r="A14" s="1071" t="s">
        <v>1</v>
      </c>
      <c r="B14" s="1071" t="s">
        <v>2</v>
      </c>
      <c r="C14" s="1076" t="s">
        <v>26</v>
      </c>
      <c r="D14" s="1076" t="s">
        <v>27</v>
      </c>
      <c r="E14" s="1076" t="s">
        <v>299</v>
      </c>
      <c r="F14" s="1078" t="s">
        <v>6</v>
      </c>
      <c r="G14" s="1078" t="s">
        <v>1190</v>
      </c>
    </row>
    <row r="15" spans="1:7" s="95" customFormat="1" ht="24" customHeight="1" x14ac:dyDescent="0.2">
      <c r="A15" s="1071"/>
      <c r="B15" s="1071"/>
      <c r="C15" s="1076"/>
      <c r="D15" s="1076"/>
      <c r="E15" s="1076"/>
      <c r="F15" s="1079"/>
      <c r="G15" s="1079"/>
    </row>
    <row r="16" spans="1:7" s="95" customFormat="1" ht="12" x14ac:dyDescent="0.2">
      <c r="A16" s="1075" t="s">
        <v>884</v>
      </c>
      <c r="B16" s="1075"/>
      <c r="C16" s="243">
        <f>SUM(C17:C27)</f>
        <v>170666</v>
      </c>
      <c r="D16" s="243">
        <f>SUM(D17:D27)</f>
        <v>166187</v>
      </c>
      <c r="E16" s="243">
        <f>SUM(E17:E27)</f>
        <v>343236</v>
      </c>
      <c r="F16" s="243"/>
      <c r="G16" s="243">
        <f>SUM(G17:G27)</f>
        <v>248282</v>
      </c>
    </row>
    <row r="17" spans="1:7" s="95" customFormat="1" ht="12" x14ac:dyDescent="0.2">
      <c r="A17" s="1072">
        <v>1</v>
      </c>
      <c r="B17" s="1080" t="s">
        <v>885</v>
      </c>
      <c r="C17" s="866">
        <f>54070-25166</f>
        <v>28904</v>
      </c>
      <c r="D17" s="867">
        <v>28903</v>
      </c>
      <c r="E17" s="862">
        <f>27000+17332</f>
        <v>44332</v>
      </c>
      <c r="F17" s="863">
        <v>5110</v>
      </c>
      <c r="G17" s="862">
        <v>28900</v>
      </c>
    </row>
    <row r="18" spans="1:7" s="95" customFormat="1" ht="12" x14ac:dyDescent="0.2">
      <c r="A18" s="1073"/>
      <c r="B18" s="1081"/>
      <c r="C18" s="862">
        <f>1423+42687</f>
        <v>44110</v>
      </c>
      <c r="D18" s="862">
        <v>42045</v>
      </c>
      <c r="E18" s="862">
        <f>10000+24084</f>
        <v>34084</v>
      </c>
      <c r="F18" s="863">
        <v>2232</v>
      </c>
      <c r="G18" s="862">
        <v>48727</v>
      </c>
    </row>
    <row r="19" spans="1:7" s="95" customFormat="1" ht="12" x14ac:dyDescent="0.2">
      <c r="A19" s="1072">
        <v>2</v>
      </c>
      <c r="B19" s="1080" t="s">
        <v>886</v>
      </c>
      <c r="C19" s="862">
        <v>2950</v>
      </c>
      <c r="D19" s="862">
        <v>554</v>
      </c>
      <c r="E19" s="862">
        <f>6000+15000+18000</f>
        <v>39000</v>
      </c>
      <c r="F19" s="863">
        <v>2231</v>
      </c>
      <c r="G19" s="862">
        <f>6000+7500+2800+500+300+135+500+300-2800</f>
        <v>15235</v>
      </c>
    </row>
    <row r="20" spans="1:7" s="95" customFormat="1" ht="12" x14ac:dyDescent="0.2">
      <c r="A20" s="1073"/>
      <c r="B20" s="1081"/>
      <c r="C20" s="862">
        <f>1887-1357</f>
        <v>530</v>
      </c>
      <c r="D20" s="862">
        <v>530</v>
      </c>
      <c r="E20" s="862">
        <f>2000+50000+20000</f>
        <v>72000</v>
      </c>
      <c r="F20" s="863">
        <v>2314</v>
      </c>
      <c r="G20" s="862">
        <f>6000+1000+3000+6000+800+1000+1000+2800</f>
        <v>21600</v>
      </c>
    </row>
    <row r="21" spans="1:7" s="95" customFormat="1" ht="12" x14ac:dyDescent="0.2">
      <c r="A21" s="1073"/>
      <c r="B21" s="1081"/>
      <c r="C21" s="89">
        <v>0</v>
      </c>
      <c r="D21" s="89">
        <v>0</v>
      </c>
      <c r="E21" s="89">
        <v>43200</v>
      </c>
      <c r="F21" s="243">
        <v>3262</v>
      </c>
      <c r="G21" s="89">
        <v>43200</v>
      </c>
    </row>
    <row r="22" spans="1:7" s="95" customFormat="1" ht="12" x14ac:dyDescent="0.2">
      <c r="A22" s="142">
        <v>3</v>
      </c>
      <c r="B22" s="222" t="s">
        <v>887</v>
      </c>
      <c r="C22" s="89">
        <v>121</v>
      </c>
      <c r="D22" s="89">
        <f>ROUNDUP((103.89),0)</f>
        <v>104</v>
      </c>
      <c r="E22" s="89">
        <v>120</v>
      </c>
      <c r="F22" s="243">
        <v>2279</v>
      </c>
      <c r="G22" s="89">
        <v>120</v>
      </c>
    </row>
    <row r="23" spans="1:7" s="95" customFormat="1" ht="12" x14ac:dyDescent="0.2">
      <c r="A23" s="142">
        <v>4</v>
      </c>
      <c r="B23" s="53" t="s">
        <v>888</v>
      </c>
      <c r="C23" s="89">
        <v>7969</v>
      </c>
      <c r="D23" s="89">
        <v>7969</v>
      </c>
      <c r="E23" s="89">
        <v>4200</v>
      </c>
      <c r="F23" s="243">
        <v>2239</v>
      </c>
      <c r="G23" s="89">
        <v>4200</v>
      </c>
    </row>
    <row r="24" spans="1:7" s="95" customFormat="1" ht="12" x14ac:dyDescent="0.2">
      <c r="A24" s="334">
        <v>5</v>
      </c>
      <c r="B24" s="61" t="s">
        <v>889</v>
      </c>
      <c r="C24" s="89">
        <v>84659</v>
      </c>
      <c r="D24" s="89">
        <v>84659</v>
      </c>
      <c r="E24" s="89">
        <v>75000</v>
      </c>
      <c r="F24" s="243">
        <v>2279</v>
      </c>
      <c r="G24" s="89">
        <v>75000</v>
      </c>
    </row>
    <row r="25" spans="1:7" s="95" customFormat="1" ht="12" x14ac:dyDescent="0.2">
      <c r="A25" s="1072">
        <v>6</v>
      </c>
      <c r="B25" s="1082" t="s">
        <v>890</v>
      </c>
      <c r="C25" s="89">
        <v>1423</v>
      </c>
      <c r="D25" s="89">
        <v>1423</v>
      </c>
      <c r="E25" s="89">
        <v>2500</v>
      </c>
      <c r="F25" s="243">
        <v>2231</v>
      </c>
      <c r="G25" s="89">
        <v>1500</v>
      </c>
    </row>
    <row r="26" spans="1:7" s="95" customFormat="1" ht="12" x14ac:dyDescent="0.2">
      <c r="A26" s="1074"/>
      <c r="B26" s="1083"/>
      <c r="C26" s="89">
        <v>0</v>
      </c>
      <c r="D26" s="89">
        <v>0</v>
      </c>
      <c r="E26" s="89">
        <v>3800</v>
      </c>
      <c r="F26" s="243">
        <v>2239</v>
      </c>
      <c r="G26" s="89">
        <v>3800</v>
      </c>
    </row>
    <row r="27" spans="1:7" s="95" customFormat="1" ht="12" x14ac:dyDescent="0.2">
      <c r="A27" s="244">
        <v>7</v>
      </c>
      <c r="B27" s="51" t="s">
        <v>891</v>
      </c>
      <c r="C27" s="60">
        <v>0</v>
      </c>
      <c r="D27" s="60">
        <v>0</v>
      </c>
      <c r="E27" s="475">
        <v>25000</v>
      </c>
      <c r="F27" s="243">
        <v>2231</v>
      </c>
      <c r="G27" s="60">
        <v>6000</v>
      </c>
    </row>
    <row r="28" spans="1:7" s="95" customFormat="1" ht="12" x14ac:dyDescent="0.2">
      <c r="C28" s="315"/>
      <c r="D28" s="315"/>
      <c r="E28" s="315"/>
      <c r="F28" s="315"/>
      <c r="G28" s="315"/>
    </row>
    <row r="29" spans="1:7" s="95" customFormat="1" ht="12" x14ac:dyDescent="0.2">
      <c r="A29" s="335" t="s">
        <v>1208</v>
      </c>
      <c r="B29" s="335"/>
      <c r="C29" s="336"/>
      <c r="D29" s="336"/>
      <c r="E29" s="336"/>
      <c r="F29" s="336"/>
      <c r="G29" s="336"/>
    </row>
    <row r="30" spans="1:7" s="95" customFormat="1" ht="12" x14ac:dyDescent="0.2">
      <c r="A30" s="307" t="s">
        <v>1209</v>
      </c>
      <c r="B30" s="307"/>
      <c r="C30" s="1077"/>
      <c r="D30" s="1077"/>
      <c r="E30" s="1077"/>
      <c r="F30" s="1077"/>
      <c r="G30" s="1077"/>
    </row>
    <row r="31" spans="1:7" s="95" customFormat="1" ht="25.5" customHeight="1" x14ac:dyDescent="0.2">
      <c r="A31" s="1071" t="s">
        <v>1</v>
      </c>
      <c r="B31" s="1071" t="s">
        <v>2</v>
      </c>
      <c r="C31" s="1076" t="s">
        <v>26</v>
      </c>
      <c r="D31" s="1076" t="s">
        <v>27</v>
      </c>
      <c r="E31" s="1076" t="s">
        <v>299</v>
      </c>
      <c r="F31" s="1078" t="s">
        <v>6</v>
      </c>
      <c r="G31" s="1078" t="s">
        <v>165</v>
      </c>
    </row>
    <row r="32" spans="1:7" s="95" customFormat="1" ht="12.75" customHeight="1" x14ac:dyDescent="0.2">
      <c r="A32" s="1071"/>
      <c r="B32" s="1071"/>
      <c r="C32" s="1076"/>
      <c r="D32" s="1076"/>
      <c r="E32" s="1076"/>
      <c r="F32" s="1079"/>
      <c r="G32" s="1079"/>
    </row>
    <row r="33" spans="1:7" s="95" customFormat="1" ht="12" x14ac:dyDescent="0.2">
      <c r="A33" s="1075" t="s">
        <v>300</v>
      </c>
      <c r="B33" s="1075"/>
      <c r="C33" s="243">
        <f>SUM(C34:C39)</f>
        <v>1470255</v>
      </c>
      <c r="D33" s="243">
        <f>SUM(D34:D39)</f>
        <v>1439269</v>
      </c>
      <c r="E33" s="243">
        <f>SUM(E34:E39)</f>
        <v>1412520</v>
      </c>
      <c r="F33" s="243"/>
      <c r="G33" s="243">
        <f>SUM(G34:G39)</f>
        <v>1410435</v>
      </c>
    </row>
    <row r="34" spans="1:7" s="95" customFormat="1" ht="24" x14ac:dyDescent="0.2">
      <c r="A34" s="142">
        <v>1</v>
      </c>
      <c r="B34" s="61" t="s">
        <v>892</v>
      </c>
      <c r="C34" s="475">
        <f>1167685+55193+131027</f>
        <v>1353905</v>
      </c>
      <c r="D34" s="475">
        <v>1343905</v>
      </c>
      <c r="E34" s="475">
        <v>1300000</v>
      </c>
      <c r="F34" s="243">
        <v>3320</v>
      </c>
      <c r="G34" s="475">
        <v>1300000</v>
      </c>
    </row>
    <row r="35" spans="1:7" s="95" customFormat="1" ht="24" x14ac:dyDescent="0.2">
      <c r="A35" s="142">
        <v>2</v>
      </c>
      <c r="B35" s="61" t="s">
        <v>893</v>
      </c>
      <c r="C35" s="475">
        <v>113830</v>
      </c>
      <c r="D35" s="475">
        <v>92844</v>
      </c>
      <c r="E35" s="475">
        <v>95000</v>
      </c>
      <c r="F35" s="252">
        <v>3310</v>
      </c>
      <c r="G35" s="89">
        <v>95000</v>
      </c>
    </row>
    <row r="36" spans="1:7" s="95" customFormat="1" ht="12" x14ac:dyDescent="0.2">
      <c r="A36" s="142">
        <v>3</v>
      </c>
      <c r="B36" s="61" t="s">
        <v>894</v>
      </c>
      <c r="C36" s="475">
        <v>2135</v>
      </c>
      <c r="D36" s="475">
        <v>2135</v>
      </c>
      <c r="E36" s="475">
        <v>2135</v>
      </c>
      <c r="F36" s="252">
        <v>2232</v>
      </c>
      <c r="G36" s="89">
        <v>2135</v>
      </c>
    </row>
    <row r="37" spans="1:7" s="95" customFormat="1" ht="12" x14ac:dyDescent="0.2">
      <c r="A37" s="142">
        <v>4</v>
      </c>
      <c r="B37" s="61" t="s">
        <v>895</v>
      </c>
      <c r="C37" s="475">
        <v>385</v>
      </c>
      <c r="D37" s="475">
        <v>385</v>
      </c>
      <c r="E37" s="475">
        <v>385</v>
      </c>
      <c r="F37" s="252">
        <v>2312</v>
      </c>
      <c r="G37" s="89">
        <v>300</v>
      </c>
    </row>
    <row r="38" spans="1:7" s="95" customFormat="1" ht="12" x14ac:dyDescent="0.2">
      <c r="A38" s="142">
        <v>5</v>
      </c>
      <c r="B38" s="61" t="s">
        <v>896</v>
      </c>
      <c r="C38" s="475">
        <f>8609-8609</f>
        <v>0</v>
      </c>
      <c r="D38" s="475">
        <v>0</v>
      </c>
      <c r="E38" s="475">
        <v>8000</v>
      </c>
      <c r="F38" s="252">
        <v>5121</v>
      </c>
      <c r="G38" s="89">
        <v>7000</v>
      </c>
    </row>
    <row r="39" spans="1:7" s="95" customFormat="1" ht="12" x14ac:dyDescent="0.2">
      <c r="A39" s="142">
        <v>6</v>
      </c>
      <c r="B39" s="61" t="s">
        <v>897</v>
      </c>
      <c r="C39" s="475">
        <f>7115-7115</f>
        <v>0</v>
      </c>
      <c r="D39" s="475">
        <v>0</v>
      </c>
      <c r="E39" s="475">
        <v>7000</v>
      </c>
      <c r="F39" s="252">
        <v>5110</v>
      </c>
      <c r="G39" s="89">
        <v>6000</v>
      </c>
    </row>
    <row r="40" spans="1:7" s="95" customFormat="1" ht="12" x14ac:dyDescent="0.2">
      <c r="C40" s="315"/>
      <c r="D40" s="315"/>
      <c r="E40" s="315"/>
      <c r="F40" s="315"/>
      <c r="G40" s="315"/>
    </row>
  </sheetData>
  <sortState ref="C17:H24">
    <sortCondition ref="F17:F24"/>
  </sortState>
  <mergeCells count="26">
    <mergeCell ref="B1:G1"/>
    <mergeCell ref="A8:G8"/>
    <mergeCell ref="C13:G13"/>
    <mergeCell ref="A16:B16"/>
    <mergeCell ref="A17:A18"/>
    <mergeCell ref="B17:B18"/>
    <mergeCell ref="A14:A15"/>
    <mergeCell ref="B14:B15"/>
    <mergeCell ref="F14:F15"/>
    <mergeCell ref="G14:G15"/>
    <mergeCell ref="C14:C15"/>
    <mergeCell ref="D14:D15"/>
    <mergeCell ref="E14:E15"/>
    <mergeCell ref="C30:G30"/>
    <mergeCell ref="A33:B33"/>
    <mergeCell ref="F31:F32"/>
    <mergeCell ref="G31:G32"/>
    <mergeCell ref="A19:A21"/>
    <mergeCell ref="B19:B21"/>
    <mergeCell ref="A25:A26"/>
    <mergeCell ref="B25:B26"/>
    <mergeCell ref="A31:A32"/>
    <mergeCell ref="B31:B32"/>
    <mergeCell ref="C31:C32"/>
    <mergeCell ref="D31:D32"/>
    <mergeCell ref="E31:E32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FF99"/>
  </sheetPr>
  <dimension ref="A1:H56"/>
  <sheetViews>
    <sheetView zoomScaleNormal="100" workbookViewId="0">
      <selection activeCell="B2" sqref="B2"/>
    </sheetView>
  </sheetViews>
  <sheetFormatPr defaultRowHeight="12" x14ac:dyDescent="0.25"/>
  <cols>
    <col min="1" max="1" width="4.28515625" style="337" customWidth="1"/>
    <col min="2" max="2" width="63.5703125" style="337" customWidth="1"/>
    <col min="3" max="3" width="9.140625" style="337" hidden="1" customWidth="1"/>
    <col min="4" max="4" width="8.7109375" style="337" hidden="1" customWidth="1"/>
    <col min="5" max="5" width="10" style="337" hidden="1" customWidth="1"/>
    <col min="6" max="6" width="10.5703125" style="337" customWidth="1"/>
    <col min="7" max="7" width="9" style="337" customWidth="1"/>
    <col min="8" max="253" width="9.140625" style="337"/>
    <col min="254" max="254" width="4.28515625" style="337" customWidth="1"/>
    <col min="255" max="255" width="28.140625" style="337" customWidth="1"/>
    <col min="256" max="256" width="9.140625" style="337" customWidth="1"/>
    <col min="257" max="257" width="8.7109375" style="337" customWidth="1"/>
    <col min="258" max="258" width="10" style="337" customWidth="1"/>
    <col min="259" max="259" width="10.5703125" style="337" customWidth="1"/>
    <col min="260" max="260" width="9" style="337" customWidth="1"/>
    <col min="261" max="261" width="22" style="337" customWidth="1"/>
    <col min="262" max="509" width="9.140625" style="337"/>
    <col min="510" max="510" width="4.28515625" style="337" customWidth="1"/>
    <col min="511" max="511" width="28.140625" style="337" customWidth="1"/>
    <col min="512" max="512" width="9.140625" style="337" customWidth="1"/>
    <col min="513" max="513" width="8.7109375" style="337" customWidth="1"/>
    <col min="514" max="514" width="10" style="337" customWidth="1"/>
    <col min="515" max="515" width="10.5703125" style="337" customWidth="1"/>
    <col min="516" max="516" width="9" style="337" customWidth="1"/>
    <col min="517" max="517" width="22" style="337" customWidth="1"/>
    <col min="518" max="765" width="9.140625" style="337"/>
    <col min="766" max="766" width="4.28515625" style="337" customWidth="1"/>
    <col min="767" max="767" width="28.140625" style="337" customWidth="1"/>
    <col min="768" max="768" width="9.140625" style="337" customWidth="1"/>
    <col min="769" max="769" width="8.7109375" style="337" customWidth="1"/>
    <col min="770" max="770" width="10" style="337" customWidth="1"/>
    <col min="771" max="771" width="10.5703125" style="337" customWidth="1"/>
    <col min="772" max="772" width="9" style="337" customWidth="1"/>
    <col min="773" max="773" width="22" style="337" customWidth="1"/>
    <col min="774" max="1021" width="9.140625" style="337"/>
    <col min="1022" max="1022" width="4.28515625" style="337" customWidth="1"/>
    <col min="1023" max="1023" width="28.140625" style="337" customWidth="1"/>
    <col min="1024" max="1024" width="9.140625" style="337" customWidth="1"/>
    <col min="1025" max="1025" width="8.7109375" style="337" customWidth="1"/>
    <col min="1026" max="1026" width="10" style="337" customWidth="1"/>
    <col min="1027" max="1027" width="10.5703125" style="337" customWidth="1"/>
    <col min="1028" max="1028" width="9" style="337" customWidth="1"/>
    <col min="1029" max="1029" width="22" style="337" customWidth="1"/>
    <col min="1030" max="1277" width="9.140625" style="337"/>
    <col min="1278" max="1278" width="4.28515625" style="337" customWidth="1"/>
    <col min="1279" max="1279" width="28.140625" style="337" customWidth="1"/>
    <col min="1280" max="1280" width="9.140625" style="337" customWidth="1"/>
    <col min="1281" max="1281" width="8.7109375" style="337" customWidth="1"/>
    <col min="1282" max="1282" width="10" style="337" customWidth="1"/>
    <col min="1283" max="1283" width="10.5703125" style="337" customWidth="1"/>
    <col min="1284" max="1284" width="9" style="337" customWidth="1"/>
    <col min="1285" max="1285" width="22" style="337" customWidth="1"/>
    <col min="1286" max="1533" width="9.140625" style="337"/>
    <col min="1534" max="1534" width="4.28515625" style="337" customWidth="1"/>
    <col min="1535" max="1535" width="28.140625" style="337" customWidth="1"/>
    <col min="1536" max="1536" width="9.140625" style="337" customWidth="1"/>
    <col min="1537" max="1537" width="8.7109375" style="337" customWidth="1"/>
    <col min="1538" max="1538" width="10" style="337" customWidth="1"/>
    <col min="1539" max="1539" width="10.5703125" style="337" customWidth="1"/>
    <col min="1540" max="1540" width="9" style="337" customWidth="1"/>
    <col min="1541" max="1541" width="22" style="337" customWidth="1"/>
    <col min="1542" max="1789" width="9.140625" style="337"/>
    <col min="1790" max="1790" width="4.28515625" style="337" customWidth="1"/>
    <col min="1791" max="1791" width="28.140625" style="337" customWidth="1"/>
    <col min="1792" max="1792" width="9.140625" style="337" customWidth="1"/>
    <col min="1793" max="1793" width="8.7109375" style="337" customWidth="1"/>
    <col min="1794" max="1794" width="10" style="337" customWidth="1"/>
    <col min="1795" max="1795" width="10.5703125" style="337" customWidth="1"/>
    <col min="1796" max="1796" width="9" style="337" customWidth="1"/>
    <col min="1797" max="1797" width="22" style="337" customWidth="1"/>
    <col min="1798" max="2045" width="9.140625" style="337"/>
    <col min="2046" max="2046" width="4.28515625" style="337" customWidth="1"/>
    <col min="2047" max="2047" width="28.140625" style="337" customWidth="1"/>
    <col min="2048" max="2048" width="9.140625" style="337" customWidth="1"/>
    <col min="2049" max="2049" width="8.7109375" style="337" customWidth="1"/>
    <col min="2050" max="2050" width="10" style="337" customWidth="1"/>
    <col min="2051" max="2051" width="10.5703125" style="337" customWidth="1"/>
    <col min="2052" max="2052" width="9" style="337" customWidth="1"/>
    <col min="2053" max="2053" width="22" style="337" customWidth="1"/>
    <col min="2054" max="2301" width="9.140625" style="337"/>
    <col min="2302" max="2302" width="4.28515625" style="337" customWidth="1"/>
    <col min="2303" max="2303" width="28.140625" style="337" customWidth="1"/>
    <col min="2304" max="2304" width="9.140625" style="337" customWidth="1"/>
    <col min="2305" max="2305" width="8.7109375" style="337" customWidth="1"/>
    <col min="2306" max="2306" width="10" style="337" customWidth="1"/>
    <col min="2307" max="2307" width="10.5703125" style="337" customWidth="1"/>
    <col min="2308" max="2308" width="9" style="337" customWidth="1"/>
    <col min="2309" max="2309" width="22" style="337" customWidth="1"/>
    <col min="2310" max="2557" width="9.140625" style="337"/>
    <col min="2558" max="2558" width="4.28515625" style="337" customWidth="1"/>
    <col min="2559" max="2559" width="28.140625" style="337" customWidth="1"/>
    <col min="2560" max="2560" width="9.140625" style="337" customWidth="1"/>
    <col min="2561" max="2561" width="8.7109375" style="337" customWidth="1"/>
    <col min="2562" max="2562" width="10" style="337" customWidth="1"/>
    <col min="2563" max="2563" width="10.5703125" style="337" customWidth="1"/>
    <col min="2564" max="2564" width="9" style="337" customWidth="1"/>
    <col min="2565" max="2565" width="22" style="337" customWidth="1"/>
    <col min="2566" max="2813" width="9.140625" style="337"/>
    <col min="2814" max="2814" width="4.28515625" style="337" customWidth="1"/>
    <col min="2815" max="2815" width="28.140625" style="337" customWidth="1"/>
    <col min="2816" max="2816" width="9.140625" style="337" customWidth="1"/>
    <col min="2817" max="2817" width="8.7109375" style="337" customWidth="1"/>
    <col min="2818" max="2818" width="10" style="337" customWidth="1"/>
    <col min="2819" max="2819" width="10.5703125" style="337" customWidth="1"/>
    <col min="2820" max="2820" width="9" style="337" customWidth="1"/>
    <col min="2821" max="2821" width="22" style="337" customWidth="1"/>
    <col min="2822" max="3069" width="9.140625" style="337"/>
    <col min="3070" max="3070" width="4.28515625" style="337" customWidth="1"/>
    <col min="3071" max="3071" width="28.140625" style="337" customWidth="1"/>
    <col min="3072" max="3072" width="9.140625" style="337" customWidth="1"/>
    <col min="3073" max="3073" width="8.7109375" style="337" customWidth="1"/>
    <col min="3074" max="3074" width="10" style="337" customWidth="1"/>
    <col min="3075" max="3075" width="10.5703125" style="337" customWidth="1"/>
    <col min="3076" max="3076" width="9" style="337" customWidth="1"/>
    <col min="3077" max="3077" width="22" style="337" customWidth="1"/>
    <col min="3078" max="3325" width="9.140625" style="337"/>
    <col min="3326" max="3326" width="4.28515625" style="337" customWidth="1"/>
    <col min="3327" max="3327" width="28.140625" style="337" customWidth="1"/>
    <col min="3328" max="3328" width="9.140625" style="337" customWidth="1"/>
    <col min="3329" max="3329" width="8.7109375" style="337" customWidth="1"/>
    <col min="3330" max="3330" width="10" style="337" customWidth="1"/>
    <col min="3331" max="3331" width="10.5703125" style="337" customWidth="1"/>
    <col min="3332" max="3332" width="9" style="337" customWidth="1"/>
    <col min="3333" max="3333" width="22" style="337" customWidth="1"/>
    <col min="3334" max="3581" width="9.140625" style="337"/>
    <col min="3582" max="3582" width="4.28515625" style="337" customWidth="1"/>
    <col min="3583" max="3583" width="28.140625" style="337" customWidth="1"/>
    <col min="3584" max="3584" width="9.140625" style="337" customWidth="1"/>
    <col min="3585" max="3585" width="8.7109375" style="337" customWidth="1"/>
    <col min="3586" max="3586" width="10" style="337" customWidth="1"/>
    <col min="3587" max="3587" width="10.5703125" style="337" customWidth="1"/>
    <col min="3588" max="3588" width="9" style="337" customWidth="1"/>
    <col min="3589" max="3589" width="22" style="337" customWidth="1"/>
    <col min="3590" max="3837" width="9.140625" style="337"/>
    <col min="3838" max="3838" width="4.28515625" style="337" customWidth="1"/>
    <col min="3839" max="3839" width="28.140625" style="337" customWidth="1"/>
    <col min="3840" max="3840" width="9.140625" style="337" customWidth="1"/>
    <col min="3841" max="3841" width="8.7109375" style="337" customWidth="1"/>
    <col min="3842" max="3842" width="10" style="337" customWidth="1"/>
    <col min="3843" max="3843" width="10.5703125" style="337" customWidth="1"/>
    <col min="3844" max="3844" width="9" style="337" customWidth="1"/>
    <col min="3845" max="3845" width="22" style="337" customWidth="1"/>
    <col min="3846" max="4093" width="9.140625" style="337"/>
    <col min="4094" max="4094" width="4.28515625" style="337" customWidth="1"/>
    <col min="4095" max="4095" width="28.140625" style="337" customWidth="1"/>
    <col min="4096" max="4096" width="9.140625" style="337" customWidth="1"/>
    <col min="4097" max="4097" width="8.7109375" style="337" customWidth="1"/>
    <col min="4098" max="4098" width="10" style="337" customWidth="1"/>
    <col min="4099" max="4099" width="10.5703125" style="337" customWidth="1"/>
    <col min="4100" max="4100" width="9" style="337" customWidth="1"/>
    <col min="4101" max="4101" width="22" style="337" customWidth="1"/>
    <col min="4102" max="4349" width="9.140625" style="337"/>
    <col min="4350" max="4350" width="4.28515625" style="337" customWidth="1"/>
    <col min="4351" max="4351" width="28.140625" style="337" customWidth="1"/>
    <col min="4352" max="4352" width="9.140625" style="337" customWidth="1"/>
    <col min="4353" max="4353" width="8.7109375" style="337" customWidth="1"/>
    <col min="4354" max="4354" width="10" style="337" customWidth="1"/>
    <col min="4355" max="4355" width="10.5703125" style="337" customWidth="1"/>
    <col min="4356" max="4356" width="9" style="337" customWidth="1"/>
    <col min="4357" max="4357" width="22" style="337" customWidth="1"/>
    <col min="4358" max="4605" width="9.140625" style="337"/>
    <col min="4606" max="4606" width="4.28515625" style="337" customWidth="1"/>
    <col min="4607" max="4607" width="28.140625" style="337" customWidth="1"/>
    <col min="4608" max="4608" width="9.140625" style="337" customWidth="1"/>
    <col min="4609" max="4609" width="8.7109375" style="337" customWidth="1"/>
    <col min="4610" max="4610" width="10" style="337" customWidth="1"/>
    <col min="4611" max="4611" width="10.5703125" style="337" customWidth="1"/>
    <col min="4612" max="4612" width="9" style="337" customWidth="1"/>
    <col min="4613" max="4613" width="22" style="337" customWidth="1"/>
    <col min="4614" max="4861" width="9.140625" style="337"/>
    <col min="4862" max="4862" width="4.28515625" style="337" customWidth="1"/>
    <col min="4863" max="4863" width="28.140625" style="337" customWidth="1"/>
    <col min="4864" max="4864" width="9.140625" style="337" customWidth="1"/>
    <col min="4865" max="4865" width="8.7109375" style="337" customWidth="1"/>
    <col min="4866" max="4866" width="10" style="337" customWidth="1"/>
    <col min="4867" max="4867" width="10.5703125" style="337" customWidth="1"/>
    <col min="4868" max="4868" width="9" style="337" customWidth="1"/>
    <col min="4869" max="4869" width="22" style="337" customWidth="1"/>
    <col min="4870" max="5117" width="9.140625" style="337"/>
    <col min="5118" max="5118" width="4.28515625" style="337" customWidth="1"/>
    <col min="5119" max="5119" width="28.140625" style="337" customWidth="1"/>
    <col min="5120" max="5120" width="9.140625" style="337" customWidth="1"/>
    <col min="5121" max="5121" width="8.7109375" style="337" customWidth="1"/>
    <col min="5122" max="5122" width="10" style="337" customWidth="1"/>
    <col min="5123" max="5123" width="10.5703125" style="337" customWidth="1"/>
    <col min="5124" max="5124" width="9" style="337" customWidth="1"/>
    <col min="5125" max="5125" width="22" style="337" customWidth="1"/>
    <col min="5126" max="5373" width="9.140625" style="337"/>
    <col min="5374" max="5374" width="4.28515625" style="337" customWidth="1"/>
    <col min="5375" max="5375" width="28.140625" style="337" customWidth="1"/>
    <col min="5376" max="5376" width="9.140625" style="337" customWidth="1"/>
    <col min="5377" max="5377" width="8.7109375" style="337" customWidth="1"/>
    <col min="5378" max="5378" width="10" style="337" customWidth="1"/>
    <col min="5379" max="5379" width="10.5703125" style="337" customWidth="1"/>
    <col min="5380" max="5380" width="9" style="337" customWidth="1"/>
    <col min="5381" max="5381" width="22" style="337" customWidth="1"/>
    <col min="5382" max="5629" width="9.140625" style="337"/>
    <col min="5630" max="5630" width="4.28515625" style="337" customWidth="1"/>
    <col min="5631" max="5631" width="28.140625" style="337" customWidth="1"/>
    <col min="5632" max="5632" width="9.140625" style="337" customWidth="1"/>
    <col min="5633" max="5633" width="8.7109375" style="337" customWidth="1"/>
    <col min="5634" max="5634" width="10" style="337" customWidth="1"/>
    <col min="5635" max="5635" width="10.5703125" style="337" customWidth="1"/>
    <col min="5636" max="5636" width="9" style="337" customWidth="1"/>
    <col min="5637" max="5637" width="22" style="337" customWidth="1"/>
    <col min="5638" max="5885" width="9.140625" style="337"/>
    <col min="5886" max="5886" width="4.28515625" style="337" customWidth="1"/>
    <col min="5887" max="5887" width="28.140625" style="337" customWidth="1"/>
    <col min="5888" max="5888" width="9.140625" style="337" customWidth="1"/>
    <col min="5889" max="5889" width="8.7109375" style="337" customWidth="1"/>
    <col min="5890" max="5890" width="10" style="337" customWidth="1"/>
    <col min="5891" max="5891" width="10.5703125" style="337" customWidth="1"/>
    <col min="5892" max="5892" width="9" style="337" customWidth="1"/>
    <col min="5893" max="5893" width="22" style="337" customWidth="1"/>
    <col min="5894" max="6141" width="9.140625" style="337"/>
    <col min="6142" max="6142" width="4.28515625" style="337" customWidth="1"/>
    <col min="6143" max="6143" width="28.140625" style="337" customWidth="1"/>
    <col min="6144" max="6144" width="9.140625" style="337" customWidth="1"/>
    <col min="6145" max="6145" width="8.7109375" style="337" customWidth="1"/>
    <col min="6146" max="6146" width="10" style="337" customWidth="1"/>
    <col min="6147" max="6147" width="10.5703125" style="337" customWidth="1"/>
    <col min="6148" max="6148" width="9" style="337" customWidth="1"/>
    <col min="6149" max="6149" width="22" style="337" customWidth="1"/>
    <col min="6150" max="6397" width="9.140625" style="337"/>
    <col min="6398" max="6398" width="4.28515625" style="337" customWidth="1"/>
    <col min="6399" max="6399" width="28.140625" style="337" customWidth="1"/>
    <col min="6400" max="6400" width="9.140625" style="337" customWidth="1"/>
    <col min="6401" max="6401" width="8.7109375" style="337" customWidth="1"/>
    <col min="6402" max="6402" width="10" style="337" customWidth="1"/>
    <col min="6403" max="6403" width="10.5703125" style="337" customWidth="1"/>
    <col min="6404" max="6404" width="9" style="337" customWidth="1"/>
    <col min="6405" max="6405" width="22" style="337" customWidth="1"/>
    <col min="6406" max="6653" width="9.140625" style="337"/>
    <col min="6654" max="6654" width="4.28515625" style="337" customWidth="1"/>
    <col min="6655" max="6655" width="28.140625" style="337" customWidth="1"/>
    <col min="6656" max="6656" width="9.140625" style="337" customWidth="1"/>
    <col min="6657" max="6657" width="8.7109375" style="337" customWidth="1"/>
    <col min="6658" max="6658" width="10" style="337" customWidth="1"/>
    <col min="6659" max="6659" width="10.5703125" style="337" customWidth="1"/>
    <col min="6660" max="6660" width="9" style="337" customWidth="1"/>
    <col min="6661" max="6661" width="22" style="337" customWidth="1"/>
    <col min="6662" max="6909" width="9.140625" style="337"/>
    <col min="6910" max="6910" width="4.28515625" style="337" customWidth="1"/>
    <col min="6911" max="6911" width="28.140625" style="337" customWidth="1"/>
    <col min="6912" max="6912" width="9.140625" style="337" customWidth="1"/>
    <col min="6913" max="6913" width="8.7109375" style="337" customWidth="1"/>
    <col min="6914" max="6914" width="10" style="337" customWidth="1"/>
    <col min="6915" max="6915" width="10.5703125" style="337" customWidth="1"/>
    <col min="6916" max="6916" width="9" style="337" customWidth="1"/>
    <col min="6917" max="6917" width="22" style="337" customWidth="1"/>
    <col min="6918" max="7165" width="9.140625" style="337"/>
    <col min="7166" max="7166" width="4.28515625" style="337" customWidth="1"/>
    <col min="7167" max="7167" width="28.140625" style="337" customWidth="1"/>
    <col min="7168" max="7168" width="9.140625" style="337" customWidth="1"/>
    <col min="7169" max="7169" width="8.7109375" style="337" customWidth="1"/>
    <col min="7170" max="7170" width="10" style="337" customWidth="1"/>
    <col min="7171" max="7171" width="10.5703125" style="337" customWidth="1"/>
    <col min="7172" max="7172" width="9" style="337" customWidth="1"/>
    <col min="7173" max="7173" width="22" style="337" customWidth="1"/>
    <col min="7174" max="7421" width="9.140625" style="337"/>
    <col min="7422" max="7422" width="4.28515625" style="337" customWidth="1"/>
    <col min="7423" max="7423" width="28.140625" style="337" customWidth="1"/>
    <col min="7424" max="7424" width="9.140625" style="337" customWidth="1"/>
    <col min="7425" max="7425" width="8.7109375" style="337" customWidth="1"/>
    <col min="7426" max="7426" width="10" style="337" customWidth="1"/>
    <col min="7427" max="7427" width="10.5703125" style="337" customWidth="1"/>
    <col min="7428" max="7428" width="9" style="337" customWidth="1"/>
    <col min="7429" max="7429" width="22" style="337" customWidth="1"/>
    <col min="7430" max="7677" width="9.140625" style="337"/>
    <col min="7678" max="7678" width="4.28515625" style="337" customWidth="1"/>
    <col min="7679" max="7679" width="28.140625" style="337" customWidth="1"/>
    <col min="7680" max="7680" width="9.140625" style="337" customWidth="1"/>
    <col min="7681" max="7681" width="8.7109375" style="337" customWidth="1"/>
    <col min="7682" max="7682" width="10" style="337" customWidth="1"/>
    <col min="7683" max="7683" width="10.5703125" style="337" customWidth="1"/>
    <col min="7684" max="7684" width="9" style="337" customWidth="1"/>
    <col min="7685" max="7685" width="22" style="337" customWidth="1"/>
    <col min="7686" max="7933" width="9.140625" style="337"/>
    <col min="7934" max="7934" width="4.28515625" style="337" customWidth="1"/>
    <col min="7935" max="7935" width="28.140625" style="337" customWidth="1"/>
    <col min="7936" max="7936" width="9.140625" style="337" customWidth="1"/>
    <col min="7937" max="7937" width="8.7109375" style="337" customWidth="1"/>
    <col min="7938" max="7938" width="10" style="337" customWidth="1"/>
    <col min="7939" max="7939" width="10.5703125" style="337" customWidth="1"/>
    <col min="7940" max="7940" width="9" style="337" customWidth="1"/>
    <col min="7941" max="7941" width="22" style="337" customWidth="1"/>
    <col min="7942" max="8189" width="9.140625" style="337"/>
    <col min="8190" max="8190" width="4.28515625" style="337" customWidth="1"/>
    <col min="8191" max="8191" width="28.140625" style="337" customWidth="1"/>
    <col min="8192" max="8192" width="9.140625" style="337" customWidth="1"/>
    <col min="8193" max="8193" width="8.7109375" style="337" customWidth="1"/>
    <col min="8194" max="8194" width="10" style="337" customWidth="1"/>
    <col min="8195" max="8195" width="10.5703125" style="337" customWidth="1"/>
    <col min="8196" max="8196" width="9" style="337" customWidth="1"/>
    <col min="8197" max="8197" width="22" style="337" customWidth="1"/>
    <col min="8198" max="8445" width="9.140625" style="337"/>
    <col min="8446" max="8446" width="4.28515625" style="337" customWidth="1"/>
    <col min="8447" max="8447" width="28.140625" style="337" customWidth="1"/>
    <col min="8448" max="8448" width="9.140625" style="337" customWidth="1"/>
    <col min="8449" max="8449" width="8.7109375" style="337" customWidth="1"/>
    <col min="8450" max="8450" width="10" style="337" customWidth="1"/>
    <col min="8451" max="8451" width="10.5703125" style="337" customWidth="1"/>
    <col min="8452" max="8452" width="9" style="337" customWidth="1"/>
    <col min="8453" max="8453" width="22" style="337" customWidth="1"/>
    <col min="8454" max="8701" width="9.140625" style="337"/>
    <col min="8702" max="8702" width="4.28515625" style="337" customWidth="1"/>
    <col min="8703" max="8703" width="28.140625" style="337" customWidth="1"/>
    <col min="8704" max="8704" width="9.140625" style="337" customWidth="1"/>
    <col min="8705" max="8705" width="8.7109375" style="337" customWidth="1"/>
    <col min="8706" max="8706" width="10" style="337" customWidth="1"/>
    <col min="8707" max="8707" width="10.5703125" style="337" customWidth="1"/>
    <col min="8708" max="8708" width="9" style="337" customWidth="1"/>
    <col min="8709" max="8709" width="22" style="337" customWidth="1"/>
    <col min="8710" max="8957" width="9.140625" style="337"/>
    <col min="8958" max="8958" width="4.28515625" style="337" customWidth="1"/>
    <col min="8959" max="8959" width="28.140625" style="337" customWidth="1"/>
    <col min="8960" max="8960" width="9.140625" style="337" customWidth="1"/>
    <col min="8961" max="8961" width="8.7109375" style="337" customWidth="1"/>
    <col min="8962" max="8962" width="10" style="337" customWidth="1"/>
    <col min="8963" max="8963" width="10.5703125" style="337" customWidth="1"/>
    <col min="8964" max="8964" width="9" style="337" customWidth="1"/>
    <col min="8965" max="8965" width="22" style="337" customWidth="1"/>
    <col min="8966" max="9213" width="9.140625" style="337"/>
    <col min="9214" max="9214" width="4.28515625" style="337" customWidth="1"/>
    <col min="9215" max="9215" width="28.140625" style="337" customWidth="1"/>
    <col min="9216" max="9216" width="9.140625" style="337" customWidth="1"/>
    <col min="9217" max="9217" width="8.7109375" style="337" customWidth="1"/>
    <col min="9218" max="9218" width="10" style="337" customWidth="1"/>
    <col min="9219" max="9219" width="10.5703125" style="337" customWidth="1"/>
    <col min="9220" max="9220" width="9" style="337" customWidth="1"/>
    <col min="9221" max="9221" width="22" style="337" customWidth="1"/>
    <col min="9222" max="9469" width="9.140625" style="337"/>
    <col min="9470" max="9470" width="4.28515625" style="337" customWidth="1"/>
    <col min="9471" max="9471" width="28.140625" style="337" customWidth="1"/>
    <col min="9472" max="9472" width="9.140625" style="337" customWidth="1"/>
    <col min="9473" max="9473" width="8.7109375" style="337" customWidth="1"/>
    <col min="9474" max="9474" width="10" style="337" customWidth="1"/>
    <col min="9475" max="9475" width="10.5703125" style="337" customWidth="1"/>
    <col min="9476" max="9476" width="9" style="337" customWidth="1"/>
    <col min="9477" max="9477" width="22" style="337" customWidth="1"/>
    <col min="9478" max="9725" width="9.140625" style="337"/>
    <col min="9726" max="9726" width="4.28515625" style="337" customWidth="1"/>
    <col min="9727" max="9727" width="28.140625" style="337" customWidth="1"/>
    <col min="9728" max="9728" width="9.140625" style="337" customWidth="1"/>
    <col min="9729" max="9729" width="8.7109375" style="337" customWidth="1"/>
    <col min="9730" max="9730" width="10" style="337" customWidth="1"/>
    <col min="9731" max="9731" width="10.5703125" style="337" customWidth="1"/>
    <col min="9732" max="9732" width="9" style="337" customWidth="1"/>
    <col min="9733" max="9733" width="22" style="337" customWidth="1"/>
    <col min="9734" max="9981" width="9.140625" style="337"/>
    <col min="9982" max="9982" width="4.28515625" style="337" customWidth="1"/>
    <col min="9983" max="9983" width="28.140625" style="337" customWidth="1"/>
    <col min="9984" max="9984" width="9.140625" style="337" customWidth="1"/>
    <col min="9985" max="9985" width="8.7109375" style="337" customWidth="1"/>
    <col min="9986" max="9986" width="10" style="337" customWidth="1"/>
    <col min="9987" max="9987" width="10.5703125" style="337" customWidth="1"/>
    <col min="9988" max="9988" width="9" style="337" customWidth="1"/>
    <col min="9989" max="9989" width="22" style="337" customWidth="1"/>
    <col min="9990" max="10237" width="9.140625" style="337"/>
    <col min="10238" max="10238" width="4.28515625" style="337" customWidth="1"/>
    <col min="10239" max="10239" width="28.140625" style="337" customWidth="1"/>
    <col min="10240" max="10240" width="9.140625" style="337" customWidth="1"/>
    <col min="10241" max="10241" width="8.7109375" style="337" customWidth="1"/>
    <col min="10242" max="10242" width="10" style="337" customWidth="1"/>
    <col min="10243" max="10243" width="10.5703125" style="337" customWidth="1"/>
    <col min="10244" max="10244" width="9" style="337" customWidth="1"/>
    <col min="10245" max="10245" width="22" style="337" customWidth="1"/>
    <col min="10246" max="10493" width="9.140625" style="337"/>
    <col min="10494" max="10494" width="4.28515625" style="337" customWidth="1"/>
    <col min="10495" max="10495" width="28.140625" style="337" customWidth="1"/>
    <col min="10496" max="10496" width="9.140625" style="337" customWidth="1"/>
    <col min="10497" max="10497" width="8.7109375" style="337" customWidth="1"/>
    <col min="10498" max="10498" width="10" style="337" customWidth="1"/>
    <col min="10499" max="10499" width="10.5703125" style="337" customWidth="1"/>
    <col min="10500" max="10500" width="9" style="337" customWidth="1"/>
    <col min="10501" max="10501" width="22" style="337" customWidth="1"/>
    <col min="10502" max="10749" width="9.140625" style="337"/>
    <col min="10750" max="10750" width="4.28515625" style="337" customWidth="1"/>
    <col min="10751" max="10751" width="28.140625" style="337" customWidth="1"/>
    <col min="10752" max="10752" width="9.140625" style="337" customWidth="1"/>
    <col min="10753" max="10753" width="8.7109375" style="337" customWidth="1"/>
    <col min="10754" max="10754" width="10" style="337" customWidth="1"/>
    <col min="10755" max="10755" width="10.5703125" style="337" customWidth="1"/>
    <col min="10756" max="10756" width="9" style="337" customWidth="1"/>
    <col min="10757" max="10757" width="22" style="337" customWidth="1"/>
    <col min="10758" max="11005" width="9.140625" style="337"/>
    <col min="11006" max="11006" width="4.28515625" style="337" customWidth="1"/>
    <col min="11007" max="11007" width="28.140625" style="337" customWidth="1"/>
    <col min="11008" max="11008" width="9.140625" style="337" customWidth="1"/>
    <col min="11009" max="11009" width="8.7109375" style="337" customWidth="1"/>
    <col min="11010" max="11010" width="10" style="337" customWidth="1"/>
    <col min="11011" max="11011" width="10.5703125" style="337" customWidth="1"/>
    <col min="11012" max="11012" width="9" style="337" customWidth="1"/>
    <col min="11013" max="11013" width="22" style="337" customWidth="1"/>
    <col min="11014" max="11261" width="9.140625" style="337"/>
    <col min="11262" max="11262" width="4.28515625" style="337" customWidth="1"/>
    <col min="11263" max="11263" width="28.140625" style="337" customWidth="1"/>
    <col min="11264" max="11264" width="9.140625" style="337" customWidth="1"/>
    <col min="11265" max="11265" width="8.7109375" style="337" customWidth="1"/>
    <col min="11266" max="11266" width="10" style="337" customWidth="1"/>
    <col min="11267" max="11267" width="10.5703125" style="337" customWidth="1"/>
    <col min="11268" max="11268" width="9" style="337" customWidth="1"/>
    <col min="11269" max="11269" width="22" style="337" customWidth="1"/>
    <col min="11270" max="11517" width="9.140625" style="337"/>
    <col min="11518" max="11518" width="4.28515625" style="337" customWidth="1"/>
    <col min="11519" max="11519" width="28.140625" style="337" customWidth="1"/>
    <col min="11520" max="11520" width="9.140625" style="337" customWidth="1"/>
    <col min="11521" max="11521" width="8.7109375" style="337" customWidth="1"/>
    <col min="11522" max="11522" width="10" style="337" customWidth="1"/>
    <col min="11523" max="11523" width="10.5703125" style="337" customWidth="1"/>
    <col min="11524" max="11524" width="9" style="337" customWidth="1"/>
    <col min="11525" max="11525" width="22" style="337" customWidth="1"/>
    <col min="11526" max="11773" width="9.140625" style="337"/>
    <col min="11774" max="11774" width="4.28515625" style="337" customWidth="1"/>
    <col min="11775" max="11775" width="28.140625" style="337" customWidth="1"/>
    <col min="11776" max="11776" width="9.140625" style="337" customWidth="1"/>
    <col min="11777" max="11777" width="8.7109375" style="337" customWidth="1"/>
    <col min="11778" max="11778" width="10" style="337" customWidth="1"/>
    <col min="11779" max="11779" width="10.5703125" style="337" customWidth="1"/>
    <col min="11780" max="11780" width="9" style="337" customWidth="1"/>
    <col min="11781" max="11781" width="22" style="337" customWidth="1"/>
    <col min="11782" max="12029" width="9.140625" style="337"/>
    <col min="12030" max="12030" width="4.28515625" style="337" customWidth="1"/>
    <col min="12031" max="12031" width="28.140625" style="337" customWidth="1"/>
    <col min="12032" max="12032" width="9.140625" style="337" customWidth="1"/>
    <col min="12033" max="12033" width="8.7109375" style="337" customWidth="1"/>
    <col min="12034" max="12034" width="10" style="337" customWidth="1"/>
    <col min="12035" max="12035" width="10.5703125" style="337" customWidth="1"/>
    <col min="12036" max="12036" width="9" style="337" customWidth="1"/>
    <col min="12037" max="12037" width="22" style="337" customWidth="1"/>
    <col min="12038" max="12285" width="9.140625" style="337"/>
    <col min="12286" max="12286" width="4.28515625" style="337" customWidth="1"/>
    <col min="12287" max="12287" width="28.140625" style="337" customWidth="1"/>
    <col min="12288" max="12288" width="9.140625" style="337" customWidth="1"/>
    <col min="12289" max="12289" width="8.7109375" style="337" customWidth="1"/>
    <col min="12290" max="12290" width="10" style="337" customWidth="1"/>
    <col min="12291" max="12291" width="10.5703125" style="337" customWidth="1"/>
    <col min="12292" max="12292" width="9" style="337" customWidth="1"/>
    <col min="12293" max="12293" width="22" style="337" customWidth="1"/>
    <col min="12294" max="12541" width="9.140625" style="337"/>
    <col min="12542" max="12542" width="4.28515625" style="337" customWidth="1"/>
    <col min="12543" max="12543" width="28.140625" style="337" customWidth="1"/>
    <col min="12544" max="12544" width="9.140625" style="337" customWidth="1"/>
    <col min="12545" max="12545" width="8.7109375" style="337" customWidth="1"/>
    <col min="12546" max="12546" width="10" style="337" customWidth="1"/>
    <col min="12547" max="12547" width="10.5703125" style="337" customWidth="1"/>
    <col min="12548" max="12548" width="9" style="337" customWidth="1"/>
    <col min="12549" max="12549" width="22" style="337" customWidth="1"/>
    <col min="12550" max="12797" width="9.140625" style="337"/>
    <col min="12798" max="12798" width="4.28515625" style="337" customWidth="1"/>
    <col min="12799" max="12799" width="28.140625" style="337" customWidth="1"/>
    <col min="12800" max="12800" width="9.140625" style="337" customWidth="1"/>
    <col min="12801" max="12801" width="8.7109375" style="337" customWidth="1"/>
    <col min="12802" max="12802" width="10" style="337" customWidth="1"/>
    <col min="12803" max="12803" width="10.5703125" style="337" customWidth="1"/>
    <col min="12804" max="12804" width="9" style="337" customWidth="1"/>
    <col min="12805" max="12805" width="22" style="337" customWidth="1"/>
    <col min="12806" max="13053" width="9.140625" style="337"/>
    <col min="13054" max="13054" width="4.28515625" style="337" customWidth="1"/>
    <col min="13055" max="13055" width="28.140625" style="337" customWidth="1"/>
    <col min="13056" max="13056" width="9.140625" style="337" customWidth="1"/>
    <col min="13057" max="13057" width="8.7109375" style="337" customWidth="1"/>
    <col min="13058" max="13058" width="10" style="337" customWidth="1"/>
    <col min="13059" max="13059" width="10.5703125" style="337" customWidth="1"/>
    <col min="13060" max="13060" width="9" style="337" customWidth="1"/>
    <col min="13061" max="13061" width="22" style="337" customWidth="1"/>
    <col min="13062" max="13309" width="9.140625" style="337"/>
    <col min="13310" max="13310" width="4.28515625" style="337" customWidth="1"/>
    <col min="13311" max="13311" width="28.140625" style="337" customWidth="1"/>
    <col min="13312" max="13312" width="9.140625" style="337" customWidth="1"/>
    <col min="13313" max="13313" width="8.7109375" style="337" customWidth="1"/>
    <col min="13314" max="13314" width="10" style="337" customWidth="1"/>
    <col min="13315" max="13315" width="10.5703125" style="337" customWidth="1"/>
    <col min="13316" max="13316" width="9" style="337" customWidth="1"/>
    <col min="13317" max="13317" width="22" style="337" customWidth="1"/>
    <col min="13318" max="13565" width="9.140625" style="337"/>
    <col min="13566" max="13566" width="4.28515625" style="337" customWidth="1"/>
    <col min="13567" max="13567" width="28.140625" style="337" customWidth="1"/>
    <col min="13568" max="13568" width="9.140625" style="337" customWidth="1"/>
    <col min="13569" max="13569" width="8.7109375" style="337" customWidth="1"/>
    <col min="13570" max="13570" width="10" style="337" customWidth="1"/>
    <col min="13571" max="13571" width="10.5703125" style="337" customWidth="1"/>
    <col min="13572" max="13572" width="9" style="337" customWidth="1"/>
    <col min="13573" max="13573" width="22" style="337" customWidth="1"/>
    <col min="13574" max="13821" width="9.140625" style="337"/>
    <col min="13822" max="13822" width="4.28515625" style="337" customWidth="1"/>
    <col min="13823" max="13823" width="28.140625" style="337" customWidth="1"/>
    <col min="13824" max="13824" width="9.140625" style="337" customWidth="1"/>
    <col min="13825" max="13825" width="8.7109375" style="337" customWidth="1"/>
    <col min="13826" max="13826" width="10" style="337" customWidth="1"/>
    <col min="13827" max="13827" width="10.5703125" style="337" customWidth="1"/>
    <col min="13828" max="13828" width="9" style="337" customWidth="1"/>
    <col min="13829" max="13829" width="22" style="337" customWidth="1"/>
    <col min="13830" max="14077" width="9.140625" style="337"/>
    <col min="14078" max="14078" width="4.28515625" style="337" customWidth="1"/>
    <col min="14079" max="14079" width="28.140625" style="337" customWidth="1"/>
    <col min="14080" max="14080" width="9.140625" style="337" customWidth="1"/>
    <col min="14081" max="14081" width="8.7109375" style="337" customWidth="1"/>
    <col min="14082" max="14082" width="10" style="337" customWidth="1"/>
    <col min="14083" max="14083" width="10.5703125" style="337" customWidth="1"/>
    <col min="14084" max="14084" width="9" style="337" customWidth="1"/>
    <col min="14085" max="14085" width="22" style="337" customWidth="1"/>
    <col min="14086" max="14333" width="9.140625" style="337"/>
    <col min="14334" max="14334" width="4.28515625" style="337" customWidth="1"/>
    <col min="14335" max="14335" width="28.140625" style="337" customWidth="1"/>
    <col min="14336" max="14336" width="9.140625" style="337" customWidth="1"/>
    <col min="14337" max="14337" width="8.7109375" style="337" customWidth="1"/>
    <col min="14338" max="14338" width="10" style="337" customWidth="1"/>
    <col min="14339" max="14339" width="10.5703125" style="337" customWidth="1"/>
    <col min="14340" max="14340" width="9" style="337" customWidth="1"/>
    <col min="14341" max="14341" width="22" style="337" customWidth="1"/>
    <col min="14342" max="14589" width="9.140625" style="337"/>
    <col min="14590" max="14590" width="4.28515625" style="337" customWidth="1"/>
    <col min="14591" max="14591" width="28.140625" style="337" customWidth="1"/>
    <col min="14592" max="14592" width="9.140625" style="337" customWidth="1"/>
    <col min="14593" max="14593" width="8.7109375" style="337" customWidth="1"/>
    <col min="14594" max="14594" width="10" style="337" customWidth="1"/>
    <col min="14595" max="14595" width="10.5703125" style="337" customWidth="1"/>
    <col min="14596" max="14596" width="9" style="337" customWidth="1"/>
    <col min="14597" max="14597" width="22" style="337" customWidth="1"/>
    <col min="14598" max="14845" width="9.140625" style="337"/>
    <col min="14846" max="14846" width="4.28515625" style="337" customWidth="1"/>
    <col min="14847" max="14847" width="28.140625" style="337" customWidth="1"/>
    <col min="14848" max="14848" width="9.140625" style="337" customWidth="1"/>
    <col min="14849" max="14849" width="8.7109375" style="337" customWidth="1"/>
    <col min="14850" max="14850" width="10" style="337" customWidth="1"/>
    <col min="14851" max="14851" width="10.5703125" style="337" customWidth="1"/>
    <col min="14852" max="14852" width="9" style="337" customWidth="1"/>
    <col min="14853" max="14853" width="22" style="337" customWidth="1"/>
    <col min="14854" max="15101" width="9.140625" style="337"/>
    <col min="15102" max="15102" width="4.28515625" style="337" customWidth="1"/>
    <col min="15103" max="15103" width="28.140625" style="337" customWidth="1"/>
    <col min="15104" max="15104" width="9.140625" style="337" customWidth="1"/>
    <col min="15105" max="15105" width="8.7109375" style="337" customWidth="1"/>
    <col min="15106" max="15106" width="10" style="337" customWidth="1"/>
    <col min="15107" max="15107" width="10.5703125" style="337" customWidth="1"/>
    <col min="15108" max="15108" width="9" style="337" customWidth="1"/>
    <col min="15109" max="15109" width="22" style="337" customWidth="1"/>
    <col min="15110" max="15357" width="9.140625" style="337"/>
    <col min="15358" max="15358" width="4.28515625" style="337" customWidth="1"/>
    <col min="15359" max="15359" width="28.140625" style="337" customWidth="1"/>
    <col min="15360" max="15360" width="9.140625" style="337" customWidth="1"/>
    <col min="15361" max="15361" width="8.7109375" style="337" customWidth="1"/>
    <col min="15362" max="15362" width="10" style="337" customWidth="1"/>
    <col min="15363" max="15363" width="10.5703125" style="337" customWidth="1"/>
    <col min="15364" max="15364" width="9" style="337" customWidth="1"/>
    <col min="15365" max="15365" width="22" style="337" customWidth="1"/>
    <col min="15366" max="15613" width="9.140625" style="337"/>
    <col min="15614" max="15614" width="4.28515625" style="337" customWidth="1"/>
    <col min="15615" max="15615" width="28.140625" style="337" customWidth="1"/>
    <col min="15616" max="15616" width="9.140625" style="337" customWidth="1"/>
    <col min="15617" max="15617" width="8.7109375" style="337" customWidth="1"/>
    <col min="15618" max="15618" width="10" style="337" customWidth="1"/>
    <col min="15619" max="15619" width="10.5703125" style="337" customWidth="1"/>
    <col min="15620" max="15620" width="9" style="337" customWidth="1"/>
    <col min="15621" max="15621" width="22" style="337" customWidth="1"/>
    <col min="15622" max="15869" width="9.140625" style="337"/>
    <col min="15870" max="15870" width="4.28515625" style="337" customWidth="1"/>
    <col min="15871" max="15871" width="28.140625" style="337" customWidth="1"/>
    <col min="15872" max="15872" width="9.140625" style="337" customWidth="1"/>
    <col min="15873" max="15873" width="8.7109375" style="337" customWidth="1"/>
    <col min="15874" max="15874" width="10" style="337" customWidth="1"/>
    <col min="15875" max="15875" width="10.5703125" style="337" customWidth="1"/>
    <col min="15876" max="15876" width="9" style="337" customWidth="1"/>
    <col min="15877" max="15877" width="22" style="337" customWidth="1"/>
    <col min="15878" max="16125" width="9.140625" style="337"/>
    <col min="16126" max="16126" width="4.28515625" style="337" customWidth="1"/>
    <col min="16127" max="16127" width="28.140625" style="337" customWidth="1"/>
    <col min="16128" max="16128" width="9.140625" style="337" customWidth="1"/>
    <col min="16129" max="16129" width="8.7109375" style="337" customWidth="1"/>
    <col min="16130" max="16130" width="10" style="337" customWidth="1"/>
    <col min="16131" max="16131" width="10.5703125" style="337" customWidth="1"/>
    <col min="16132" max="16132" width="9" style="337" customWidth="1"/>
    <col min="16133" max="16133" width="22" style="337" customWidth="1"/>
    <col min="16134" max="16384" width="9.140625" style="337"/>
  </cols>
  <sheetData>
    <row r="1" spans="1:7" ht="16.5" x14ac:dyDescent="0.25">
      <c r="B1" s="1034" t="s">
        <v>1221</v>
      </c>
      <c r="C1" s="1034"/>
      <c r="D1" s="1034"/>
      <c r="E1" s="1034"/>
      <c r="F1" s="1034"/>
      <c r="G1" s="1034"/>
    </row>
    <row r="2" spans="1:7" ht="16.5" x14ac:dyDescent="0.25">
      <c r="B2" s="1"/>
      <c r="C2" s="950"/>
      <c r="D2" s="950"/>
      <c r="E2" s="950"/>
      <c r="F2" s="950"/>
      <c r="G2" s="951" t="s">
        <v>1184</v>
      </c>
    </row>
    <row r="3" spans="1:7" ht="16.5" x14ac:dyDescent="0.25">
      <c r="B3" s="1"/>
      <c r="C3" s="950"/>
      <c r="D3" s="950"/>
      <c r="E3" s="950"/>
      <c r="F3" s="950"/>
      <c r="G3" s="951" t="s">
        <v>1185</v>
      </c>
    </row>
    <row r="5" spans="1:7" ht="6.75" customHeight="1" x14ac:dyDescent="0.25"/>
    <row r="6" spans="1:7" x14ac:dyDescent="0.25">
      <c r="A6" s="337" t="s">
        <v>298</v>
      </c>
      <c r="C6" s="1092"/>
      <c r="D6" s="1092"/>
      <c r="E6" s="1092"/>
      <c r="F6" s="1092"/>
      <c r="G6" s="1092"/>
    </row>
    <row r="7" spans="1:7" x14ac:dyDescent="0.25">
      <c r="C7" s="869"/>
      <c r="D7" s="869"/>
      <c r="E7" s="869"/>
      <c r="F7" s="869"/>
      <c r="G7" s="869"/>
    </row>
    <row r="8" spans="1:7" ht="15.75" x14ac:dyDescent="0.25">
      <c r="A8" s="1093" t="s">
        <v>291</v>
      </c>
      <c r="B8" s="1093"/>
      <c r="C8" s="1093"/>
      <c r="D8" s="1093"/>
      <c r="E8" s="1093"/>
      <c r="F8" s="1093"/>
      <c r="G8" s="1093"/>
    </row>
    <row r="9" spans="1:7" ht="10.5" customHeight="1" x14ac:dyDescent="0.25">
      <c r="A9" s="870"/>
      <c r="B9" s="870"/>
      <c r="C9" s="870"/>
      <c r="D9" s="870"/>
      <c r="E9" s="870"/>
      <c r="F9" s="870"/>
      <c r="G9" s="870"/>
    </row>
    <row r="10" spans="1:7" ht="15.75" x14ac:dyDescent="0.25">
      <c r="A10" s="337" t="s">
        <v>1211</v>
      </c>
      <c r="C10" s="955"/>
      <c r="D10" s="955"/>
      <c r="E10" s="955"/>
      <c r="F10" s="955"/>
      <c r="G10" s="955"/>
    </row>
    <row r="11" spans="1:7" ht="10.5" customHeight="1" x14ac:dyDescent="0.25">
      <c r="C11" s="955"/>
      <c r="D11" s="955"/>
      <c r="E11" s="955"/>
      <c r="F11" s="955"/>
      <c r="G11" s="955"/>
    </row>
    <row r="12" spans="1:7" x14ac:dyDescent="0.25">
      <c r="A12" s="337" t="s">
        <v>1212</v>
      </c>
      <c r="C12" s="1090"/>
      <c r="D12" s="1090"/>
      <c r="E12" s="1090"/>
      <c r="F12" s="1090"/>
      <c r="G12" s="1090"/>
    </row>
    <row r="13" spans="1:7" x14ac:dyDescent="0.25">
      <c r="A13" s="337" t="s">
        <v>1213</v>
      </c>
      <c r="C13" s="501"/>
      <c r="D13" s="338"/>
      <c r="E13" s="338"/>
      <c r="F13" s="338"/>
      <c r="G13" s="338"/>
    </row>
    <row r="14" spans="1:7" ht="19.5" customHeight="1" x14ac:dyDescent="0.25">
      <c r="A14" s="1076" t="s">
        <v>1</v>
      </c>
      <c r="B14" s="1076" t="s">
        <v>2</v>
      </c>
      <c r="C14" s="1076" t="s">
        <v>26</v>
      </c>
      <c r="D14" s="1076" t="s">
        <v>27</v>
      </c>
      <c r="E14" s="1076" t="s">
        <v>299</v>
      </c>
      <c r="F14" s="1078" t="s">
        <v>6</v>
      </c>
      <c r="G14" s="1078" t="s">
        <v>1190</v>
      </c>
    </row>
    <row r="15" spans="1:7" ht="12.75" customHeight="1" x14ac:dyDescent="0.25">
      <c r="A15" s="1076"/>
      <c r="B15" s="1076"/>
      <c r="C15" s="1076"/>
      <c r="D15" s="1076"/>
      <c r="E15" s="1076"/>
      <c r="F15" s="1079"/>
      <c r="G15" s="1079"/>
    </row>
    <row r="16" spans="1:7" x14ac:dyDescent="0.25">
      <c r="A16" s="1085" t="s">
        <v>300</v>
      </c>
      <c r="B16" s="1086"/>
      <c r="C16" s="243">
        <f>C17+C18</f>
        <v>4961</v>
      </c>
      <c r="D16" s="243">
        <f>D17+D18</f>
        <v>4839.58</v>
      </c>
      <c r="E16" s="243">
        <f>E17+E18</f>
        <v>8840</v>
      </c>
      <c r="F16" s="243"/>
      <c r="G16" s="243">
        <f>G17+G18</f>
        <v>6000</v>
      </c>
    </row>
    <row r="17" spans="1:7" x14ac:dyDescent="0.25">
      <c r="A17" s="244">
        <v>1</v>
      </c>
      <c r="B17" s="51" t="s">
        <v>900</v>
      </c>
      <c r="C17" s="89">
        <v>2028</v>
      </c>
      <c r="D17" s="89">
        <v>1935.58</v>
      </c>
      <c r="E17" s="89">
        <v>2040</v>
      </c>
      <c r="F17" s="243">
        <v>2279</v>
      </c>
      <c r="G17" s="89">
        <v>2500</v>
      </c>
    </row>
    <row r="18" spans="1:7" x14ac:dyDescent="0.25">
      <c r="A18" s="244">
        <v>2</v>
      </c>
      <c r="B18" s="51" t="s">
        <v>901</v>
      </c>
      <c r="C18" s="89">
        <v>2933</v>
      </c>
      <c r="D18" s="89">
        <v>2904</v>
      </c>
      <c r="E18" s="89">
        <v>6800</v>
      </c>
      <c r="F18" s="243">
        <v>2279</v>
      </c>
      <c r="G18" s="89">
        <v>3500</v>
      </c>
    </row>
    <row r="19" spans="1:7" x14ac:dyDescent="0.25">
      <c r="A19" s="518"/>
      <c r="B19" s="339"/>
      <c r="C19" s="340"/>
      <c r="D19" s="340"/>
      <c r="E19" s="340"/>
      <c r="F19" s="434"/>
      <c r="G19" s="340"/>
    </row>
    <row r="20" spans="1:7" x14ac:dyDescent="0.25">
      <c r="A20" s="337" t="s">
        <v>1214</v>
      </c>
      <c r="C20" s="956"/>
      <c r="D20" s="956"/>
      <c r="E20" s="956"/>
      <c r="F20" s="956"/>
      <c r="G20" s="956"/>
    </row>
    <row r="21" spans="1:7" x14ac:dyDescent="0.25">
      <c r="A21" s="337" t="s">
        <v>1215</v>
      </c>
      <c r="C21" s="341"/>
      <c r="D21" s="338"/>
      <c r="E21" s="338"/>
      <c r="F21" s="338"/>
      <c r="G21" s="338"/>
    </row>
    <row r="22" spans="1:7" ht="23.25" customHeight="1" x14ac:dyDescent="0.25">
      <c r="A22" s="1076" t="s">
        <v>1</v>
      </c>
      <c r="B22" s="1076" t="s">
        <v>2</v>
      </c>
      <c r="C22" s="1076" t="s">
        <v>26</v>
      </c>
      <c r="D22" s="1076" t="s">
        <v>27</v>
      </c>
      <c r="E22" s="1076" t="s">
        <v>299</v>
      </c>
      <c r="F22" s="1078" t="s">
        <v>6</v>
      </c>
      <c r="G22" s="1078" t="s">
        <v>1190</v>
      </c>
    </row>
    <row r="23" spans="1:7" ht="12.75" customHeight="1" x14ac:dyDescent="0.25">
      <c r="A23" s="1076"/>
      <c r="B23" s="1076"/>
      <c r="C23" s="1076"/>
      <c r="D23" s="1076"/>
      <c r="E23" s="1076"/>
      <c r="F23" s="1079"/>
      <c r="G23" s="1079"/>
    </row>
    <row r="24" spans="1:7" x14ac:dyDescent="0.25">
      <c r="A24" s="1091" t="s">
        <v>300</v>
      </c>
      <c r="B24" s="1091"/>
      <c r="C24" s="243">
        <f>SUM(C25:C30)</f>
        <v>12644</v>
      </c>
      <c r="D24" s="243">
        <f>SUM(D25:D30)</f>
        <v>12642.86</v>
      </c>
      <c r="E24" s="243">
        <f>SUM(E25:E30)</f>
        <v>21173</v>
      </c>
      <c r="F24" s="243"/>
      <c r="G24" s="243">
        <f>SUM(G25:G30)</f>
        <v>20408</v>
      </c>
    </row>
    <row r="25" spans="1:7" ht="36" x14ac:dyDescent="0.25">
      <c r="A25" s="860">
        <v>1</v>
      </c>
      <c r="B25" s="865" t="s">
        <v>902</v>
      </c>
      <c r="C25" s="89">
        <v>1233</v>
      </c>
      <c r="D25" s="89">
        <v>1233</v>
      </c>
      <c r="E25" s="89">
        <v>1200</v>
      </c>
      <c r="F25" s="243">
        <v>2244</v>
      </c>
      <c r="G25" s="89">
        <v>1200</v>
      </c>
    </row>
    <row r="26" spans="1:7" x14ac:dyDescent="0.25">
      <c r="A26" s="244">
        <v>2</v>
      </c>
      <c r="B26" s="61" t="s">
        <v>903</v>
      </c>
      <c r="C26" s="89">
        <v>3179</v>
      </c>
      <c r="D26" s="89">
        <v>3178.36</v>
      </c>
      <c r="E26" s="89">
        <v>3178</v>
      </c>
      <c r="F26" s="243">
        <v>2279</v>
      </c>
      <c r="G26" s="89">
        <v>3178</v>
      </c>
    </row>
    <row r="27" spans="1:7" ht="24" x14ac:dyDescent="0.25">
      <c r="A27" s="244">
        <v>3</v>
      </c>
      <c r="B27" s="51" t="s">
        <v>904</v>
      </c>
      <c r="C27" s="89">
        <f>4269-1161</f>
        <v>3108</v>
      </c>
      <c r="D27" s="89">
        <v>3107.5</v>
      </c>
      <c r="E27" s="89">
        <v>2000</v>
      </c>
      <c r="F27" s="243">
        <v>2279</v>
      </c>
      <c r="G27" s="89">
        <v>2000</v>
      </c>
    </row>
    <row r="28" spans="1:7" ht="24" x14ac:dyDescent="0.25">
      <c r="A28" s="244">
        <v>4</v>
      </c>
      <c r="B28" s="51" t="s">
        <v>905</v>
      </c>
      <c r="C28" s="89">
        <v>0</v>
      </c>
      <c r="D28" s="88">
        <v>0</v>
      </c>
      <c r="E28" s="88">
        <v>2235</v>
      </c>
      <c r="F28" s="243">
        <v>2279</v>
      </c>
      <c r="G28" s="89">
        <v>2235</v>
      </c>
    </row>
    <row r="29" spans="1:7" x14ac:dyDescent="0.25">
      <c r="A29" s="391">
        <v>5</v>
      </c>
      <c r="B29" s="392" t="s">
        <v>1220</v>
      </c>
      <c r="C29" s="89">
        <v>5124</v>
      </c>
      <c r="D29" s="89">
        <v>5124</v>
      </c>
      <c r="E29" s="88">
        <f>4260+7500</f>
        <v>11760</v>
      </c>
      <c r="F29" s="243">
        <v>2279</v>
      </c>
      <c r="G29" s="89">
        <f>4260+6735</f>
        <v>10995</v>
      </c>
    </row>
    <row r="30" spans="1:7" ht="24" x14ac:dyDescent="0.25">
      <c r="A30" s="244">
        <v>6</v>
      </c>
      <c r="B30" s="51" t="s">
        <v>1023</v>
      </c>
      <c r="C30" s="89">
        <v>0</v>
      </c>
      <c r="D30" s="89">
        <v>0</v>
      </c>
      <c r="E30" s="89">
        <v>800</v>
      </c>
      <c r="F30" s="243">
        <v>2279</v>
      </c>
      <c r="G30" s="89">
        <v>800</v>
      </c>
    </row>
    <row r="31" spans="1:7" x14ac:dyDescent="0.25">
      <c r="A31" s="339"/>
      <c r="B31" s="339"/>
      <c r="C31" s="340"/>
      <c r="D31" s="340"/>
      <c r="E31" s="340"/>
      <c r="F31" s="340"/>
      <c r="G31" s="340"/>
    </row>
    <row r="32" spans="1:7" x14ac:dyDescent="0.25">
      <c r="A32" s="337" t="s">
        <v>1216</v>
      </c>
      <c r="C32" s="956"/>
      <c r="D32" s="956"/>
      <c r="E32" s="956"/>
      <c r="F32" s="956"/>
      <c r="G32" s="956"/>
    </row>
    <row r="33" spans="1:8" x14ac:dyDescent="0.25">
      <c r="A33" s="337" t="s">
        <v>1217</v>
      </c>
      <c r="C33" s="341"/>
      <c r="D33" s="338"/>
      <c r="E33" s="338"/>
      <c r="F33" s="338"/>
      <c r="G33" s="338"/>
    </row>
    <row r="34" spans="1:8" ht="22.5" customHeight="1" x14ac:dyDescent="0.25">
      <c r="A34" s="1076" t="s">
        <v>1</v>
      </c>
      <c r="B34" s="1076" t="s">
        <v>2</v>
      </c>
      <c r="C34" s="1076" t="s">
        <v>26</v>
      </c>
      <c r="D34" s="1076" t="s">
        <v>27</v>
      </c>
      <c r="E34" s="1076" t="s">
        <v>299</v>
      </c>
      <c r="F34" s="1078" t="s">
        <v>6</v>
      </c>
      <c r="G34" s="1078" t="s">
        <v>1190</v>
      </c>
    </row>
    <row r="35" spans="1:8" ht="12.75" customHeight="1" x14ac:dyDescent="0.25">
      <c r="A35" s="1076"/>
      <c r="B35" s="1076"/>
      <c r="C35" s="1076"/>
      <c r="D35" s="1076"/>
      <c r="E35" s="1076"/>
      <c r="F35" s="1079"/>
      <c r="G35" s="1079"/>
    </row>
    <row r="36" spans="1:8" x14ac:dyDescent="0.25">
      <c r="A36" s="1085" t="s">
        <v>300</v>
      </c>
      <c r="B36" s="1086"/>
      <c r="C36" s="243">
        <f>SUM(C37:C40)</f>
        <v>24758</v>
      </c>
      <c r="D36" s="243">
        <f>SUM(D37:D40)</f>
        <v>24758</v>
      </c>
      <c r="E36" s="243">
        <f>SUM(E37:E40)</f>
        <v>44250</v>
      </c>
      <c r="F36" s="243"/>
      <c r="G36" s="243">
        <f>SUM(G37:G40)</f>
        <v>30885</v>
      </c>
    </row>
    <row r="37" spans="1:8" ht="12" customHeight="1" x14ac:dyDescent="0.25">
      <c r="A37" s="864">
        <v>1</v>
      </c>
      <c r="B37" s="868" t="s">
        <v>906</v>
      </c>
      <c r="C37" s="89">
        <v>24758</v>
      </c>
      <c r="D37" s="89">
        <v>24758</v>
      </c>
      <c r="E37" s="89">
        <f>12000+19000</f>
        <v>31000</v>
      </c>
      <c r="F37" s="243">
        <v>2279</v>
      </c>
      <c r="G37" s="89">
        <v>18800</v>
      </c>
    </row>
    <row r="38" spans="1:8" ht="24" x14ac:dyDescent="0.25">
      <c r="A38" s="244">
        <v>2</v>
      </c>
      <c r="B38" s="51" t="s">
        <v>907</v>
      </c>
      <c r="C38" s="89">
        <v>0</v>
      </c>
      <c r="D38" s="89">
        <v>0</v>
      </c>
      <c r="E38" s="89">
        <v>1750</v>
      </c>
      <c r="F38" s="243">
        <v>2312</v>
      </c>
      <c r="G38" s="89">
        <v>1750</v>
      </c>
    </row>
    <row r="39" spans="1:8" ht="25.5" customHeight="1" x14ac:dyDescent="0.25">
      <c r="A39" s="1078">
        <v>3</v>
      </c>
      <c r="B39" s="1082" t="s">
        <v>908</v>
      </c>
      <c r="C39" s="89">
        <v>0</v>
      </c>
      <c r="D39" s="89">
        <v>0</v>
      </c>
      <c r="E39" s="89">
        <f>5500+1500</f>
        <v>7000</v>
      </c>
      <c r="F39" s="243">
        <v>2279</v>
      </c>
      <c r="G39" s="89">
        <v>7000</v>
      </c>
    </row>
    <row r="40" spans="1:8" x14ac:dyDescent="0.25">
      <c r="A40" s="1079"/>
      <c r="B40" s="1083"/>
      <c r="C40" s="89">
        <v>0</v>
      </c>
      <c r="D40" s="89">
        <v>0</v>
      </c>
      <c r="E40" s="89">
        <v>4500</v>
      </c>
      <c r="F40" s="243">
        <v>5110</v>
      </c>
      <c r="G40" s="89">
        <v>3335</v>
      </c>
    </row>
    <row r="41" spans="1:8" x14ac:dyDescent="0.25">
      <c r="A41" s="339"/>
      <c r="B41" s="339"/>
      <c r="C41" s="340"/>
      <c r="D41" s="340"/>
      <c r="E41" s="340"/>
      <c r="F41" s="340"/>
      <c r="G41" s="340"/>
    </row>
    <row r="42" spans="1:8" x14ac:dyDescent="0.25">
      <c r="A42" s="337" t="s">
        <v>1218</v>
      </c>
      <c r="C42" s="1090"/>
      <c r="D42" s="1090"/>
      <c r="E42" s="1090"/>
      <c r="F42" s="1090"/>
      <c r="G42" s="1090"/>
    </row>
    <row r="43" spans="1:8" x14ac:dyDescent="0.25">
      <c r="A43" s="337" t="s">
        <v>1219</v>
      </c>
      <c r="C43" s="341"/>
      <c r="D43" s="338"/>
      <c r="E43" s="338"/>
      <c r="F43" s="338"/>
      <c r="G43" s="338"/>
    </row>
    <row r="44" spans="1:8" ht="22.5" customHeight="1" x14ac:dyDescent="0.25">
      <c r="A44" s="1076" t="s">
        <v>1</v>
      </c>
      <c r="B44" s="1076" t="s">
        <v>2</v>
      </c>
      <c r="C44" s="1076" t="s">
        <v>26</v>
      </c>
      <c r="D44" s="1076" t="s">
        <v>27</v>
      </c>
      <c r="E44" s="1076" t="s">
        <v>299</v>
      </c>
      <c r="F44" s="1078" t="s">
        <v>6</v>
      </c>
      <c r="G44" s="1078" t="s">
        <v>1190</v>
      </c>
    </row>
    <row r="45" spans="1:8" ht="12.75" customHeight="1" x14ac:dyDescent="0.25">
      <c r="A45" s="1076"/>
      <c r="B45" s="1076"/>
      <c r="C45" s="1076"/>
      <c r="D45" s="1076"/>
      <c r="E45" s="1076"/>
      <c r="F45" s="1079"/>
      <c r="G45" s="1079"/>
    </row>
    <row r="46" spans="1:8" x14ac:dyDescent="0.25">
      <c r="A46" s="1085" t="s">
        <v>300</v>
      </c>
      <c r="B46" s="1086"/>
      <c r="C46" s="243">
        <f>SUM(C47:C56)</f>
        <v>13365</v>
      </c>
      <c r="D46" s="243">
        <f>SUM(D47:D56)</f>
        <v>13315.28</v>
      </c>
      <c r="E46" s="243">
        <f>SUM(E47:E56)</f>
        <v>31198</v>
      </c>
      <c r="F46" s="243"/>
      <c r="G46" s="243">
        <f>SUM(G47:G56)</f>
        <v>27341</v>
      </c>
    </row>
    <row r="47" spans="1:8" x14ac:dyDescent="0.25">
      <c r="A47" s="1076">
        <v>1</v>
      </c>
      <c r="B47" s="1087" t="s">
        <v>909</v>
      </c>
      <c r="C47" s="89">
        <v>712</v>
      </c>
      <c r="D47" s="89">
        <v>711.44</v>
      </c>
      <c r="E47" s="89">
        <v>712</v>
      </c>
      <c r="F47" s="252">
        <v>2279</v>
      </c>
      <c r="G47" s="89">
        <v>712</v>
      </c>
      <c r="H47" s="342"/>
    </row>
    <row r="48" spans="1:8" x14ac:dyDescent="0.25">
      <c r="A48" s="1076"/>
      <c r="B48" s="1087"/>
      <c r="C48" s="89">
        <v>7684</v>
      </c>
      <c r="D48" s="89">
        <v>7680</v>
      </c>
      <c r="E48" s="89">
        <v>9900</v>
      </c>
      <c r="F48" s="252">
        <v>1150</v>
      </c>
      <c r="G48" s="89">
        <v>8640</v>
      </c>
      <c r="H48" s="342"/>
    </row>
    <row r="49" spans="1:8" x14ac:dyDescent="0.25">
      <c r="A49" s="1076"/>
      <c r="B49" s="1087"/>
      <c r="C49" s="88">
        <v>1813</v>
      </c>
      <c r="D49" s="88">
        <v>1767.84</v>
      </c>
      <c r="E49" s="88">
        <v>2336</v>
      </c>
      <c r="F49" s="252">
        <v>1210</v>
      </c>
      <c r="G49" s="89">
        <v>2039</v>
      </c>
      <c r="H49" s="342"/>
    </row>
    <row r="50" spans="1:8" x14ac:dyDescent="0.25">
      <c r="A50" s="1076"/>
      <c r="B50" s="1087"/>
      <c r="C50" s="89">
        <f>997+98</f>
        <v>1095</v>
      </c>
      <c r="D50" s="246">
        <f>997+98</f>
        <v>1095</v>
      </c>
      <c r="E50" s="343">
        <v>1900</v>
      </c>
      <c r="F50" s="252">
        <v>2243</v>
      </c>
      <c r="G50" s="89">
        <v>1900</v>
      </c>
      <c r="H50" s="342"/>
    </row>
    <row r="51" spans="1:8" x14ac:dyDescent="0.25">
      <c r="A51" s="1076"/>
      <c r="B51" s="1087"/>
      <c r="C51" s="89">
        <f>2846-1135-68</f>
        <v>1643</v>
      </c>
      <c r="D51" s="89">
        <v>1643</v>
      </c>
      <c r="E51" s="89">
        <f>5000+200</f>
        <v>5200</v>
      </c>
      <c r="F51" s="243">
        <v>2279</v>
      </c>
      <c r="G51" s="89">
        <v>3200</v>
      </c>
      <c r="H51" s="342"/>
    </row>
    <row r="52" spans="1:8" x14ac:dyDescent="0.25">
      <c r="A52" s="1076"/>
      <c r="B52" s="1087"/>
      <c r="C52" s="89"/>
      <c r="D52" s="89"/>
      <c r="E52" s="89"/>
      <c r="F52" s="243">
        <v>2363</v>
      </c>
      <c r="G52" s="89">
        <v>400</v>
      </c>
      <c r="H52" s="342"/>
    </row>
    <row r="53" spans="1:8" x14ac:dyDescent="0.25">
      <c r="A53" s="1076"/>
      <c r="B53" s="1087"/>
      <c r="C53" s="89">
        <f>470-52</f>
        <v>418</v>
      </c>
      <c r="D53" s="393">
        <v>418</v>
      </c>
      <c r="E53" s="343">
        <f>700+2500</f>
        <v>3200</v>
      </c>
      <c r="F53" s="252">
        <v>2314</v>
      </c>
      <c r="G53" s="89">
        <v>2500</v>
      </c>
      <c r="H53" s="342"/>
    </row>
    <row r="54" spans="1:8" x14ac:dyDescent="0.25">
      <c r="A54" s="1088">
        <v>2</v>
      </c>
      <c r="B54" s="1089" t="s">
        <v>910</v>
      </c>
      <c r="C54" s="344">
        <v>0</v>
      </c>
      <c r="D54" s="344">
        <v>0</v>
      </c>
      <c r="E54" s="345">
        <v>1200</v>
      </c>
      <c r="F54" s="346">
        <v>5231</v>
      </c>
      <c r="G54" s="344">
        <v>1200</v>
      </c>
    </row>
    <row r="55" spans="1:8" x14ac:dyDescent="0.25">
      <c r="A55" s="1079"/>
      <c r="B55" s="1083"/>
      <c r="C55" s="89">
        <v>0</v>
      </c>
      <c r="D55" s="89">
        <v>0</v>
      </c>
      <c r="E55" s="89">
        <v>250</v>
      </c>
      <c r="F55" s="243">
        <v>5239</v>
      </c>
      <c r="G55" s="89">
        <v>250</v>
      </c>
    </row>
    <row r="56" spans="1:8" x14ac:dyDescent="0.25">
      <c r="A56" s="244">
        <v>3</v>
      </c>
      <c r="B56" s="51" t="s">
        <v>911</v>
      </c>
      <c r="C56" s="89">
        <v>0</v>
      </c>
      <c r="D56" s="89">
        <v>0</v>
      </c>
      <c r="E56" s="89">
        <v>6500</v>
      </c>
      <c r="F56" s="243">
        <v>5110</v>
      </c>
      <c r="G56" s="89">
        <v>6500</v>
      </c>
    </row>
  </sheetData>
  <sortState ref="C47:H54">
    <sortCondition ref="F47:F54"/>
  </sortState>
  <mergeCells count="43">
    <mergeCell ref="B1:G1"/>
    <mergeCell ref="A16:B16"/>
    <mergeCell ref="C6:G6"/>
    <mergeCell ref="A8:G8"/>
    <mergeCell ref="C12:G12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4:B24"/>
    <mergeCell ref="A22:A23"/>
    <mergeCell ref="B22:B23"/>
    <mergeCell ref="C22:C23"/>
    <mergeCell ref="D22:D23"/>
    <mergeCell ref="E22:E23"/>
    <mergeCell ref="F34:F35"/>
    <mergeCell ref="G34:G35"/>
    <mergeCell ref="A36:B36"/>
    <mergeCell ref="A39:A40"/>
    <mergeCell ref="B39:B40"/>
    <mergeCell ref="A34:A35"/>
    <mergeCell ref="B34:B35"/>
    <mergeCell ref="C34:C35"/>
    <mergeCell ref="D34:D35"/>
    <mergeCell ref="E34:E35"/>
    <mergeCell ref="C42:G42"/>
    <mergeCell ref="A44:A45"/>
    <mergeCell ref="B44:B45"/>
    <mergeCell ref="C44:C45"/>
    <mergeCell ref="D44:D45"/>
    <mergeCell ref="E44:E45"/>
    <mergeCell ref="F44:F45"/>
    <mergeCell ref="G44:G45"/>
    <mergeCell ref="A46:B46"/>
    <mergeCell ref="A47:A53"/>
    <mergeCell ref="B47:B53"/>
    <mergeCell ref="A54:A55"/>
    <mergeCell ref="B54:B5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99"/>
  </sheetPr>
  <dimension ref="A1:AS124"/>
  <sheetViews>
    <sheetView zoomScaleNormal="100" workbookViewId="0">
      <selection activeCell="B2" sqref="B2"/>
    </sheetView>
  </sheetViews>
  <sheetFormatPr defaultRowHeight="12" x14ac:dyDescent="0.2"/>
  <cols>
    <col min="1" max="1" width="4.7109375" style="1" customWidth="1"/>
    <col min="2" max="2" width="62.5703125" style="1" customWidth="1"/>
    <col min="3" max="3" width="11.85546875" style="32" hidden="1" customWidth="1"/>
    <col min="4" max="4" width="11.140625" style="32" hidden="1" customWidth="1"/>
    <col min="5" max="5" width="10.28515625" style="32" hidden="1" customWidth="1"/>
    <col min="6" max="6" width="10.5703125" style="32" customWidth="1"/>
    <col min="7" max="7" width="9.7109375" style="32" customWidth="1"/>
    <col min="8" max="247" width="9.140625" style="1"/>
    <col min="248" max="248" width="6.140625" style="1" customWidth="1"/>
    <col min="249" max="249" width="44.85546875" style="1" customWidth="1"/>
    <col min="250" max="250" width="11.85546875" style="1" customWidth="1"/>
    <col min="251" max="251" width="11.140625" style="1" customWidth="1"/>
    <col min="252" max="252" width="10.28515625" style="1" customWidth="1"/>
    <col min="253" max="253" width="10.5703125" style="1" customWidth="1"/>
    <col min="254" max="254" width="9.7109375" style="1" customWidth="1"/>
    <col min="255" max="255" width="41.5703125" style="1" customWidth="1"/>
    <col min="256" max="257" width="9.140625" style="1"/>
    <col min="258" max="258" width="17.42578125" style="1" customWidth="1"/>
    <col min="259" max="259" width="9.140625" style="1"/>
    <col min="260" max="260" width="13.7109375" style="1" customWidth="1"/>
    <col min="261" max="503" width="9.140625" style="1"/>
    <col min="504" max="504" width="6.140625" style="1" customWidth="1"/>
    <col min="505" max="505" width="44.85546875" style="1" customWidth="1"/>
    <col min="506" max="506" width="11.85546875" style="1" customWidth="1"/>
    <col min="507" max="507" width="11.140625" style="1" customWidth="1"/>
    <col min="508" max="508" width="10.28515625" style="1" customWidth="1"/>
    <col min="509" max="509" width="10.5703125" style="1" customWidth="1"/>
    <col min="510" max="510" width="9.7109375" style="1" customWidth="1"/>
    <col min="511" max="511" width="41.5703125" style="1" customWidth="1"/>
    <col min="512" max="513" width="9.140625" style="1"/>
    <col min="514" max="514" width="17.42578125" style="1" customWidth="1"/>
    <col min="515" max="515" width="9.140625" style="1"/>
    <col min="516" max="516" width="13.7109375" style="1" customWidth="1"/>
    <col min="517" max="759" width="9.140625" style="1"/>
    <col min="760" max="760" width="6.140625" style="1" customWidth="1"/>
    <col min="761" max="761" width="44.85546875" style="1" customWidth="1"/>
    <col min="762" max="762" width="11.85546875" style="1" customWidth="1"/>
    <col min="763" max="763" width="11.140625" style="1" customWidth="1"/>
    <col min="764" max="764" width="10.28515625" style="1" customWidth="1"/>
    <col min="765" max="765" width="10.5703125" style="1" customWidth="1"/>
    <col min="766" max="766" width="9.7109375" style="1" customWidth="1"/>
    <col min="767" max="767" width="41.5703125" style="1" customWidth="1"/>
    <col min="768" max="769" width="9.140625" style="1"/>
    <col min="770" max="770" width="17.42578125" style="1" customWidth="1"/>
    <col min="771" max="771" width="9.140625" style="1"/>
    <col min="772" max="772" width="13.7109375" style="1" customWidth="1"/>
    <col min="773" max="1015" width="9.140625" style="1"/>
    <col min="1016" max="1016" width="6.140625" style="1" customWidth="1"/>
    <col min="1017" max="1017" width="44.85546875" style="1" customWidth="1"/>
    <col min="1018" max="1018" width="11.85546875" style="1" customWidth="1"/>
    <col min="1019" max="1019" width="11.140625" style="1" customWidth="1"/>
    <col min="1020" max="1020" width="10.28515625" style="1" customWidth="1"/>
    <col min="1021" max="1021" width="10.5703125" style="1" customWidth="1"/>
    <col min="1022" max="1022" width="9.7109375" style="1" customWidth="1"/>
    <col min="1023" max="1023" width="41.5703125" style="1" customWidth="1"/>
    <col min="1024" max="1025" width="9.140625" style="1"/>
    <col min="1026" max="1026" width="17.42578125" style="1" customWidth="1"/>
    <col min="1027" max="1027" width="9.140625" style="1"/>
    <col min="1028" max="1028" width="13.7109375" style="1" customWidth="1"/>
    <col min="1029" max="1271" width="9.140625" style="1"/>
    <col min="1272" max="1272" width="6.140625" style="1" customWidth="1"/>
    <col min="1273" max="1273" width="44.85546875" style="1" customWidth="1"/>
    <col min="1274" max="1274" width="11.85546875" style="1" customWidth="1"/>
    <col min="1275" max="1275" width="11.140625" style="1" customWidth="1"/>
    <col min="1276" max="1276" width="10.28515625" style="1" customWidth="1"/>
    <col min="1277" max="1277" width="10.5703125" style="1" customWidth="1"/>
    <col min="1278" max="1278" width="9.7109375" style="1" customWidth="1"/>
    <col min="1279" max="1279" width="41.5703125" style="1" customWidth="1"/>
    <col min="1280" max="1281" width="9.140625" style="1"/>
    <col min="1282" max="1282" width="17.42578125" style="1" customWidth="1"/>
    <col min="1283" max="1283" width="9.140625" style="1"/>
    <col min="1284" max="1284" width="13.7109375" style="1" customWidth="1"/>
    <col min="1285" max="1527" width="9.140625" style="1"/>
    <col min="1528" max="1528" width="6.140625" style="1" customWidth="1"/>
    <col min="1529" max="1529" width="44.85546875" style="1" customWidth="1"/>
    <col min="1530" max="1530" width="11.85546875" style="1" customWidth="1"/>
    <col min="1531" max="1531" width="11.140625" style="1" customWidth="1"/>
    <col min="1532" max="1532" width="10.28515625" style="1" customWidth="1"/>
    <col min="1533" max="1533" width="10.5703125" style="1" customWidth="1"/>
    <col min="1534" max="1534" width="9.7109375" style="1" customWidth="1"/>
    <col min="1535" max="1535" width="41.5703125" style="1" customWidth="1"/>
    <col min="1536" max="1537" width="9.140625" style="1"/>
    <col min="1538" max="1538" width="17.42578125" style="1" customWidth="1"/>
    <col min="1539" max="1539" width="9.140625" style="1"/>
    <col min="1540" max="1540" width="13.7109375" style="1" customWidth="1"/>
    <col min="1541" max="1783" width="9.140625" style="1"/>
    <col min="1784" max="1784" width="6.140625" style="1" customWidth="1"/>
    <col min="1785" max="1785" width="44.85546875" style="1" customWidth="1"/>
    <col min="1786" max="1786" width="11.85546875" style="1" customWidth="1"/>
    <col min="1787" max="1787" width="11.140625" style="1" customWidth="1"/>
    <col min="1788" max="1788" width="10.28515625" style="1" customWidth="1"/>
    <col min="1789" max="1789" width="10.5703125" style="1" customWidth="1"/>
    <col min="1790" max="1790" width="9.7109375" style="1" customWidth="1"/>
    <col min="1791" max="1791" width="41.5703125" style="1" customWidth="1"/>
    <col min="1792" max="1793" width="9.140625" style="1"/>
    <col min="1794" max="1794" width="17.42578125" style="1" customWidth="1"/>
    <col min="1795" max="1795" width="9.140625" style="1"/>
    <col min="1796" max="1796" width="13.7109375" style="1" customWidth="1"/>
    <col min="1797" max="2039" width="9.140625" style="1"/>
    <col min="2040" max="2040" width="6.140625" style="1" customWidth="1"/>
    <col min="2041" max="2041" width="44.85546875" style="1" customWidth="1"/>
    <col min="2042" max="2042" width="11.85546875" style="1" customWidth="1"/>
    <col min="2043" max="2043" width="11.140625" style="1" customWidth="1"/>
    <col min="2044" max="2044" width="10.28515625" style="1" customWidth="1"/>
    <col min="2045" max="2045" width="10.5703125" style="1" customWidth="1"/>
    <col min="2046" max="2046" width="9.7109375" style="1" customWidth="1"/>
    <col min="2047" max="2047" width="41.5703125" style="1" customWidth="1"/>
    <col min="2048" max="2049" width="9.140625" style="1"/>
    <col min="2050" max="2050" width="17.42578125" style="1" customWidth="1"/>
    <col min="2051" max="2051" width="9.140625" style="1"/>
    <col min="2052" max="2052" width="13.7109375" style="1" customWidth="1"/>
    <col min="2053" max="2295" width="9.140625" style="1"/>
    <col min="2296" max="2296" width="6.140625" style="1" customWidth="1"/>
    <col min="2297" max="2297" width="44.85546875" style="1" customWidth="1"/>
    <col min="2298" max="2298" width="11.85546875" style="1" customWidth="1"/>
    <col min="2299" max="2299" width="11.140625" style="1" customWidth="1"/>
    <col min="2300" max="2300" width="10.28515625" style="1" customWidth="1"/>
    <col min="2301" max="2301" width="10.5703125" style="1" customWidth="1"/>
    <col min="2302" max="2302" width="9.7109375" style="1" customWidth="1"/>
    <col min="2303" max="2303" width="41.5703125" style="1" customWidth="1"/>
    <col min="2304" max="2305" width="9.140625" style="1"/>
    <col min="2306" max="2306" width="17.42578125" style="1" customWidth="1"/>
    <col min="2307" max="2307" width="9.140625" style="1"/>
    <col min="2308" max="2308" width="13.7109375" style="1" customWidth="1"/>
    <col min="2309" max="2551" width="9.140625" style="1"/>
    <col min="2552" max="2552" width="6.140625" style="1" customWidth="1"/>
    <col min="2553" max="2553" width="44.85546875" style="1" customWidth="1"/>
    <col min="2554" max="2554" width="11.85546875" style="1" customWidth="1"/>
    <col min="2555" max="2555" width="11.140625" style="1" customWidth="1"/>
    <col min="2556" max="2556" width="10.28515625" style="1" customWidth="1"/>
    <col min="2557" max="2557" width="10.5703125" style="1" customWidth="1"/>
    <col min="2558" max="2558" width="9.7109375" style="1" customWidth="1"/>
    <col min="2559" max="2559" width="41.5703125" style="1" customWidth="1"/>
    <col min="2560" max="2561" width="9.140625" style="1"/>
    <col min="2562" max="2562" width="17.42578125" style="1" customWidth="1"/>
    <col min="2563" max="2563" width="9.140625" style="1"/>
    <col min="2564" max="2564" width="13.7109375" style="1" customWidth="1"/>
    <col min="2565" max="2807" width="9.140625" style="1"/>
    <col min="2808" max="2808" width="6.140625" style="1" customWidth="1"/>
    <col min="2809" max="2809" width="44.85546875" style="1" customWidth="1"/>
    <col min="2810" max="2810" width="11.85546875" style="1" customWidth="1"/>
    <col min="2811" max="2811" width="11.140625" style="1" customWidth="1"/>
    <col min="2812" max="2812" width="10.28515625" style="1" customWidth="1"/>
    <col min="2813" max="2813" width="10.5703125" style="1" customWidth="1"/>
    <col min="2814" max="2814" width="9.7109375" style="1" customWidth="1"/>
    <col min="2815" max="2815" width="41.5703125" style="1" customWidth="1"/>
    <col min="2816" max="2817" width="9.140625" style="1"/>
    <col min="2818" max="2818" width="17.42578125" style="1" customWidth="1"/>
    <col min="2819" max="2819" width="9.140625" style="1"/>
    <col min="2820" max="2820" width="13.7109375" style="1" customWidth="1"/>
    <col min="2821" max="3063" width="9.140625" style="1"/>
    <col min="3064" max="3064" width="6.140625" style="1" customWidth="1"/>
    <col min="3065" max="3065" width="44.85546875" style="1" customWidth="1"/>
    <col min="3066" max="3066" width="11.85546875" style="1" customWidth="1"/>
    <col min="3067" max="3067" width="11.140625" style="1" customWidth="1"/>
    <col min="3068" max="3068" width="10.28515625" style="1" customWidth="1"/>
    <col min="3069" max="3069" width="10.5703125" style="1" customWidth="1"/>
    <col min="3070" max="3070" width="9.7109375" style="1" customWidth="1"/>
    <col min="3071" max="3071" width="41.5703125" style="1" customWidth="1"/>
    <col min="3072" max="3073" width="9.140625" style="1"/>
    <col min="3074" max="3074" width="17.42578125" style="1" customWidth="1"/>
    <col min="3075" max="3075" width="9.140625" style="1"/>
    <col min="3076" max="3076" width="13.7109375" style="1" customWidth="1"/>
    <col min="3077" max="3319" width="9.140625" style="1"/>
    <col min="3320" max="3320" width="6.140625" style="1" customWidth="1"/>
    <col min="3321" max="3321" width="44.85546875" style="1" customWidth="1"/>
    <col min="3322" max="3322" width="11.85546875" style="1" customWidth="1"/>
    <col min="3323" max="3323" width="11.140625" style="1" customWidth="1"/>
    <col min="3324" max="3324" width="10.28515625" style="1" customWidth="1"/>
    <col min="3325" max="3325" width="10.5703125" style="1" customWidth="1"/>
    <col min="3326" max="3326" width="9.7109375" style="1" customWidth="1"/>
    <col min="3327" max="3327" width="41.5703125" style="1" customWidth="1"/>
    <col min="3328" max="3329" width="9.140625" style="1"/>
    <col min="3330" max="3330" width="17.42578125" style="1" customWidth="1"/>
    <col min="3331" max="3331" width="9.140625" style="1"/>
    <col min="3332" max="3332" width="13.7109375" style="1" customWidth="1"/>
    <col min="3333" max="3575" width="9.140625" style="1"/>
    <col min="3576" max="3576" width="6.140625" style="1" customWidth="1"/>
    <col min="3577" max="3577" width="44.85546875" style="1" customWidth="1"/>
    <col min="3578" max="3578" width="11.85546875" style="1" customWidth="1"/>
    <col min="3579" max="3579" width="11.140625" style="1" customWidth="1"/>
    <col min="3580" max="3580" width="10.28515625" style="1" customWidth="1"/>
    <col min="3581" max="3581" width="10.5703125" style="1" customWidth="1"/>
    <col min="3582" max="3582" width="9.7109375" style="1" customWidth="1"/>
    <col min="3583" max="3583" width="41.5703125" style="1" customWidth="1"/>
    <col min="3584" max="3585" width="9.140625" style="1"/>
    <col min="3586" max="3586" width="17.42578125" style="1" customWidth="1"/>
    <col min="3587" max="3587" width="9.140625" style="1"/>
    <col min="3588" max="3588" width="13.7109375" style="1" customWidth="1"/>
    <col min="3589" max="3831" width="9.140625" style="1"/>
    <col min="3832" max="3832" width="6.140625" style="1" customWidth="1"/>
    <col min="3833" max="3833" width="44.85546875" style="1" customWidth="1"/>
    <col min="3834" max="3834" width="11.85546875" style="1" customWidth="1"/>
    <col min="3835" max="3835" width="11.140625" style="1" customWidth="1"/>
    <col min="3836" max="3836" width="10.28515625" style="1" customWidth="1"/>
    <col min="3837" max="3837" width="10.5703125" style="1" customWidth="1"/>
    <col min="3838" max="3838" width="9.7109375" style="1" customWidth="1"/>
    <col min="3839" max="3839" width="41.5703125" style="1" customWidth="1"/>
    <col min="3840" max="3841" width="9.140625" style="1"/>
    <col min="3842" max="3842" width="17.42578125" style="1" customWidth="1"/>
    <col min="3843" max="3843" width="9.140625" style="1"/>
    <col min="3844" max="3844" width="13.7109375" style="1" customWidth="1"/>
    <col min="3845" max="4087" width="9.140625" style="1"/>
    <col min="4088" max="4088" width="6.140625" style="1" customWidth="1"/>
    <col min="4089" max="4089" width="44.85546875" style="1" customWidth="1"/>
    <col min="4090" max="4090" width="11.85546875" style="1" customWidth="1"/>
    <col min="4091" max="4091" width="11.140625" style="1" customWidth="1"/>
    <col min="4092" max="4092" width="10.28515625" style="1" customWidth="1"/>
    <col min="4093" max="4093" width="10.5703125" style="1" customWidth="1"/>
    <col min="4094" max="4094" width="9.7109375" style="1" customWidth="1"/>
    <col min="4095" max="4095" width="41.5703125" style="1" customWidth="1"/>
    <col min="4096" max="4097" width="9.140625" style="1"/>
    <col min="4098" max="4098" width="17.42578125" style="1" customWidth="1"/>
    <col min="4099" max="4099" width="9.140625" style="1"/>
    <col min="4100" max="4100" width="13.7109375" style="1" customWidth="1"/>
    <col min="4101" max="4343" width="9.140625" style="1"/>
    <col min="4344" max="4344" width="6.140625" style="1" customWidth="1"/>
    <col min="4345" max="4345" width="44.85546875" style="1" customWidth="1"/>
    <col min="4346" max="4346" width="11.85546875" style="1" customWidth="1"/>
    <col min="4347" max="4347" width="11.140625" style="1" customWidth="1"/>
    <col min="4348" max="4348" width="10.28515625" style="1" customWidth="1"/>
    <col min="4349" max="4349" width="10.5703125" style="1" customWidth="1"/>
    <col min="4350" max="4350" width="9.7109375" style="1" customWidth="1"/>
    <col min="4351" max="4351" width="41.5703125" style="1" customWidth="1"/>
    <col min="4352" max="4353" width="9.140625" style="1"/>
    <col min="4354" max="4354" width="17.42578125" style="1" customWidth="1"/>
    <col min="4355" max="4355" width="9.140625" style="1"/>
    <col min="4356" max="4356" width="13.7109375" style="1" customWidth="1"/>
    <col min="4357" max="4599" width="9.140625" style="1"/>
    <col min="4600" max="4600" width="6.140625" style="1" customWidth="1"/>
    <col min="4601" max="4601" width="44.85546875" style="1" customWidth="1"/>
    <col min="4602" max="4602" width="11.85546875" style="1" customWidth="1"/>
    <col min="4603" max="4603" width="11.140625" style="1" customWidth="1"/>
    <col min="4604" max="4604" width="10.28515625" style="1" customWidth="1"/>
    <col min="4605" max="4605" width="10.5703125" style="1" customWidth="1"/>
    <col min="4606" max="4606" width="9.7109375" style="1" customWidth="1"/>
    <col min="4607" max="4607" width="41.5703125" style="1" customWidth="1"/>
    <col min="4608" max="4609" width="9.140625" style="1"/>
    <col min="4610" max="4610" width="17.42578125" style="1" customWidth="1"/>
    <col min="4611" max="4611" width="9.140625" style="1"/>
    <col min="4612" max="4612" width="13.7109375" style="1" customWidth="1"/>
    <col min="4613" max="4855" width="9.140625" style="1"/>
    <col min="4856" max="4856" width="6.140625" style="1" customWidth="1"/>
    <col min="4857" max="4857" width="44.85546875" style="1" customWidth="1"/>
    <col min="4858" max="4858" width="11.85546875" style="1" customWidth="1"/>
    <col min="4859" max="4859" width="11.140625" style="1" customWidth="1"/>
    <col min="4860" max="4860" width="10.28515625" style="1" customWidth="1"/>
    <col min="4861" max="4861" width="10.5703125" style="1" customWidth="1"/>
    <col min="4862" max="4862" width="9.7109375" style="1" customWidth="1"/>
    <col min="4863" max="4863" width="41.5703125" style="1" customWidth="1"/>
    <col min="4864" max="4865" width="9.140625" style="1"/>
    <col min="4866" max="4866" width="17.42578125" style="1" customWidth="1"/>
    <col min="4867" max="4867" width="9.140625" style="1"/>
    <col min="4868" max="4868" width="13.7109375" style="1" customWidth="1"/>
    <col min="4869" max="5111" width="9.140625" style="1"/>
    <col min="5112" max="5112" width="6.140625" style="1" customWidth="1"/>
    <col min="5113" max="5113" width="44.85546875" style="1" customWidth="1"/>
    <col min="5114" max="5114" width="11.85546875" style="1" customWidth="1"/>
    <col min="5115" max="5115" width="11.140625" style="1" customWidth="1"/>
    <col min="5116" max="5116" width="10.28515625" style="1" customWidth="1"/>
    <col min="5117" max="5117" width="10.5703125" style="1" customWidth="1"/>
    <col min="5118" max="5118" width="9.7109375" style="1" customWidth="1"/>
    <col min="5119" max="5119" width="41.5703125" style="1" customWidth="1"/>
    <col min="5120" max="5121" width="9.140625" style="1"/>
    <col min="5122" max="5122" width="17.42578125" style="1" customWidth="1"/>
    <col min="5123" max="5123" width="9.140625" style="1"/>
    <col min="5124" max="5124" width="13.7109375" style="1" customWidth="1"/>
    <col min="5125" max="5367" width="9.140625" style="1"/>
    <col min="5368" max="5368" width="6.140625" style="1" customWidth="1"/>
    <col min="5369" max="5369" width="44.85546875" style="1" customWidth="1"/>
    <col min="5370" max="5370" width="11.85546875" style="1" customWidth="1"/>
    <col min="5371" max="5371" width="11.140625" style="1" customWidth="1"/>
    <col min="5372" max="5372" width="10.28515625" style="1" customWidth="1"/>
    <col min="5373" max="5373" width="10.5703125" style="1" customWidth="1"/>
    <col min="5374" max="5374" width="9.7109375" style="1" customWidth="1"/>
    <col min="5375" max="5375" width="41.5703125" style="1" customWidth="1"/>
    <col min="5376" max="5377" width="9.140625" style="1"/>
    <col min="5378" max="5378" width="17.42578125" style="1" customWidth="1"/>
    <col min="5379" max="5379" width="9.140625" style="1"/>
    <col min="5380" max="5380" width="13.7109375" style="1" customWidth="1"/>
    <col min="5381" max="5623" width="9.140625" style="1"/>
    <col min="5624" max="5624" width="6.140625" style="1" customWidth="1"/>
    <col min="5625" max="5625" width="44.85546875" style="1" customWidth="1"/>
    <col min="5626" max="5626" width="11.85546875" style="1" customWidth="1"/>
    <col min="5627" max="5627" width="11.140625" style="1" customWidth="1"/>
    <col min="5628" max="5628" width="10.28515625" style="1" customWidth="1"/>
    <col min="5629" max="5629" width="10.5703125" style="1" customWidth="1"/>
    <col min="5630" max="5630" width="9.7109375" style="1" customWidth="1"/>
    <col min="5631" max="5631" width="41.5703125" style="1" customWidth="1"/>
    <col min="5632" max="5633" width="9.140625" style="1"/>
    <col min="5634" max="5634" width="17.42578125" style="1" customWidth="1"/>
    <col min="5635" max="5635" width="9.140625" style="1"/>
    <col min="5636" max="5636" width="13.7109375" style="1" customWidth="1"/>
    <col min="5637" max="5879" width="9.140625" style="1"/>
    <col min="5880" max="5880" width="6.140625" style="1" customWidth="1"/>
    <col min="5881" max="5881" width="44.85546875" style="1" customWidth="1"/>
    <col min="5882" max="5882" width="11.85546875" style="1" customWidth="1"/>
    <col min="5883" max="5883" width="11.140625" style="1" customWidth="1"/>
    <col min="5884" max="5884" width="10.28515625" style="1" customWidth="1"/>
    <col min="5885" max="5885" width="10.5703125" style="1" customWidth="1"/>
    <col min="5886" max="5886" width="9.7109375" style="1" customWidth="1"/>
    <col min="5887" max="5887" width="41.5703125" style="1" customWidth="1"/>
    <col min="5888" max="5889" width="9.140625" style="1"/>
    <col min="5890" max="5890" width="17.42578125" style="1" customWidth="1"/>
    <col min="5891" max="5891" width="9.140625" style="1"/>
    <col min="5892" max="5892" width="13.7109375" style="1" customWidth="1"/>
    <col min="5893" max="6135" width="9.140625" style="1"/>
    <col min="6136" max="6136" width="6.140625" style="1" customWidth="1"/>
    <col min="6137" max="6137" width="44.85546875" style="1" customWidth="1"/>
    <col min="6138" max="6138" width="11.85546875" style="1" customWidth="1"/>
    <col min="6139" max="6139" width="11.140625" style="1" customWidth="1"/>
    <col min="6140" max="6140" width="10.28515625" style="1" customWidth="1"/>
    <col min="6141" max="6141" width="10.5703125" style="1" customWidth="1"/>
    <col min="6142" max="6142" width="9.7109375" style="1" customWidth="1"/>
    <col min="6143" max="6143" width="41.5703125" style="1" customWidth="1"/>
    <col min="6144" max="6145" width="9.140625" style="1"/>
    <col min="6146" max="6146" width="17.42578125" style="1" customWidth="1"/>
    <col min="6147" max="6147" width="9.140625" style="1"/>
    <col min="6148" max="6148" width="13.7109375" style="1" customWidth="1"/>
    <col min="6149" max="6391" width="9.140625" style="1"/>
    <col min="6392" max="6392" width="6.140625" style="1" customWidth="1"/>
    <col min="6393" max="6393" width="44.85546875" style="1" customWidth="1"/>
    <col min="6394" max="6394" width="11.85546875" style="1" customWidth="1"/>
    <col min="6395" max="6395" width="11.140625" style="1" customWidth="1"/>
    <col min="6396" max="6396" width="10.28515625" style="1" customWidth="1"/>
    <col min="6397" max="6397" width="10.5703125" style="1" customWidth="1"/>
    <col min="6398" max="6398" width="9.7109375" style="1" customWidth="1"/>
    <col min="6399" max="6399" width="41.5703125" style="1" customWidth="1"/>
    <col min="6400" max="6401" width="9.140625" style="1"/>
    <col min="6402" max="6402" width="17.42578125" style="1" customWidth="1"/>
    <col min="6403" max="6403" width="9.140625" style="1"/>
    <col min="6404" max="6404" width="13.7109375" style="1" customWidth="1"/>
    <col min="6405" max="6647" width="9.140625" style="1"/>
    <col min="6648" max="6648" width="6.140625" style="1" customWidth="1"/>
    <col min="6649" max="6649" width="44.85546875" style="1" customWidth="1"/>
    <col min="6650" max="6650" width="11.85546875" style="1" customWidth="1"/>
    <col min="6651" max="6651" width="11.140625" style="1" customWidth="1"/>
    <col min="6652" max="6652" width="10.28515625" style="1" customWidth="1"/>
    <col min="6653" max="6653" width="10.5703125" style="1" customWidth="1"/>
    <col min="6654" max="6654" width="9.7109375" style="1" customWidth="1"/>
    <col min="6655" max="6655" width="41.5703125" style="1" customWidth="1"/>
    <col min="6656" max="6657" width="9.140625" style="1"/>
    <col min="6658" max="6658" width="17.42578125" style="1" customWidth="1"/>
    <col min="6659" max="6659" width="9.140625" style="1"/>
    <col min="6660" max="6660" width="13.7109375" style="1" customWidth="1"/>
    <col min="6661" max="6903" width="9.140625" style="1"/>
    <col min="6904" max="6904" width="6.140625" style="1" customWidth="1"/>
    <col min="6905" max="6905" width="44.85546875" style="1" customWidth="1"/>
    <col min="6906" max="6906" width="11.85546875" style="1" customWidth="1"/>
    <col min="6907" max="6907" width="11.140625" style="1" customWidth="1"/>
    <col min="6908" max="6908" width="10.28515625" style="1" customWidth="1"/>
    <col min="6909" max="6909" width="10.5703125" style="1" customWidth="1"/>
    <col min="6910" max="6910" width="9.7109375" style="1" customWidth="1"/>
    <col min="6911" max="6911" width="41.5703125" style="1" customWidth="1"/>
    <col min="6912" max="6913" width="9.140625" style="1"/>
    <col min="6914" max="6914" width="17.42578125" style="1" customWidth="1"/>
    <col min="6915" max="6915" width="9.140625" style="1"/>
    <col min="6916" max="6916" width="13.7109375" style="1" customWidth="1"/>
    <col min="6917" max="7159" width="9.140625" style="1"/>
    <col min="7160" max="7160" width="6.140625" style="1" customWidth="1"/>
    <col min="7161" max="7161" width="44.85546875" style="1" customWidth="1"/>
    <col min="7162" max="7162" width="11.85546875" style="1" customWidth="1"/>
    <col min="7163" max="7163" width="11.140625" style="1" customWidth="1"/>
    <col min="7164" max="7164" width="10.28515625" style="1" customWidth="1"/>
    <col min="7165" max="7165" width="10.5703125" style="1" customWidth="1"/>
    <col min="7166" max="7166" width="9.7109375" style="1" customWidth="1"/>
    <col min="7167" max="7167" width="41.5703125" style="1" customWidth="1"/>
    <col min="7168" max="7169" width="9.140625" style="1"/>
    <col min="7170" max="7170" width="17.42578125" style="1" customWidth="1"/>
    <col min="7171" max="7171" width="9.140625" style="1"/>
    <col min="7172" max="7172" width="13.7109375" style="1" customWidth="1"/>
    <col min="7173" max="7415" width="9.140625" style="1"/>
    <col min="7416" max="7416" width="6.140625" style="1" customWidth="1"/>
    <col min="7417" max="7417" width="44.85546875" style="1" customWidth="1"/>
    <col min="7418" max="7418" width="11.85546875" style="1" customWidth="1"/>
    <col min="7419" max="7419" width="11.140625" style="1" customWidth="1"/>
    <col min="7420" max="7420" width="10.28515625" style="1" customWidth="1"/>
    <col min="7421" max="7421" width="10.5703125" style="1" customWidth="1"/>
    <col min="7422" max="7422" width="9.7109375" style="1" customWidth="1"/>
    <col min="7423" max="7423" width="41.5703125" style="1" customWidth="1"/>
    <col min="7424" max="7425" width="9.140625" style="1"/>
    <col min="7426" max="7426" width="17.42578125" style="1" customWidth="1"/>
    <col min="7427" max="7427" width="9.140625" style="1"/>
    <col min="7428" max="7428" width="13.7109375" style="1" customWidth="1"/>
    <col min="7429" max="7671" width="9.140625" style="1"/>
    <col min="7672" max="7672" width="6.140625" style="1" customWidth="1"/>
    <col min="7673" max="7673" width="44.85546875" style="1" customWidth="1"/>
    <col min="7674" max="7674" width="11.85546875" style="1" customWidth="1"/>
    <col min="7675" max="7675" width="11.140625" style="1" customWidth="1"/>
    <col min="7676" max="7676" width="10.28515625" style="1" customWidth="1"/>
    <col min="7677" max="7677" width="10.5703125" style="1" customWidth="1"/>
    <col min="7678" max="7678" width="9.7109375" style="1" customWidth="1"/>
    <col min="7679" max="7679" width="41.5703125" style="1" customWidth="1"/>
    <col min="7680" max="7681" width="9.140625" style="1"/>
    <col min="7682" max="7682" width="17.42578125" style="1" customWidth="1"/>
    <col min="7683" max="7683" width="9.140625" style="1"/>
    <col min="7684" max="7684" width="13.7109375" style="1" customWidth="1"/>
    <col min="7685" max="7927" width="9.140625" style="1"/>
    <col min="7928" max="7928" width="6.140625" style="1" customWidth="1"/>
    <col min="7929" max="7929" width="44.85546875" style="1" customWidth="1"/>
    <col min="7930" max="7930" width="11.85546875" style="1" customWidth="1"/>
    <col min="7931" max="7931" width="11.140625" style="1" customWidth="1"/>
    <col min="7932" max="7932" width="10.28515625" style="1" customWidth="1"/>
    <col min="7933" max="7933" width="10.5703125" style="1" customWidth="1"/>
    <col min="7934" max="7934" width="9.7109375" style="1" customWidth="1"/>
    <col min="7935" max="7935" width="41.5703125" style="1" customWidth="1"/>
    <col min="7936" max="7937" width="9.140625" style="1"/>
    <col min="7938" max="7938" width="17.42578125" style="1" customWidth="1"/>
    <col min="7939" max="7939" width="9.140625" style="1"/>
    <col min="7940" max="7940" width="13.7109375" style="1" customWidth="1"/>
    <col min="7941" max="8183" width="9.140625" style="1"/>
    <col min="8184" max="8184" width="6.140625" style="1" customWidth="1"/>
    <col min="8185" max="8185" width="44.85546875" style="1" customWidth="1"/>
    <col min="8186" max="8186" width="11.85546875" style="1" customWidth="1"/>
    <col min="8187" max="8187" width="11.140625" style="1" customWidth="1"/>
    <col min="8188" max="8188" width="10.28515625" style="1" customWidth="1"/>
    <col min="8189" max="8189" width="10.5703125" style="1" customWidth="1"/>
    <col min="8190" max="8190" width="9.7109375" style="1" customWidth="1"/>
    <col min="8191" max="8191" width="41.5703125" style="1" customWidth="1"/>
    <col min="8192" max="8193" width="9.140625" style="1"/>
    <col min="8194" max="8194" width="17.42578125" style="1" customWidth="1"/>
    <col min="8195" max="8195" width="9.140625" style="1"/>
    <col min="8196" max="8196" width="13.7109375" style="1" customWidth="1"/>
    <col min="8197" max="8439" width="9.140625" style="1"/>
    <col min="8440" max="8440" width="6.140625" style="1" customWidth="1"/>
    <col min="8441" max="8441" width="44.85546875" style="1" customWidth="1"/>
    <col min="8442" max="8442" width="11.85546875" style="1" customWidth="1"/>
    <col min="8443" max="8443" width="11.140625" style="1" customWidth="1"/>
    <col min="8444" max="8444" width="10.28515625" style="1" customWidth="1"/>
    <col min="8445" max="8445" width="10.5703125" style="1" customWidth="1"/>
    <col min="8446" max="8446" width="9.7109375" style="1" customWidth="1"/>
    <col min="8447" max="8447" width="41.5703125" style="1" customWidth="1"/>
    <col min="8448" max="8449" width="9.140625" style="1"/>
    <col min="8450" max="8450" width="17.42578125" style="1" customWidth="1"/>
    <col min="8451" max="8451" width="9.140625" style="1"/>
    <col min="8452" max="8452" width="13.7109375" style="1" customWidth="1"/>
    <col min="8453" max="8695" width="9.140625" style="1"/>
    <col min="8696" max="8696" width="6.140625" style="1" customWidth="1"/>
    <col min="8697" max="8697" width="44.85546875" style="1" customWidth="1"/>
    <col min="8698" max="8698" width="11.85546875" style="1" customWidth="1"/>
    <col min="8699" max="8699" width="11.140625" style="1" customWidth="1"/>
    <col min="8700" max="8700" width="10.28515625" style="1" customWidth="1"/>
    <col min="8701" max="8701" width="10.5703125" style="1" customWidth="1"/>
    <col min="8702" max="8702" width="9.7109375" style="1" customWidth="1"/>
    <col min="8703" max="8703" width="41.5703125" style="1" customWidth="1"/>
    <col min="8704" max="8705" width="9.140625" style="1"/>
    <col min="8706" max="8706" width="17.42578125" style="1" customWidth="1"/>
    <col min="8707" max="8707" width="9.140625" style="1"/>
    <col min="8708" max="8708" width="13.7109375" style="1" customWidth="1"/>
    <col min="8709" max="8951" width="9.140625" style="1"/>
    <col min="8952" max="8952" width="6.140625" style="1" customWidth="1"/>
    <col min="8953" max="8953" width="44.85546875" style="1" customWidth="1"/>
    <col min="8954" max="8954" width="11.85546875" style="1" customWidth="1"/>
    <col min="8955" max="8955" width="11.140625" style="1" customWidth="1"/>
    <col min="8956" max="8956" width="10.28515625" style="1" customWidth="1"/>
    <col min="8957" max="8957" width="10.5703125" style="1" customWidth="1"/>
    <col min="8958" max="8958" width="9.7109375" style="1" customWidth="1"/>
    <col min="8959" max="8959" width="41.5703125" style="1" customWidth="1"/>
    <col min="8960" max="8961" width="9.140625" style="1"/>
    <col min="8962" max="8962" width="17.42578125" style="1" customWidth="1"/>
    <col min="8963" max="8963" width="9.140625" style="1"/>
    <col min="8964" max="8964" width="13.7109375" style="1" customWidth="1"/>
    <col min="8965" max="9207" width="9.140625" style="1"/>
    <col min="9208" max="9208" width="6.140625" style="1" customWidth="1"/>
    <col min="9209" max="9209" width="44.85546875" style="1" customWidth="1"/>
    <col min="9210" max="9210" width="11.85546875" style="1" customWidth="1"/>
    <col min="9211" max="9211" width="11.140625" style="1" customWidth="1"/>
    <col min="9212" max="9212" width="10.28515625" style="1" customWidth="1"/>
    <col min="9213" max="9213" width="10.5703125" style="1" customWidth="1"/>
    <col min="9214" max="9214" width="9.7109375" style="1" customWidth="1"/>
    <col min="9215" max="9215" width="41.5703125" style="1" customWidth="1"/>
    <col min="9216" max="9217" width="9.140625" style="1"/>
    <col min="9218" max="9218" width="17.42578125" style="1" customWidth="1"/>
    <col min="9219" max="9219" width="9.140625" style="1"/>
    <col min="9220" max="9220" width="13.7109375" style="1" customWidth="1"/>
    <col min="9221" max="9463" width="9.140625" style="1"/>
    <col min="9464" max="9464" width="6.140625" style="1" customWidth="1"/>
    <col min="9465" max="9465" width="44.85546875" style="1" customWidth="1"/>
    <col min="9466" max="9466" width="11.85546875" style="1" customWidth="1"/>
    <col min="9467" max="9467" width="11.140625" style="1" customWidth="1"/>
    <col min="9468" max="9468" width="10.28515625" style="1" customWidth="1"/>
    <col min="9469" max="9469" width="10.5703125" style="1" customWidth="1"/>
    <col min="9470" max="9470" width="9.7109375" style="1" customWidth="1"/>
    <col min="9471" max="9471" width="41.5703125" style="1" customWidth="1"/>
    <col min="9472" max="9473" width="9.140625" style="1"/>
    <col min="9474" max="9474" width="17.42578125" style="1" customWidth="1"/>
    <col min="9475" max="9475" width="9.140625" style="1"/>
    <col min="9476" max="9476" width="13.7109375" style="1" customWidth="1"/>
    <col min="9477" max="9719" width="9.140625" style="1"/>
    <col min="9720" max="9720" width="6.140625" style="1" customWidth="1"/>
    <col min="9721" max="9721" width="44.85546875" style="1" customWidth="1"/>
    <col min="9722" max="9722" width="11.85546875" style="1" customWidth="1"/>
    <col min="9723" max="9723" width="11.140625" style="1" customWidth="1"/>
    <col min="9724" max="9724" width="10.28515625" style="1" customWidth="1"/>
    <col min="9725" max="9725" width="10.5703125" style="1" customWidth="1"/>
    <col min="9726" max="9726" width="9.7109375" style="1" customWidth="1"/>
    <col min="9727" max="9727" width="41.5703125" style="1" customWidth="1"/>
    <col min="9728" max="9729" width="9.140625" style="1"/>
    <col min="9730" max="9730" width="17.42578125" style="1" customWidth="1"/>
    <col min="9731" max="9731" width="9.140625" style="1"/>
    <col min="9732" max="9732" width="13.7109375" style="1" customWidth="1"/>
    <col min="9733" max="9975" width="9.140625" style="1"/>
    <col min="9976" max="9976" width="6.140625" style="1" customWidth="1"/>
    <col min="9977" max="9977" width="44.85546875" style="1" customWidth="1"/>
    <col min="9978" max="9978" width="11.85546875" style="1" customWidth="1"/>
    <col min="9979" max="9979" width="11.140625" style="1" customWidth="1"/>
    <col min="9980" max="9980" width="10.28515625" style="1" customWidth="1"/>
    <col min="9981" max="9981" width="10.5703125" style="1" customWidth="1"/>
    <col min="9982" max="9982" width="9.7109375" style="1" customWidth="1"/>
    <col min="9983" max="9983" width="41.5703125" style="1" customWidth="1"/>
    <col min="9984" max="9985" width="9.140625" style="1"/>
    <col min="9986" max="9986" width="17.42578125" style="1" customWidth="1"/>
    <col min="9987" max="9987" width="9.140625" style="1"/>
    <col min="9988" max="9988" width="13.7109375" style="1" customWidth="1"/>
    <col min="9989" max="10231" width="9.140625" style="1"/>
    <col min="10232" max="10232" width="6.140625" style="1" customWidth="1"/>
    <col min="10233" max="10233" width="44.85546875" style="1" customWidth="1"/>
    <col min="10234" max="10234" width="11.85546875" style="1" customWidth="1"/>
    <col min="10235" max="10235" width="11.140625" style="1" customWidth="1"/>
    <col min="10236" max="10236" width="10.28515625" style="1" customWidth="1"/>
    <col min="10237" max="10237" width="10.5703125" style="1" customWidth="1"/>
    <col min="10238" max="10238" width="9.7109375" style="1" customWidth="1"/>
    <col min="10239" max="10239" width="41.5703125" style="1" customWidth="1"/>
    <col min="10240" max="10241" width="9.140625" style="1"/>
    <col min="10242" max="10242" width="17.42578125" style="1" customWidth="1"/>
    <col min="10243" max="10243" width="9.140625" style="1"/>
    <col min="10244" max="10244" width="13.7109375" style="1" customWidth="1"/>
    <col min="10245" max="10487" width="9.140625" style="1"/>
    <col min="10488" max="10488" width="6.140625" style="1" customWidth="1"/>
    <col min="10489" max="10489" width="44.85546875" style="1" customWidth="1"/>
    <col min="10490" max="10490" width="11.85546875" style="1" customWidth="1"/>
    <col min="10491" max="10491" width="11.140625" style="1" customWidth="1"/>
    <col min="10492" max="10492" width="10.28515625" style="1" customWidth="1"/>
    <col min="10493" max="10493" width="10.5703125" style="1" customWidth="1"/>
    <col min="10494" max="10494" width="9.7109375" style="1" customWidth="1"/>
    <col min="10495" max="10495" width="41.5703125" style="1" customWidth="1"/>
    <col min="10496" max="10497" width="9.140625" style="1"/>
    <col min="10498" max="10498" width="17.42578125" style="1" customWidth="1"/>
    <col min="10499" max="10499" width="9.140625" style="1"/>
    <col min="10500" max="10500" width="13.7109375" style="1" customWidth="1"/>
    <col min="10501" max="10743" width="9.140625" style="1"/>
    <col min="10744" max="10744" width="6.140625" style="1" customWidth="1"/>
    <col min="10745" max="10745" width="44.85546875" style="1" customWidth="1"/>
    <col min="10746" max="10746" width="11.85546875" style="1" customWidth="1"/>
    <col min="10747" max="10747" width="11.140625" style="1" customWidth="1"/>
    <col min="10748" max="10748" width="10.28515625" style="1" customWidth="1"/>
    <col min="10749" max="10749" width="10.5703125" style="1" customWidth="1"/>
    <col min="10750" max="10750" width="9.7109375" style="1" customWidth="1"/>
    <col min="10751" max="10751" width="41.5703125" style="1" customWidth="1"/>
    <col min="10752" max="10753" width="9.140625" style="1"/>
    <col min="10754" max="10754" width="17.42578125" style="1" customWidth="1"/>
    <col min="10755" max="10755" width="9.140625" style="1"/>
    <col min="10756" max="10756" width="13.7109375" style="1" customWidth="1"/>
    <col min="10757" max="10999" width="9.140625" style="1"/>
    <col min="11000" max="11000" width="6.140625" style="1" customWidth="1"/>
    <col min="11001" max="11001" width="44.85546875" style="1" customWidth="1"/>
    <col min="11002" max="11002" width="11.85546875" style="1" customWidth="1"/>
    <col min="11003" max="11003" width="11.140625" style="1" customWidth="1"/>
    <col min="11004" max="11004" width="10.28515625" style="1" customWidth="1"/>
    <col min="11005" max="11005" width="10.5703125" style="1" customWidth="1"/>
    <col min="11006" max="11006" width="9.7109375" style="1" customWidth="1"/>
    <col min="11007" max="11007" width="41.5703125" style="1" customWidth="1"/>
    <col min="11008" max="11009" width="9.140625" style="1"/>
    <col min="11010" max="11010" width="17.42578125" style="1" customWidth="1"/>
    <col min="11011" max="11011" width="9.140625" style="1"/>
    <col min="11012" max="11012" width="13.7109375" style="1" customWidth="1"/>
    <col min="11013" max="11255" width="9.140625" style="1"/>
    <col min="11256" max="11256" width="6.140625" style="1" customWidth="1"/>
    <col min="11257" max="11257" width="44.85546875" style="1" customWidth="1"/>
    <col min="11258" max="11258" width="11.85546875" style="1" customWidth="1"/>
    <col min="11259" max="11259" width="11.140625" style="1" customWidth="1"/>
    <col min="11260" max="11260" width="10.28515625" style="1" customWidth="1"/>
    <col min="11261" max="11261" width="10.5703125" style="1" customWidth="1"/>
    <col min="11262" max="11262" width="9.7109375" style="1" customWidth="1"/>
    <col min="11263" max="11263" width="41.5703125" style="1" customWidth="1"/>
    <col min="11264" max="11265" width="9.140625" style="1"/>
    <col min="11266" max="11266" width="17.42578125" style="1" customWidth="1"/>
    <col min="11267" max="11267" width="9.140625" style="1"/>
    <col min="11268" max="11268" width="13.7109375" style="1" customWidth="1"/>
    <col min="11269" max="11511" width="9.140625" style="1"/>
    <col min="11512" max="11512" width="6.140625" style="1" customWidth="1"/>
    <col min="11513" max="11513" width="44.85546875" style="1" customWidth="1"/>
    <col min="11514" max="11514" width="11.85546875" style="1" customWidth="1"/>
    <col min="11515" max="11515" width="11.140625" style="1" customWidth="1"/>
    <col min="11516" max="11516" width="10.28515625" style="1" customWidth="1"/>
    <col min="11517" max="11517" width="10.5703125" style="1" customWidth="1"/>
    <col min="11518" max="11518" width="9.7109375" style="1" customWidth="1"/>
    <col min="11519" max="11519" width="41.5703125" style="1" customWidth="1"/>
    <col min="11520" max="11521" width="9.140625" style="1"/>
    <col min="11522" max="11522" width="17.42578125" style="1" customWidth="1"/>
    <col min="11523" max="11523" width="9.140625" style="1"/>
    <col min="11524" max="11524" width="13.7109375" style="1" customWidth="1"/>
    <col min="11525" max="11767" width="9.140625" style="1"/>
    <col min="11768" max="11768" width="6.140625" style="1" customWidth="1"/>
    <col min="11769" max="11769" width="44.85546875" style="1" customWidth="1"/>
    <col min="11770" max="11770" width="11.85546875" style="1" customWidth="1"/>
    <col min="11771" max="11771" width="11.140625" style="1" customWidth="1"/>
    <col min="11772" max="11772" width="10.28515625" style="1" customWidth="1"/>
    <col min="11773" max="11773" width="10.5703125" style="1" customWidth="1"/>
    <col min="11774" max="11774" width="9.7109375" style="1" customWidth="1"/>
    <col min="11775" max="11775" width="41.5703125" style="1" customWidth="1"/>
    <col min="11776" max="11777" width="9.140625" style="1"/>
    <col min="11778" max="11778" width="17.42578125" style="1" customWidth="1"/>
    <col min="11779" max="11779" width="9.140625" style="1"/>
    <col min="11780" max="11780" width="13.7109375" style="1" customWidth="1"/>
    <col min="11781" max="12023" width="9.140625" style="1"/>
    <col min="12024" max="12024" width="6.140625" style="1" customWidth="1"/>
    <col min="12025" max="12025" width="44.85546875" style="1" customWidth="1"/>
    <col min="12026" max="12026" width="11.85546875" style="1" customWidth="1"/>
    <col min="12027" max="12027" width="11.140625" style="1" customWidth="1"/>
    <col min="12028" max="12028" width="10.28515625" style="1" customWidth="1"/>
    <col min="12029" max="12029" width="10.5703125" style="1" customWidth="1"/>
    <col min="12030" max="12030" width="9.7109375" style="1" customWidth="1"/>
    <col min="12031" max="12031" width="41.5703125" style="1" customWidth="1"/>
    <col min="12032" max="12033" width="9.140625" style="1"/>
    <col min="12034" max="12034" width="17.42578125" style="1" customWidth="1"/>
    <col min="12035" max="12035" width="9.140625" style="1"/>
    <col min="12036" max="12036" width="13.7109375" style="1" customWidth="1"/>
    <col min="12037" max="12279" width="9.140625" style="1"/>
    <col min="12280" max="12280" width="6.140625" style="1" customWidth="1"/>
    <col min="12281" max="12281" width="44.85546875" style="1" customWidth="1"/>
    <col min="12282" max="12282" width="11.85546875" style="1" customWidth="1"/>
    <col min="12283" max="12283" width="11.140625" style="1" customWidth="1"/>
    <col min="12284" max="12284" width="10.28515625" style="1" customWidth="1"/>
    <col min="12285" max="12285" width="10.5703125" style="1" customWidth="1"/>
    <col min="12286" max="12286" width="9.7109375" style="1" customWidth="1"/>
    <col min="12287" max="12287" width="41.5703125" style="1" customWidth="1"/>
    <col min="12288" max="12289" width="9.140625" style="1"/>
    <col min="12290" max="12290" width="17.42578125" style="1" customWidth="1"/>
    <col min="12291" max="12291" width="9.140625" style="1"/>
    <col min="12292" max="12292" width="13.7109375" style="1" customWidth="1"/>
    <col min="12293" max="12535" width="9.140625" style="1"/>
    <col min="12536" max="12536" width="6.140625" style="1" customWidth="1"/>
    <col min="12537" max="12537" width="44.85546875" style="1" customWidth="1"/>
    <col min="12538" max="12538" width="11.85546875" style="1" customWidth="1"/>
    <col min="12539" max="12539" width="11.140625" style="1" customWidth="1"/>
    <col min="12540" max="12540" width="10.28515625" style="1" customWidth="1"/>
    <col min="12541" max="12541" width="10.5703125" style="1" customWidth="1"/>
    <col min="12542" max="12542" width="9.7109375" style="1" customWidth="1"/>
    <col min="12543" max="12543" width="41.5703125" style="1" customWidth="1"/>
    <col min="12544" max="12545" width="9.140625" style="1"/>
    <col min="12546" max="12546" width="17.42578125" style="1" customWidth="1"/>
    <col min="12547" max="12547" width="9.140625" style="1"/>
    <col min="12548" max="12548" width="13.7109375" style="1" customWidth="1"/>
    <col min="12549" max="12791" width="9.140625" style="1"/>
    <col min="12792" max="12792" width="6.140625" style="1" customWidth="1"/>
    <col min="12793" max="12793" width="44.85546875" style="1" customWidth="1"/>
    <col min="12794" max="12794" width="11.85546875" style="1" customWidth="1"/>
    <col min="12795" max="12795" width="11.140625" style="1" customWidth="1"/>
    <col min="12796" max="12796" width="10.28515625" style="1" customWidth="1"/>
    <col min="12797" max="12797" width="10.5703125" style="1" customWidth="1"/>
    <col min="12798" max="12798" width="9.7109375" style="1" customWidth="1"/>
    <col min="12799" max="12799" width="41.5703125" style="1" customWidth="1"/>
    <col min="12800" max="12801" width="9.140625" style="1"/>
    <col min="12802" max="12802" width="17.42578125" style="1" customWidth="1"/>
    <col min="12803" max="12803" width="9.140625" style="1"/>
    <col min="12804" max="12804" width="13.7109375" style="1" customWidth="1"/>
    <col min="12805" max="13047" width="9.140625" style="1"/>
    <col min="13048" max="13048" width="6.140625" style="1" customWidth="1"/>
    <col min="13049" max="13049" width="44.85546875" style="1" customWidth="1"/>
    <col min="13050" max="13050" width="11.85546875" style="1" customWidth="1"/>
    <col min="13051" max="13051" width="11.140625" style="1" customWidth="1"/>
    <col min="13052" max="13052" width="10.28515625" style="1" customWidth="1"/>
    <col min="13053" max="13053" width="10.5703125" style="1" customWidth="1"/>
    <col min="13054" max="13054" width="9.7109375" style="1" customWidth="1"/>
    <col min="13055" max="13055" width="41.5703125" style="1" customWidth="1"/>
    <col min="13056" max="13057" width="9.140625" style="1"/>
    <col min="13058" max="13058" width="17.42578125" style="1" customWidth="1"/>
    <col min="13059" max="13059" width="9.140625" style="1"/>
    <col min="13060" max="13060" width="13.7109375" style="1" customWidth="1"/>
    <col min="13061" max="13303" width="9.140625" style="1"/>
    <col min="13304" max="13304" width="6.140625" style="1" customWidth="1"/>
    <col min="13305" max="13305" width="44.85546875" style="1" customWidth="1"/>
    <col min="13306" max="13306" width="11.85546875" style="1" customWidth="1"/>
    <col min="13307" max="13307" width="11.140625" style="1" customWidth="1"/>
    <col min="13308" max="13308" width="10.28515625" style="1" customWidth="1"/>
    <col min="13309" max="13309" width="10.5703125" style="1" customWidth="1"/>
    <col min="13310" max="13310" width="9.7109375" style="1" customWidth="1"/>
    <col min="13311" max="13311" width="41.5703125" style="1" customWidth="1"/>
    <col min="13312" max="13313" width="9.140625" style="1"/>
    <col min="13314" max="13314" width="17.42578125" style="1" customWidth="1"/>
    <col min="13315" max="13315" width="9.140625" style="1"/>
    <col min="13316" max="13316" width="13.7109375" style="1" customWidth="1"/>
    <col min="13317" max="13559" width="9.140625" style="1"/>
    <col min="13560" max="13560" width="6.140625" style="1" customWidth="1"/>
    <col min="13561" max="13561" width="44.85546875" style="1" customWidth="1"/>
    <col min="13562" max="13562" width="11.85546875" style="1" customWidth="1"/>
    <col min="13563" max="13563" width="11.140625" style="1" customWidth="1"/>
    <col min="13564" max="13564" width="10.28515625" style="1" customWidth="1"/>
    <col min="13565" max="13565" width="10.5703125" style="1" customWidth="1"/>
    <col min="13566" max="13566" width="9.7109375" style="1" customWidth="1"/>
    <col min="13567" max="13567" width="41.5703125" style="1" customWidth="1"/>
    <col min="13568" max="13569" width="9.140625" style="1"/>
    <col min="13570" max="13570" width="17.42578125" style="1" customWidth="1"/>
    <col min="13571" max="13571" width="9.140625" style="1"/>
    <col min="13572" max="13572" width="13.7109375" style="1" customWidth="1"/>
    <col min="13573" max="13815" width="9.140625" style="1"/>
    <col min="13816" max="13816" width="6.140625" style="1" customWidth="1"/>
    <col min="13817" max="13817" width="44.85546875" style="1" customWidth="1"/>
    <col min="13818" max="13818" width="11.85546875" style="1" customWidth="1"/>
    <col min="13819" max="13819" width="11.140625" style="1" customWidth="1"/>
    <col min="13820" max="13820" width="10.28515625" style="1" customWidth="1"/>
    <col min="13821" max="13821" width="10.5703125" style="1" customWidth="1"/>
    <col min="13822" max="13822" width="9.7109375" style="1" customWidth="1"/>
    <col min="13823" max="13823" width="41.5703125" style="1" customWidth="1"/>
    <col min="13824" max="13825" width="9.140625" style="1"/>
    <col min="13826" max="13826" width="17.42578125" style="1" customWidth="1"/>
    <col min="13827" max="13827" width="9.140625" style="1"/>
    <col min="13828" max="13828" width="13.7109375" style="1" customWidth="1"/>
    <col min="13829" max="14071" width="9.140625" style="1"/>
    <col min="14072" max="14072" width="6.140625" style="1" customWidth="1"/>
    <col min="14073" max="14073" width="44.85546875" style="1" customWidth="1"/>
    <col min="14074" max="14074" width="11.85546875" style="1" customWidth="1"/>
    <col min="14075" max="14075" width="11.140625" style="1" customWidth="1"/>
    <col min="14076" max="14076" width="10.28515625" style="1" customWidth="1"/>
    <col min="14077" max="14077" width="10.5703125" style="1" customWidth="1"/>
    <col min="14078" max="14078" width="9.7109375" style="1" customWidth="1"/>
    <col min="14079" max="14079" width="41.5703125" style="1" customWidth="1"/>
    <col min="14080" max="14081" width="9.140625" style="1"/>
    <col min="14082" max="14082" width="17.42578125" style="1" customWidth="1"/>
    <col min="14083" max="14083" width="9.140625" style="1"/>
    <col min="14084" max="14084" width="13.7109375" style="1" customWidth="1"/>
    <col min="14085" max="14327" width="9.140625" style="1"/>
    <col min="14328" max="14328" width="6.140625" style="1" customWidth="1"/>
    <col min="14329" max="14329" width="44.85546875" style="1" customWidth="1"/>
    <col min="14330" max="14330" width="11.85546875" style="1" customWidth="1"/>
    <col min="14331" max="14331" width="11.140625" style="1" customWidth="1"/>
    <col min="14332" max="14332" width="10.28515625" style="1" customWidth="1"/>
    <col min="14333" max="14333" width="10.5703125" style="1" customWidth="1"/>
    <col min="14334" max="14334" width="9.7109375" style="1" customWidth="1"/>
    <col min="14335" max="14335" width="41.5703125" style="1" customWidth="1"/>
    <col min="14336" max="14337" width="9.140625" style="1"/>
    <col min="14338" max="14338" width="17.42578125" style="1" customWidth="1"/>
    <col min="14339" max="14339" width="9.140625" style="1"/>
    <col min="14340" max="14340" width="13.7109375" style="1" customWidth="1"/>
    <col min="14341" max="14583" width="9.140625" style="1"/>
    <col min="14584" max="14584" width="6.140625" style="1" customWidth="1"/>
    <col min="14585" max="14585" width="44.85546875" style="1" customWidth="1"/>
    <col min="14586" max="14586" width="11.85546875" style="1" customWidth="1"/>
    <col min="14587" max="14587" width="11.140625" style="1" customWidth="1"/>
    <col min="14588" max="14588" width="10.28515625" style="1" customWidth="1"/>
    <col min="14589" max="14589" width="10.5703125" style="1" customWidth="1"/>
    <col min="14590" max="14590" width="9.7109375" style="1" customWidth="1"/>
    <col min="14591" max="14591" width="41.5703125" style="1" customWidth="1"/>
    <col min="14592" max="14593" width="9.140625" style="1"/>
    <col min="14594" max="14594" width="17.42578125" style="1" customWidth="1"/>
    <col min="14595" max="14595" width="9.140625" style="1"/>
    <col min="14596" max="14596" width="13.7109375" style="1" customWidth="1"/>
    <col min="14597" max="14839" width="9.140625" style="1"/>
    <col min="14840" max="14840" width="6.140625" style="1" customWidth="1"/>
    <col min="14841" max="14841" width="44.85546875" style="1" customWidth="1"/>
    <col min="14842" max="14842" width="11.85546875" style="1" customWidth="1"/>
    <col min="14843" max="14843" width="11.140625" style="1" customWidth="1"/>
    <col min="14844" max="14844" width="10.28515625" style="1" customWidth="1"/>
    <col min="14845" max="14845" width="10.5703125" style="1" customWidth="1"/>
    <col min="14846" max="14846" width="9.7109375" style="1" customWidth="1"/>
    <col min="14847" max="14847" width="41.5703125" style="1" customWidth="1"/>
    <col min="14848" max="14849" width="9.140625" style="1"/>
    <col min="14850" max="14850" width="17.42578125" style="1" customWidth="1"/>
    <col min="14851" max="14851" width="9.140625" style="1"/>
    <col min="14852" max="14852" width="13.7109375" style="1" customWidth="1"/>
    <col min="14853" max="15095" width="9.140625" style="1"/>
    <col min="15096" max="15096" width="6.140625" style="1" customWidth="1"/>
    <col min="15097" max="15097" width="44.85546875" style="1" customWidth="1"/>
    <col min="15098" max="15098" width="11.85546875" style="1" customWidth="1"/>
    <col min="15099" max="15099" width="11.140625" style="1" customWidth="1"/>
    <col min="15100" max="15100" width="10.28515625" style="1" customWidth="1"/>
    <col min="15101" max="15101" width="10.5703125" style="1" customWidth="1"/>
    <col min="15102" max="15102" width="9.7109375" style="1" customWidth="1"/>
    <col min="15103" max="15103" width="41.5703125" style="1" customWidth="1"/>
    <col min="15104" max="15105" width="9.140625" style="1"/>
    <col min="15106" max="15106" width="17.42578125" style="1" customWidth="1"/>
    <col min="15107" max="15107" width="9.140625" style="1"/>
    <col min="15108" max="15108" width="13.7109375" style="1" customWidth="1"/>
    <col min="15109" max="15351" width="9.140625" style="1"/>
    <col min="15352" max="15352" width="6.140625" style="1" customWidth="1"/>
    <col min="15353" max="15353" width="44.85546875" style="1" customWidth="1"/>
    <col min="15354" max="15354" width="11.85546875" style="1" customWidth="1"/>
    <col min="15355" max="15355" width="11.140625" style="1" customWidth="1"/>
    <col min="15356" max="15356" width="10.28515625" style="1" customWidth="1"/>
    <col min="15357" max="15357" width="10.5703125" style="1" customWidth="1"/>
    <col min="15358" max="15358" width="9.7109375" style="1" customWidth="1"/>
    <col min="15359" max="15359" width="41.5703125" style="1" customWidth="1"/>
    <col min="15360" max="15361" width="9.140625" style="1"/>
    <col min="15362" max="15362" width="17.42578125" style="1" customWidth="1"/>
    <col min="15363" max="15363" width="9.140625" style="1"/>
    <col min="15364" max="15364" width="13.7109375" style="1" customWidth="1"/>
    <col min="15365" max="15607" width="9.140625" style="1"/>
    <col min="15608" max="15608" width="6.140625" style="1" customWidth="1"/>
    <col min="15609" max="15609" width="44.85546875" style="1" customWidth="1"/>
    <col min="15610" max="15610" width="11.85546875" style="1" customWidth="1"/>
    <col min="15611" max="15611" width="11.140625" style="1" customWidth="1"/>
    <col min="15612" max="15612" width="10.28515625" style="1" customWidth="1"/>
    <col min="15613" max="15613" width="10.5703125" style="1" customWidth="1"/>
    <col min="15614" max="15614" width="9.7109375" style="1" customWidth="1"/>
    <col min="15615" max="15615" width="41.5703125" style="1" customWidth="1"/>
    <col min="15616" max="15617" width="9.140625" style="1"/>
    <col min="15618" max="15618" width="17.42578125" style="1" customWidth="1"/>
    <col min="15619" max="15619" width="9.140625" style="1"/>
    <col min="15620" max="15620" width="13.7109375" style="1" customWidth="1"/>
    <col min="15621" max="15863" width="9.140625" style="1"/>
    <col min="15864" max="15864" width="6.140625" style="1" customWidth="1"/>
    <col min="15865" max="15865" width="44.85546875" style="1" customWidth="1"/>
    <col min="15866" max="15866" width="11.85546875" style="1" customWidth="1"/>
    <col min="15867" max="15867" width="11.140625" style="1" customWidth="1"/>
    <col min="15868" max="15868" width="10.28515625" style="1" customWidth="1"/>
    <col min="15869" max="15869" width="10.5703125" style="1" customWidth="1"/>
    <col min="15870" max="15870" width="9.7109375" style="1" customWidth="1"/>
    <col min="15871" max="15871" width="41.5703125" style="1" customWidth="1"/>
    <col min="15872" max="15873" width="9.140625" style="1"/>
    <col min="15874" max="15874" width="17.42578125" style="1" customWidth="1"/>
    <col min="15875" max="15875" width="9.140625" style="1"/>
    <col min="15876" max="15876" width="13.7109375" style="1" customWidth="1"/>
    <col min="15877" max="16119" width="9.140625" style="1"/>
    <col min="16120" max="16120" width="6.140625" style="1" customWidth="1"/>
    <col min="16121" max="16121" width="44.85546875" style="1" customWidth="1"/>
    <col min="16122" max="16122" width="11.85546875" style="1" customWidth="1"/>
    <col min="16123" max="16123" width="11.140625" style="1" customWidth="1"/>
    <col min="16124" max="16124" width="10.28515625" style="1" customWidth="1"/>
    <col min="16125" max="16125" width="10.5703125" style="1" customWidth="1"/>
    <col min="16126" max="16126" width="9.7109375" style="1" customWidth="1"/>
    <col min="16127" max="16127" width="41.5703125" style="1" customWidth="1"/>
    <col min="16128" max="16129" width="9.140625" style="1"/>
    <col min="16130" max="16130" width="17.42578125" style="1" customWidth="1"/>
    <col min="16131" max="16131" width="9.140625" style="1"/>
    <col min="16132" max="16132" width="13.7109375" style="1" customWidth="1"/>
    <col min="16133" max="16384" width="9.140625" style="1"/>
  </cols>
  <sheetData>
    <row r="1" spans="1:7" ht="16.5" x14ac:dyDescent="0.25">
      <c r="B1" s="1034" t="s">
        <v>1247</v>
      </c>
      <c r="C1" s="1034"/>
      <c r="D1" s="1034"/>
      <c r="E1" s="1034"/>
      <c r="F1" s="1034"/>
      <c r="G1" s="1034"/>
    </row>
    <row r="2" spans="1:7" ht="16.5" x14ac:dyDescent="0.25">
      <c r="C2" s="950"/>
      <c r="D2" s="950"/>
      <c r="E2" s="950"/>
      <c r="F2" s="950"/>
      <c r="G2" s="951" t="s">
        <v>1184</v>
      </c>
    </row>
    <row r="3" spans="1:7" ht="16.5" x14ac:dyDescent="0.25">
      <c r="C3" s="950"/>
      <c r="D3" s="950"/>
      <c r="E3" s="950"/>
      <c r="F3" s="950"/>
      <c r="G3" s="951" t="s">
        <v>1185</v>
      </c>
    </row>
    <row r="6" spans="1:7" x14ac:dyDescent="0.2">
      <c r="A6" s="1" t="s">
        <v>298</v>
      </c>
      <c r="B6" s="144"/>
      <c r="C6" s="1112"/>
      <c r="D6" s="1112"/>
      <c r="E6" s="1112"/>
      <c r="F6" s="1112"/>
      <c r="G6" s="1112"/>
    </row>
    <row r="7" spans="1:7" x14ac:dyDescent="0.2">
      <c r="B7" s="144"/>
      <c r="C7" s="875"/>
      <c r="D7" s="875"/>
      <c r="E7" s="875"/>
      <c r="F7" s="875"/>
      <c r="G7" s="875"/>
    </row>
    <row r="8" spans="1:7" ht="15.75" x14ac:dyDescent="0.25">
      <c r="A8" s="1044" t="s">
        <v>291</v>
      </c>
      <c r="B8" s="1044"/>
      <c r="C8" s="1044"/>
      <c r="D8" s="1044"/>
      <c r="E8" s="1044"/>
      <c r="F8" s="1044"/>
      <c r="G8" s="1044"/>
    </row>
    <row r="9" spans="1:7" ht="15.75" x14ac:dyDescent="0.25">
      <c r="A9" s="146"/>
      <c r="B9" s="146"/>
      <c r="C9" s="373"/>
      <c r="D9" s="373"/>
      <c r="E9" s="373"/>
      <c r="F9" s="373"/>
      <c r="G9" s="373"/>
    </row>
    <row r="10" spans="1:7" ht="15.75" x14ac:dyDescent="0.25">
      <c r="A10" s="1" t="s">
        <v>1222</v>
      </c>
      <c r="C10" s="957"/>
      <c r="D10" s="957"/>
      <c r="E10" s="957"/>
      <c r="F10" s="957"/>
      <c r="G10" s="957"/>
    </row>
    <row r="11" spans="1:7" x14ac:dyDescent="0.2">
      <c r="C11" s="372"/>
      <c r="D11" s="372"/>
      <c r="E11" s="372"/>
      <c r="F11" s="372"/>
      <c r="G11" s="372"/>
    </row>
    <row r="12" spans="1:7" x14ac:dyDescent="0.2">
      <c r="A12" s="1" t="s">
        <v>1223</v>
      </c>
      <c r="C12" s="375"/>
      <c r="D12" s="375"/>
      <c r="E12" s="375"/>
      <c r="F12" s="375"/>
      <c r="G12" s="375"/>
    </row>
    <row r="13" spans="1:7" x14ac:dyDescent="0.2">
      <c r="A13" s="1" t="s">
        <v>1228</v>
      </c>
      <c r="C13" s="1101"/>
      <c r="D13" s="1101"/>
      <c r="E13" s="1101"/>
      <c r="F13" s="1101"/>
      <c r="G13" s="1101"/>
    </row>
    <row r="14" spans="1:7" ht="22.5" customHeight="1" x14ac:dyDescent="0.2">
      <c r="A14" s="1102" t="s">
        <v>1</v>
      </c>
      <c r="B14" s="1102" t="s">
        <v>2</v>
      </c>
      <c r="C14" s="1045" t="s">
        <v>26</v>
      </c>
      <c r="D14" s="1045" t="s">
        <v>27</v>
      </c>
      <c r="E14" s="1045" t="s">
        <v>299</v>
      </c>
      <c r="F14" s="1046" t="s">
        <v>6</v>
      </c>
      <c r="G14" s="1046" t="s">
        <v>1190</v>
      </c>
    </row>
    <row r="15" spans="1:7" ht="12.75" customHeight="1" x14ac:dyDescent="0.2">
      <c r="A15" s="1102"/>
      <c r="B15" s="1102"/>
      <c r="C15" s="1045"/>
      <c r="D15" s="1045"/>
      <c r="E15" s="1045"/>
      <c r="F15" s="1048"/>
      <c r="G15" s="1048"/>
    </row>
    <row r="16" spans="1:7" x14ac:dyDescent="0.2">
      <c r="A16" s="1094" t="s">
        <v>300</v>
      </c>
      <c r="B16" s="1094"/>
      <c r="C16" s="377">
        <f>SUM(C17:C19)</f>
        <v>88645</v>
      </c>
      <c r="D16" s="377">
        <f>SUM(D17:D19)</f>
        <v>88645</v>
      </c>
      <c r="E16" s="377">
        <f>SUM(E17:E19)</f>
        <v>530750</v>
      </c>
      <c r="F16" s="377"/>
      <c r="G16" s="377">
        <f>SUM(G17:G19)</f>
        <v>499100</v>
      </c>
    </row>
    <row r="17" spans="1:45" s="170" customFormat="1" ht="12.75" x14ac:dyDescent="0.2">
      <c r="A17" s="1116" t="s">
        <v>310</v>
      </c>
      <c r="B17" s="1113" t="s">
        <v>311</v>
      </c>
      <c r="C17" s="155">
        <v>0</v>
      </c>
      <c r="D17" s="155">
        <v>0</v>
      </c>
      <c r="E17" s="155">
        <f>415000+39500+3600</f>
        <v>458100</v>
      </c>
      <c r="F17" s="156">
        <v>5250</v>
      </c>
      <c r="G17" s="155">
        <f>454500+3600</f>
        <v>458100</v>
      </c>
      <c r="H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</row>
    <row r="18" spans="1:45" s="170" customFormat="1" ht="12.75" x14ac:dyDescent="0.2">
      <c r="A18" s="1117"/>
      <c r="B18" s="1114"/>
      <c r="C18" s="155">
        <v>88645</v>
      </c>
      <c r="D18" s="155">
        <v>88645</v>
      </c>
      <c r="E18" s="155">
        <f>4500+4500+10000+700+2500+600+500+550+1000+10000+7000+21000-1200+2700</f>
        <v>64350</v>
      </c>
      <c r="F18" s="156">
        <v>5250</v>
      </c>
      <c r="G18" s="155">
        <f>41000-8300</f>
        <v>32700</v>
      </c>
      <c r="H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</row>
    <row r="19" spans="1:45" s="170" customFormat="1" ht="12.75" x14ac:dyDescent="0.2">
      <c r="A19" s="1118"/>
      <c r="B19" s="1115"/>
      <c r="C19" s="155">
        <v>0</v>
      </c>
      <c r="D19" s="155">
        <v>0</v>
      </c>
      <c r="E19" s="155">
        <f>1000+4500+500+500+600+1200</f>
        <v>8300</v>
      </c>
      <c r="F19" s="156">
        <v>2241</v>
      </c>
      <c r="G19" s="155">
        <v>8300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</row>
    <row r="20" spans="1:45" s="170" customFormat="1" ht="12.75" customHeight="1" x14ac:dyDescent="0.2">
      <c r="A20" s="881"/>
      <c r="B20" s="882"/>
      <c r="C20" s="199"/>
      <c r="D20" s="199"/>
      <c r="E20" s="199"/>
      <c r="F20" s="883"/>
      <c r="G20" s="19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</row>
    <row r="21" spans="1:45" s="170" customFormat="1" ht="12.75" customHeight="1" x14ac:dyDescent="0.2">
      <c r="A21" s="213" t="s">
        <v>1224</v>
      </c>
      <c r="B21" s="213"/>
      <c r="C21" s="215"/>
      <c r="D21" s="215"/>
      <c r="E21" s="215"/>
      <c r="F21" s="215"/>
      <c r="G21" s="215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</row>
    <row r="22" spans="1:45" s="170" customFormat="1" ht="12.75" customHeight="1" x14ac:dyDescent="0.2">
      <c r="A22" s="213" t="s">
        <v>1225</v>
      </c>
      <c r="B22" s="213"/>
      <c r="C22" s="1098"/>
      <c r="D22" s="1098"/>
      <c r="E22" s="1098"/>
      <c r="F22" s="1098"/>
      <c r="G22" s="109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</row>
    <row r="23" spans="1:45" s="170" customFormat="1" ht="39" customHeight="1" x14ac:dyDescent="0.2">
      <c r="A23" s="857" t="s">
        <v>1</v>
      </c>
      <c r="B23" s="857" t="s">
        <v>2</v>
      </c>
      <c r="C23" s="857" t="s">
        <v>60</v>
      </c>
      <c r="D23" s="857" t="s">
        <v>27</v>
      </c>
      <c r="E23" s="857" t="s">
        <v>299</v>
      </c>
      <c r="F23" s="857" t="s">
        <v>6</v>
      </c>
      <c r="G23" s="857" t="s">
        <v>1190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</row>
    <row r="24" spans="1:45" s="170" customFormat="1" ht="12.75" customHeight="1" x14ac:dyDescent="0.2">
      <c r="A24" s="1119" t="s">
        <v>300</v>
      </c>
      <c r="B24" s="1119"/>
      <c r="C24" s="151">
        <f>SUM(C25:C30)</f>
        <v>0</v>
      </c>
      <c r="D24" s="151">
        <f>SUM(D25:D30)</f>
        <v>0</v>
      </c>
      <c r="E24" s="151">
        <f>SUM(E25:E30)</f>
        <v>37150</v>
      </c>
      <c r="F24" s="151"/>
      <c r="G24" s="151">
        <f>SUM(G25:G30)</f>
        <v>37150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</row>
    <row r="25" spans="1:45" s="170" customFormat="1" ht="12.75" customHeight="1" x14ac:dyDescent="0.2">
      <c r="A25" s="852" t="s">
        <v>310</v>
      </c>
      <c r="B25" s="853" t="s">
        <v>326</v>
      </c>
      <c r="C25" s="155">
        <v>0</v>
      </c>
      <c r="D25" s="155">
        <v>0</v>
      </c>
      <c r="E25" s="155">
        <v>1600</v>
      </c>
      <c r="F25" s="156">
        <v>5250</v>
      </c>
      <c r="G25" s="155">
        <v>1600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</row>
    <row r="26" spans="1:45" s="170" customFormat="1" ht="12.75" x14ac:dyDescent="0.2">
      <c r="A26" s="852" t="s">
        <v>312</v>
      </c>
      <c r="B26" s="853" t="s">
        <v>327</v>
      </c>
      <c r="C26" s="155">
        <v>0</v>
      </c>
      <c r="D26" s="155">
        <v>0</v>
      </c>
      <c r="E26" s="155">
        <v>5050</v>
      </c>
      <c r="F26" s="156">
        <v>5250</v>
      </c>
      <c r="G26" s="155">
        <v>5050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</row>
    <row r="27" spans="1:45" s="170" customFormat="1" ht="12.75" x14ac:dyDescent="0.2">
      <c r="A27" s="873" t="s">
        <v>314</v>
      </c>
      <c r="B27" s="853" t="s">
        <v>328</v>
      </c>
      <c r="C27" s="155">
        <v>0</v>
      </c>
      <c r="D27" s="155">
        <v>0</v>
      </c>
      <c r="E27" s="155">
        <v>5150</v>
      </c>
      <c r="F27" s="156">
        <v>5250</v>
      </c>
      <c r="G27" s="155">
        <v>5150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</row>
    <row r="28" spans="1:45" s="170" customFormat="1" ht="12.75" x14ac:dyDescent="0.2">
      <c r="A28" s="873" t="s">
        <v>316</v>
      </c>
      <c r="B28" s="853" t="s">
        <v>330</v>
      </c>
      <c r="C28" s="155">
        <v>0</v>
      </c>
      <c r="D28" s="155">
        <v>0</v>
      </c>
      <c r="E28" s="155">
        <v>1500</v>
      </c>
      <c r="F28" s="156">
        <v>5250</v>
      </c>
      <c r="G28" s="155">
        <v>1500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</row>
    <row r="29" spans="1:45" s="170" customFormat="1" ht="12.75" x14ac:dyDescent="0.2">
      <c r="A29" s="873" t="s">
        <v>329</v>
      </c>
      <c r="B29" s="853" t="s">
        <v>332</v>
      </c>
      <c r="C29" s="155">
        <v>0</v>
      </c>
      <c r="D29" s="155">
        <v>0</v>
      </c>
      <c r="E29" s="155">
        <v>8850</v>
      </c>
      <c r="F29" s="156">
        <v>5250</v>
      </c>
      <c r="G29" s="155">
        <v>8850</v>
      </c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</row>
    <row r="30" spans="1:45" s="170" customFormat="1" ht="12.75" customHeight="1" x14ac:dyDescent="0.2">
      <c r="A30" s="873" t="s">
        <v>331</v>
      </c>
      <c r="B30" s="853" t="s">
        <v>1115</v>
      </c>
      <c r="C30" s="155"/>
      <c r="D30" s="155"/>
      <c r="E30" s="155">
        <v>15000</v>
      </c>
      <c r="F30" s="156">
        <v>5240</v>
      </c>
      <c r="G30" s="155">
        <v>15000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</row>
    <row r="31" spans="1:45" s="170" customFormat="1" ht="12.75" x14ac:dyDescent="0.2">
      <c r="A31" s="171"/>
      <c r="B31" s="172"/>
      <c r="C31" s="173"/>
      <c r="D31" s="173"/>
      <c r="E31" s="173"/>
      <c r="F31" s="173"/>
      <c r="G31" s="173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</row>
    <row r="32" spans="1:45" x14ac:dyDescent="0.2">
      <c r="A32" s="1" t="s">
        <v>1226</v>
      </c>
      <c r="C32" s="375"/>
      <c r="D32" s="375"/>
      <c r="E32" s="375"/>
      <c r="F32" s="375"/>
      <c r="G32" s="375"/>
    </row>
    <row r="33" spans="1:45" x14ac:dyDescent="0.2">
      <c r="A33" s="1" t="s">
        <v>1227</v>
      </c>
      <c r="C33" s="1101"/>
      <c r="D33" s="1101"/>
      <c r="E33" s="1101"/>
      <c r="F33" s="1101"/>
      <c r="G33" s="1101"/>
    </row>
    <row r="34" spans="1:45" ht="22.5" customHeight="1" x14ac:dyDescent="0.2">
      <c r="A34" s="1102" t="s">
        <v>1</v>
      </c>
      <c r="B34" s="1102" t="s">
        <v>2</v>
      </c>
      <c r="C34" s="1045" t="s">
        <v>26</v>
      </c>
      <c r="D34" s="1045" t="s">
        <v>27</v>
      </c>
      <c r="E34" s="1045" t="s">
        <v>299</v>
      </c>
      <c r="F34" s="1046" t="s">
        <v>6</v>
      </c>
      <c r="G34" s="1046" t="s">
        <v>1190</v>
      </c>
    </row>
    <row r="35" spans="1:45" ht="12.75" customHeight="1" x14ac:dyDescent="0.2">
      <c r="A35" s="1102"/>
      <c r="B35" s="1102"/>
      <c r="C35" s="1045"/>
      <c r="D35" s="1045"/>
      <c r="E35" s="1045"/>
      <c r="F35" s="1048"/>
      <c r="G35" s="1048"/>
    </row>
    <row r="36" spans="1:45" ht="12" customHeight="1" x14ac:dyDescent="0.2">
      <c r="A36" s="1094" t="s">
        <v>300</v>
      </c>
      <c r="B36" s="1094"/>
      <c r="C36" s="377">
        <f>SUM(C37:C46)</f>
        <v>2508233</v>
      </c>
      <c r="D36" s="377">
        <f>SUM(D37:D46)</f>
        <v>1841202</v>
      </c>
      <c r="E36" s="377">
        <f>SUM(E37:E46)</f>
        <v>6547482.5800000001</v>
      </c>
      <c r="F36" s="377"/>
      <c r="G36" s="377">
        <f>SUM(G37:G46)</f>
        <v>5027122</v>
      </c>
    </row>
    <row r="37" spans="1:45" s="180" customFormat="1" ht="17.25" customHeight="1" x14ac:dyDescent="0.2">
      <c r="A37" s="884" t="s">
        <v>310</v>
      </c>
      <c r="B37" s="878" t="s">
        <v>317</v>
      </c>
      <c r="C37" s="155">
        <f>6000+6999</f>
        <v>12999</v>
      </c>
      <c r="D37" s="177">
        <f>5993+6981</f>
        <v>12974</v>
      </c>
      <c r="E37" s="178">
        <v>150000</v>
      </c>
      <c r="F37" s="156">
        <v>5240</v>
      </c>
      <c r="G37" s="155">
        <v>138000</v>
      </c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</row>
    <row r="38" spans="1:45" s="180" customFormat="1" ht="12.75" x14ac:dyDescent="0.2">
      <c r="A38" s="1095" t="s">
        <v>312</v>
      </c>
      <c r="B38" s="1096" t="s">
        <v>318</v>
      </c>
      <c r="C38" s="871">
        <f>377003+155643</f>
        <v>532646</v>
      </c>
      <c r="D38" s="871">
        <f>353965+155643</f>
        <v>509608</v>
      </c>
      <c r="E38" s="871">
        <f>20391.79+6656.58+10769.23+4038983.44+0.54</f>
        <v>4076801.58</v>
      </c>
      <c r="F38" s="872">
        <v>5240</v>
      </c>
      <c r="G38" s="871">
        <v>4222622</v>
      </c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</row>
    <row r="39" spans="1:45" s="180" customFormat="1" ht="12.75" x14ac:dyDescent="0.2">
      <c r="A39" s="1095"/>
      <c r="B39" s="1096"/>
      <c r="C39" s="871">
        <f>1444502+39197+281319</f>
        <v>1765018</v>
      </c>
      <c r="D39" s="871">
        <f>889522+281318</f>
        <v>1170840</v>
      </c>
      <c r="E39" s="871">
        <f>461713.25+4000+4000+2428.57+10769.23+1473569.94+0.01</f>
        <v>1956481</v>
      </c>
      <c r="F39" s="872">
        <v>5250</v>
      </c>
      <c r="G39" s="871">
        <v>484000</v>
      </c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</row>
    <row r="40" spans="1:45" s="181" customFormat="1" ht="12.75" x14ac:dyDescent="0.2">
      <c r="A40" s="734" t="s">
        <v>314</v>
      </c>
      <c r="B40" s="735" t="s">
        <v>1121</v>
      </c>
      <c r="C40" s="155"/>
      <c r="D40" s="155"/>
      <c r="E40" s="155">
        <v>3000</v>
      </c>
      <c r="F40" s="156">
        <v>5250</v>
      </c>
      <c r="G40" s="155">
        <v>1300</v>
      </c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</row>
    <row r="41" spans="1:45" s="181" customFormat="1" ht="12.75" x14ac:dyDescent="0.2">
      <c r="A41" s="734" t="s">
        <v>316</v>
      </c>
      <c r="B41" s="735" t="s">
        <v>1124</v>
      </c>
      <c r="C41" s="155"/>
      <c r="D41" s="155"/>
      <c r="E41" s="155">
        <v>20000</v>
      </c>
      <c r="F41" s="156">
        <v>5250</v>
      </c>
      <c r="G41" s="155">
        <v>20000</v>
      </c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</row>
    <row r="42" spans="1:45" s="181" customFormat="1" ht="12.75" x14ac:dyDescent="0.2">
      <c r="A42" s="764" t="s">
        <v>329</v>
      </c>
      <c r="B42" s="765" t="s">
        <v>1132</v>
      </c>
      <c r="C42" s="155"/>
      <c r="D42" s="155"/>
      <c r="E42" s="155">
        <v>14200</v>
      </c>
      <c r="F42" s="156">
        <v>5250</v>
      </c>
      <c r="G42" s="155">
        <v>14200</v>
      </c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</row>
    <row r="43" spans="1:45" s="181" customFormat="1" ht="12.75" x14ac:dyDescent="0.2">
      <c r="A43" s="174" t="s">
        <v>331</v>
      </c>
      <c r="B43" s="158" t="s">
        <v>319</v>
      </c>
      <c r="C43" s="155">
        <v>26703</v>
      </c>
      <c r="D43" s="155">
        <v>5808</v>
      </c>
      <c r="E43" s="155">
        <v>160000</v>
      </c>
      <c r="F43" s="156">
        <v>5240</v>
      </c>
      <c r="G43" s="155">
        <v>50000</v>
      </c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</row>
    <row r="44" spans="1:45" s="181" customFormat="1" ht="12.75" x14ac:dyDescent="0.2">
      <c r="A44" s="1095" t="s">
        <v>333</v>
      </c>
      <c r="B44" s="1096" t="s">
        <v>348</v>
      </c>
      <c r="C44" s="155">
        <f>108014+28895</f>
        <v>136909</v>
      </c>
      <c r="D44" s="155">
        <v>108014</v>
      </c>
      <c r="E44" s="155">
        <f>145000-5000</f>
        <v>140000</v>
      </c>
      <c r="F44" s="156">
        <v>5250</v>
      </c>
      <c r="G44" s="155">
        <v>70000</v>
      </c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</row>
    <row r="45" spans="1:45" s="181" customFormat="1" ht="15" customHeight="1" x14ac:dyDescent="0.2">
      <c r="A45" s="1095"/>
      <c r="B45" s="1096"/>
      <c r="C45" s="155">
        <v>5500</v>
      </c>
      <c r="D45" s="155">
        <v>5500</v>
      </c>
      <c r="E45" s="155">
        <v>5000</v>
      </c>
      <c r="F45" s="156">
        <v>2241</v>
      </c>
      <c r="G45" s="155">
        <v>5000</v>
      </c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</row>
    <row r="46" spans="1:45" s="181" customFormat="1" ht="15" customHeight="1" x14ac:dyDescent="0.2">
      <c r="A46" s="852" t="s">
        <v>350</v>
      </c>
      <c r="B46" s="164" t="s">
        <v>349</v>
      </c>
      <c r="C46" s="155">
        <v>28458</v>
      </c>
      <c r="D46" s="155">
        <v>28458</v>
      </c>
      <c r="E46" s="155">
        <v>22000</v>
      </c>
      <c r="F46" s="156">
        <v>2241</v>
      </c>
      <c r="G46" s="155">
        <v>22000</v>
      </c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</row>
    <row r="47" spans="1:45" s="170" customFormat="1" ht="12.75" x14ac:dyDescent="0.2">
      <c r="A47" s="165"/>
      <c r="B47" s="165"/>
      <c r="C47" s="182"/>
      <c r="D47" s="182"/>
      <c r="E47" s="182"/>
      <c r="F47" s="182"/>
      <c r="G47" s="173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</row>
    <row r="48" spans="1:45" x14ac:dyDescent="0.2">
      <c r="A48" s="1" t="s">
        <v>1229</v>
      </c>
      <c r="C48" s="375"/>
      <c r="D48" s="375"/>
      <c r="E48" s="375"/>
      <c r="F48" s="375"/>
      <c r="G48" s="375"/>
    </row>
    <row r="49" spans="1:45" x14ac:dyDescent="0.2">
      <c r="A49" s="1" t="s">
        <v>1230</v>
      </c>
      <c r="C49" s="1101"/>
      <c r="D49" s="1101"/>
      <c r="E49" s="1101"/>
      <c r="F49" s="1101"/>
      <c r="G49" s="1101"/>
    </row>
    <row r="50" spans="1:45" ht="22.5" customHeight="1" x14ac:dyDescent="0.2">
      <c r="A50" s="1102" t="s">
        <v>1</v>
      </c>
      <c r="B50" s="1102" t="s">
        <v>2</v>
      </c>
      <c r="C50" s="1045" t="s">
        <v>26</v>
      </c>
      <c r="D50" s="1045" t="s">
        <v>27</v>
      </c>
      <c r="E50" s="1045" t="s">
        <v>299</v>
      </c>
      <c r="F50" s="1046" t="s">
        <v>6</v>
      </c>
      <c r="G50" s="1046" t="s">
        <v>1190</v>
      </c>
    </row>
    <row r="51" spans="1:45" ht="12" customHeight="1" x14ac:dyDescent="0.2">
      <c r="A51" s="1102"/>
      <c r="B51" s="1102"/>
      <c r="C51" s="1045"/>
      <c r="D51" s="1045"/>
      <c r="E51" s="1045"/>
      <c r="F51" s="1048"/>
      <c r="G51" s="1048"/>
    </row>
    <row r="52" spans="1:45" ht="12" customHeight="1" x14ac:dyDescent="0.2">
      <c r="A52" s="1094" t="s">
        <v>300</v>
      </c>
      <c r="B52" s="1094"/>
      <c r="C52" s="156">
        <f>SUM(C53:C54)</f>
        <v>72273</v>
      </c>
      <c r="D52" s="156">
        <f>SUM(D53:D54)</f>
        <v>18323</v>
      </c>
      <c r="E52" s="156">
        <f>SUM(E53:E54)</f>
        <v>125727</v>
      </c>
      <c r="F52" s="156"/>
      <c r="G52" s="156">
        <f>SUM(G53:G54)</f>
        <v>98807</v>
      </c>
    </row>
    <row r="53" spans="1:45" x14ac:dyDescent="0.2">
      <c r="A53" s="530">
        <v>1</v>
      </c>
      <c r="B53" s="531" t="s">
        <v>1031</v>
      </c>
      <c r="C53" s="155">
        <f>8+1121</f>
        <v>1129</v>
      </c>
      <c r="D53" s="155">
        <f>0+1121</f>
        <v>1121</v>
      </c>
      <c r="E53" s="155">
        <v>56920</v>
      </c>
      <c r="F53" s="529">
        <v>5250</v>
      </c>
      <c r="G53" s="528">
        <v>30000</v>
      </c>
    </row>
    <row r="54" spans="1:45" x14ac:dyDescent="0.2">
      <c r="A54" s="851">
        <v>2</v>
      </c>
      <c r="B54" s="854" t="s">
        <v>351</v>
      </c>
      <c r="C54" s="155">
        <v>71144</v>
      </c>
      <c r="D54" s="155">
        <v>17202</v>
      </c>
      <c r="E54" s="155">
        <v>68807</v>
      </c>
      <c r="F54" s="156">
        <v>2244</v>
      </c>
      <c r="G54" s="155">
        <v>68807</v>
      </c>
    </row>
    <row r="55" spans="1:45" x14ac:dyDescent="0.2">
      <c r="A55" s="261"/>
      <c r="B55" s="885"/>
      <c r="C55" s="173"/>
      <c r="D55" s="173"/>
      <c r="E55" s="173"/>
      <c r="F55" s="399"/>
      <c r="G55" s="173"/>
    </row>
    <row r="56" spans="1:45" x14ac:dyDescent="0.2">
      <c r="A56" s="213" t="s">
        <v>1231</v>
      </c>
      <c r="B56" s="213"/>
      <c r="C56" s="1097"/>
      <c r="D56" s="1097"/>
      <c r="E56" s="1097"/>
      <c r="F56" s="1097"/>
      <c r="G56" s="1097"/>
    </row>
    <row r="57" spans="1:45" x14ac:dyDescent="0.2">
      <c r="A57" s="213" t="s">
        <v>1232</v>
      </c>
      <c r="B57" s="213"/>
      <c r="C57" s="1098"/>
      <c r="D57" s="1098"/>
      <c r="E57" s="1098"/>
      <c r="F57" s="1098"/>
      <c r="G57" s="1098"/>
    </row>
    <row r="58" spans="1:45" ht="36" x14ac:dyDescent="0.2">
      <c r="A58" s="850" t="s">
        <v>1</v>
      </c>
      <c r="B58" s="850" t="s">
        <v>2</v>
      </c>
      <c r="C58" s="850" t="s">
        <v>60</v>
      </c>
      <c r="D58" s="850" t="s">
        <v>27</v>
      </c>
      <c r="E58" s="850" t="s">
        <v>299</v>
      </c>
      <c r="F58" s="850" t="s">
        <v>6</v>
      </c>
      <c r="G58" s="850" t="s">
        <v>1190</v>
      </c>
    </row>
    <row r="59" spans="1:45" x14ac:dyDescent="0.2">
      <c r="A59" s="1099" t="s">
        <v>300</v>
      </c>
      <c r="B59" s="1100"/>
      <c r="C59" s="151">
        <f>SUM(C60)</f>
        <v>21344</v>
      </c>
      <c r="D59" s="151">
        <f>SUM(D60)</f>
        <v>18399</v>
      </c>
      <c r="E59" s="151">
        <f>SUM(E60)</f>
        <v>52270</v>
      </c>
      <c r="F59" s="151"/>
      <c r="G59" s="151">
        <f>SUM(G60)</f>
        <v>6940</v>
      </c>
    </row>
    <row r="60" spans="1:45" x14ac:dyDescent="0.2">
      <c r="A60" s="852" t="s">
        <v>310</v>
      </c>
      <c r="B60" s="853" t="s">
        <v>352</v>
      </c>
      <c r="C60" s="155">
        <v>21344</v>
      </c>
      <c r="D60" s="155">
        <v>18399</v>
      </c>
      <c r="E60" s="155">
        <v>52270</v>
      </c>
      <c r="F60" s="156">
        <v>5250</v>
      </c>
      <c r="G60" s="155">
        <f>6940</f>
        <v>6940</v>
      </c>
    </row>
    <row r="61" spans="1:45" s="176" customFormat="1" ht="12.75" x14ac:dyDescent="0.2">
      <c r="A61" s="183"/>
      <c r="B61" s="172"/>
      <c r="C61" s="173"/>
      <c r="D61" s="173"/>
      <c r="E61" s="173"/>
      <c r="F61" s="173"/>
      <c r="G61" s="173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</row>
    <row r="62" spans="1:45" x14ac:dyDescent="0.2">
      <c r="A62" s="1" t="s">
        <v>1233</v>
      </c>
      <c r="C62" s="375"/>
      <c r="D62" s="375"/>
      <c r="E62" s="375"/>
      <c r="F62" s="375"/>
      <c r="G62" s="375"/>
    </row>
    <row r="63" spans="1:45" x14ac:dyDescent="0.2">
      <c r="A63" s="1" t="s">
        <v>1234</v>
      </c>
      <c r="C63" s="1101"/>
      <c r="D63" s="1101"/>
      <c r="E63" s="1101"/>
      <c r="F63" s="1101"/>
      <c r="G63" s="1101"/>
    </row>
    <row r="64" spans="1:45" ht="24.75" customHeight="1" x14ac:dyDescent="0.2">
      <c r="A64" s="1102" t="s">
        <v>1</v>
      </c>
      <c r="B64" s="1102" t="s">
        <v>2</v>
      </c>
      <c r="C64" s="1045" t="s">
        <v>26</v>
      </c>
      <c r="D64" s="1045" t="s">
        <v>27</v>
      </c>
      <c r="E64" s="1045" t="s">
        <v>299</v>
      </c>
      <c r="F64" s="1046" t="s">
        <v>6</v>
      </c>
      <c r="G64" s="1046" t="s">
        <v>1190</v>
      </c>
    </row>
    <row r="65" spans="1:45" ht="12.75" customHeight="1" x14ac:dyDescent="0.2">
      <c r="A65" s="1102"/>
      <c r="B65" s="1102"/>
      <c r="C65" s="1045"/>
      <c r="D65" s="1045"/>
      <c r="E65" s="1045"/>
      <c r="F65" s="1048"/>
      <c r="G65" s="1048"/>
    </row>
    <row r="66" spans="1:45" ht="12" customHeight="1" x14ac:dyDescent="0.2">
      <c r="A66" s="1094" t="s">
        <v>300</v>
      </c>
      <c r="B66" s="1094"/>
      <c r="C66" s="377">
        <f>SUM(C67:C69)</f>
        <v>737262</v>
      </c>
      <c r="D66" s="377">
        <f>SUM(D67:D69)</f>
        <v>720212</v>
      </c>
      <c r="E66" s="377">
        <f>SUM(E67:E69)</f>
        <v>191210</v>
      </c>
      <c r="F66" s="377"/>
      <c r="G66" s="377">
        <f>SUM(G67:G69)</f>
        <v>143134</v>
      </c>
    </row>
    <row r="67" spans="1:45" s="176" customFormat="1" ht="12.75" x14ac:dyDescent="0.2">
      <c r="A67" s="174" t="s">
        <v>310</v>
      </c>
      <c r="B67" s="158" t="s">
        <v>320</v>
      </c>
      <c r="C67" s="155">
        <v>18361</v>
      </c>
      <c r="D67" s="155">
        <v>7442</v>
      </c>
      <c r="E67" s="155">
        <v>7442</v>
      </c>
      <c r="F67" s="156">
        <v>5240</v>
      </c>
      <c r="G67" s="155">
        <v>7442</v>
      </c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</row>
    <row r="68" spans="1:45" s="184" customFormat="1" ht="12.75" x14ac:dyDescent="0.2">
      <c r="A68" s="174" t="s">
        <v>312</v>
      </c>
      <c r="B68" s="158" t="s">
        <v>321</v>
      </c>
      <c r="C68" s="155">
        <f>447177+271724</f>
        <v>718901</v>
      </c>
      <c r="D68" s="155">
        <f>442685+270085</f>
        <v>712770</v>
      </c>
      <c r="E68" s="155">
        <v>121668</v>
      </c>
      <c r="F68" s="156">
        <v>5250</v>
      </c>
      <c r="G68" s="155">
        <v>121668</v>
      </c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</row>
    <row r="69" spans="1:45" s="184" customFormat="1" ht="12.75" x14ac:dyDescent="0.2">
      <c r="A69" s="852" t="s">
        <v>314</v>
      </c>
      <c r="B69" s="853" t="s">
        <v>353</v>
      </c>
      <c r="C69" s="155"/>
      <c r="D69" s="155"/>
      <c r="E69" s="155">
        <v>62100</v>
      </c>
      <c r="F69" s="156">
        <v>2241</v>
      </c>
      <c r="G69" s="155">
        <v>14024</v>
      </c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</row>
    <row r="70" spans="1:45" s="170" customFormat="1" ht="12.75" x14ac:dyDescent="0.2">
      <c r="A70" s="165"/>
      <c r="B70" s="165"/>
      <c r="C70" s="182"/>
      <c r="D70" s="182"/>
      <c r="E70" s="182"/>
      <c r="F70" s="182"/>
      <c r="G70" s="173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</row>
    <row r="71" spans="1:45" s="170" customFormat="1" ht="12.75" x14ac:dyDescent="0.2">
      <c r="A71" s="656" t="s">
        <v>1235</v>
      </c>
      <c r="B71" s="656"/>
      <c r="C71" s="958"/>
      <c r="D71" s="958"/>
      <c r="E71" s="958"/>
      <c r="F71" s="958"/>
      <c r="G71" s="958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</row>
    <row r="72" spans="1:45" s="170" customFormat="1" ht="12.75" x14ac:dyDescent="0.2">
      <c r="A72" s="656" t="s">
        <v>1236</v>
      </c>
      <c r="B72" s="656"/>
      <c r="C72" s="1108"/>
      <c r="D72" s="1109"/>
      <c r="E72" s="1109"/>
      <c r="F72" s="1109"/>
      <c r="G72" s="110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</row>
    <row r="73" spans="1:45" s="170" customFormat="1" ht="36" x14ac:dyDescent="0.2">
      <c r="A73" s="770" t="s">
        <v>1</v>
      </c>
      <c r="B73" s="770" t="s">
        <v>2</v>
      </c>
      <c r="C73" s="770" t="s">
        <v>26</v>
      </c>
      <c r="D73" s="770" t="s">
        <v>27</v>
      </c>
      <c r="E73" s="770" t="s">
        <v>28</v>
      </c>
      <c r="F73" s="770" t="s">
        <v>6</v>
      </c>
      <c r="G73" s="770" t="s">
        <v>1246</v>
      </c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</row>
    <row r="74" spans="1:45" s="170" customFormat="1" ht="12.75" customHeight="1" x14ac:dyDescent="0.2">
      <c r="A74" s="1110" t="s">
        <v>300</v>
      </c>
      <c r="B74" s="1111"/>
      <c r="C74" s="504">
        <f>SUM(C75:C76)</f>
        <v>15553</v>
      </c>
      <c r="D74" s="504">
        <f>SUM(D75:D76)</f>
        <v>15404</v>
      </c>
      <c r="E74" s="504">
        <f>SUM(E75:E76)</f>
        <v>114335</v>
      </c>
      <c r="F74" s="504"/>
      <c r="G74" s="504">
        <f>SUM(G75:G76)</f>
        <v>78635</v>
      </c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</row>
    <row r="75" spans="1:45" s="170" customFormat="1" ht="12.75" customHeight="1" x14ac:dyDescent="0.2">
      <c r="A75" s="886">
        <v>1</v>
      </c>
      <c r="B75" s="772" t="s">
        <v>1129</v>
      </c>
      <c r="C75" s="504"/>
      <c r="D75" s="504"/>
      <c r="E75" s="506">
        <v>10000</v>
      </c>
      <c r="F75" s="504">
        <v>5250</v>
      </c>
      <c r="G75" s="506">
        <v>10000</v>
      </c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</row>
    <row r="76" spans="1:45" s="170" customFormat="1" ht="12.75" x14ac:dyDescent="0.2">
      <c r="A76" s="855">
        <v>2</v>
      </c>
      <c r="B76" s="853" t="s">
        <v>992</v>
      </c>
      <c r="C76" s="155">
        <v>15553</v>
      </c>
      <c r="D76" s="155">
        <v>15404</v>
      </c>
      <c r="E76" s="155">
        <f>14635+28400+21300+5000+35000</f>
        <v>104335</v>
      </c>
      <c r="F76" s="156">
        <v>5250</v>
      </c>
      <c r="G76" s="155">
        <f>14635+12400+21300+5000+9600+5700</f>
        <v>68635</v>
      </c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</row>
    <row r="77" spans="1:45" s="170" customFormat="1" ht="12.75" x14ac:dyDescent="0.2">
      <c r="A77" s="165"/>
      <c r="B77" s="165"/>
      <c r="C77" s="182"/>
      <c r="D77" s="182"/>
      <c r="E77" s="182"/>
      <c r="F77" s="182"/>
      <c r="G77" s="173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</row>
    <row r="78" spans="1:45" x14ac:dyDescent="0.2">
      <c r="A78" s="1" t="s">
        <v>1237</v>
      </c>
      <c r="C78" s="375"/>
      <c r="D78" s="375"/>
      <c r="E78" s="375"/>
      <c r="F78" s="375"/>
      <c r="G78" s="375"/>
    </row>
    <row r="79" spans="1:45" x14ac:dyDescent="0.2">
      <c r="A79" s="1" t="s">
        <v>1238</v>
      </c>
      <c r="C79" s="1101"/>
      <c r="D79" s="1101"/>
      <c r="E79" s="1101"/>
      <c r="F79" s="1101"/>
      <c r="G79" s="1101"/>
    </row>
    <row r="80" spans="1:45" ht="21.75" customHeight="1" x14ac:dyDescent="0.2">
      <c r="A80" s="1102" t="s">
        <v>1</v>
      </c>
      <c r="B80" s="1102" t="s">
        <v>2</v>
      </c>
      <c r="C80" s="1045" t="s">
        <v>26</v>
      </c>
      <c r="D80" s="1045" t="s">
        <v>27</v>
      </c>
      <c r="E80" s="1045" t="s">
        <v>299</v>
      </c>
      <c r="F80" s="1046" t="s">
        <v>6</v>
      </c>
      <c r="G80" s="1046" t="s">
        <v>1190</v>
      </c>
    </row>
    <row r="81" spans="1:45" ht="12.75" customHeight="1" x14ac:dyDescent="0.2">
      <c r="A81" s="1102"/>
      <c r="B81" s="1102"/>
      <c r="C81" s="1045"/>
      <c r="D81" s="1045"/>
      <c r="E81" s="1045"/>
      <c r="F81" s="1048"/>
      <c r="G81" s="1048"/>
    </row>
    <row r="82" spans="1:45" x14ac:dyDescent="0.2">
      <c r="A82" s="1094" t="s">
        <v>300</v>
      </c>
      <c r="B82" s="1094"/>
      <c r="C82" s="377">
        <f>SUM(C83:C86)</f>
        <v>6742058</v>
      </c>
      <c r="D82" s="377">
        <f>SUM(D83:D86)</f>
        <v>3139725</v>
      </c>
      <c r="E82" s="377">
        <f>SUM(E83:E86)</f>
        <v>6312945.5499999998</v>
      </c>
      <c r="F82" s="377"/>
      <c r="G82" s="377">
        <f>SUM(G83:G86)</f>
        <v>4896371</v>
      </c>
    </row>
    <row r="83" spans="1:45" s="184" customFormat="1" ht="12.75" x14ac:dyDescent="0.2">
      <c r="A83" s="174" t="s">
        <v>310</v>
      </c>
      <c r="B83" s="158" t="s">
        <v>322</v>
      </c>
      <c r="C83" s="155">
        <f>36431+13909</f>
        <v>50340</v>
      </c>
      <c r="D83" s="155">
        <f>25571+13909</f>
        <v>39480</v>
      </c>
      <c r="E83" s="155">
        <f>8439.75+3630+1650000</f>
        <v>1662069.75</v>
      </c>
      <c r="F83" s="156">
        <v>5250</v>
      </c>
      <c r="G83" s="155">
        <v>12100</v>
      </c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</row>
    <row r="84" spans="1:45" s="184" customFormat="1" ht="12.75" x14ac:dyDescent="0.2">
      <c r="A84" s="734" t="s">
        <v>312</v>
      </c>
      <c r="B84" s="735" t="s">
        <v>1123</v>
      </c>
      <c r="C84" s="736"/>
      <c r="D84" s="736"/>
      <c r="E84" s="736">
        <v>24000</v>
      </c>
      <c r="F84" s="737">
        <v>5240</v>
      </c>
      <c r="G84" s="736">
        <v>24000</v>
      </c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</row>
    <row r="85" spans="1:45" s="184" customFormat="1" ht="12.75" x14ac:dyDescent="0.2">
      <c r="A85" s="764" t="s">
        <v>314</v>
      </c>
      <c r="B85" s="765" t="s">
        <v>1128</v>
      </c>
      <c r="C85" s="766"/>
      <c r="D85" s="766"/>
      <c r="E85" s="766">
        <v>47000</v>
      </c>
      <c r="F85" s="767">
        <v>5250</v>
      </c>
      <c r="G85" s="766">
        <v>47000</v>
      </c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</row>
    <row r="86" spans="1:45" s="184" customFormat="1" ht="12.75" x14ac:dyDescent="0.2">
      <c r="A86" s="873" t="s">
        <v>316</v>
      </c>
      <c r="B86" s="874" t="s">
        <v>323</v>
      </c>
      <c r="C86" s="871">
        <f>5165037+38304+1488377</f>
        <v>6691718</v>
      </c>
      <c r="D86" s="871">
        <f>1583524+28344+1488377</f>
        <v>3100245</v>
      </c>
      <c r="E86" s="871">
        <f>1901675.78+1688076.8+6815.26+7651.88+0.08+724592+206000+45064</f>
        <v>4579875.8</v>
      </c>
      <c r="F86" s="156">
        <v>5250</v>
      </c>
      <c r="G86" s="155">
        <v>4813271</v>
      </c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</row>
    <row r="87" spans="1:45" s="184" customFormat="1" ht="16.5" customHeight="1" x14ac:dyDescent="0.2">
      <c r="A87" s="183"/>
      <c r="B87" s="172"/>
      <c r="C87" s="173"/>
      <c r="D87" s="173"/>
      <c r="E87" s="173"/>
      <c r="F87" s="173"/>
      <c r="G87" s="173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</row>
    <row r="88" spans="1:45" x14ac:dyDescent="0.2">
      <c r="A88" s="1" t="s">
        <v>1239</v>
      </c>
      <c r="C88" s="375"/>
      <c r="D88" s="375"/>
      <c r="E88" s="375"/>
      <c r="F88" s="375"/>
      <c r="G88" s="375"/>
    </row>
    <row r="89" spans="1:45" x14ac:dyDescent="0.2">
      <c r="A89" s="1" t="s">
        <v>1240</v>
      </c>
      <c r="C89" s="1101"/>
      <c r="D89" s="1101"/>
      <c r="E89" s="1101"/>
      <c r="F89" s="1101"/>
      <c r="G89" s="1101"/>
    </row>
    <row r="90" spans="1:45" ht="20.25" customHeight="1" x14ac:dyDescent="0.2">
      <c r="A90" s="1102" t="s">
        <v>1</v>
      </c>
      <c r="B90" s="1102" t="s">
        <v>2</v>
      </c>
      <c r="C90" s="1045" t="s">
        <v>26</v>
      </c>
      <c r="D90" s="1045" t="s">
        <v>27</v>
      </c>
      <c r="E90" s="1045" t="s">
        <v>299</v>
      </c>
      <c r="F90" s="1046" t="s">
        <v>6</v>
      </c>
      <c r="G90" s="1046" t="s">
        <v>1190</v>
      </c>
    </row>
    <row r="91" spans="1:45" ht="12.75" customHeight="1" x14ac:dyDescent="0.2">
      <c r="A91" s="1102"/>
      <c r="B91" s="1102"/>
      <c r="C91" s="1045"/>
      <c r="D91" s="1045"/>
      <c r="E91" s="1045"/>
      <c r="F91" s="1048"/>
      <c r="G91" s="1048"/>
    </row>
    <row r="92" spans="1:45" ht="12" customHeight="1" x14ac:dyDescent="0.2">
      <c r="A92" s="1094" t="s">
        <v>300</v>
      </c>
      <c r="B92" s="1094"/>
      <c r="C92" s="377">
        <f>SUM(C93:C93)</f>
        <v>0</v>
      </c>
      <c r="D92" s="377">
        <f>SUM(D93:D93)</f>
        <v>0</v>
      </c>
      <c r="E92" s="377">
        <f>SUM(E93:E93)</f>
        <v>7300</v>
      </c>
      <c r="F92" s="377"/>
      <c r="G92" s="377">
        <f>SUM(G93:G93)</f>
        <v>7300</v>
      </c>
    </row>
    <row r="93" spans="1:45" x14ac:dyDescent="0.2">
      <c r="A93" s="734" t="s">
        <v>310</v>
      </c>
      <c r="B93" s="735" t="s">
        <v>1120</v>
      </c>
      <c r="C93" s="155"/>
      <c r="D93" s="155"/>
      <c r="E93" s="155">
        <v>7300</v>
      </c>
      <c r="F93" s="156">
        <v>5250</v>
      </c>
      <c r="G93" s="155">
        <v>7300</v>
      </c>
    </row>
    <row r="94" spans="1:45" s="185" customFormat="1" x14ac:dyDescent="0.2">
      <c r="A94" s="5"/>
      <c r="B94" s="5"/>
      <c r="C94" s="378"/>
      <c r="D94" s="378"/>
      <c r="E94" s="378"/>
      <c r="F94" s="378"/>
      <c r="G94" s="378"/>
    </row>
    <row r="95" spans="1:45" x14ac:dyDescent="0.2">
      <c r="A95" s="1" t="s">
        <v>1241</v>
      </c>
      <c r="C95" s="375"/>
      <c r="D95" s="375"/>
      <c r="E95" s="375"/>
      <c r="F95" s="375"/>
      <c r="G95" s="375"/>
    </row>
    <row r="96" spans="1:45" x14ac:dyDescent="0.2">
      <c r="A96" s="1" t="s">
        <v>1242</v>
      </c>
      <c r="C96" s="1101"/>
      <c r="D96" s="1101"/>
      <c r="E96" s="1101"/>
      <c r="F96" s="1101"/>
      <c r="G96" s="1101"/>
    </row>
    <row r="97" spans="1:45" s="185" customFormat="1" ht="22.5" customHeight="1" x14ac:dyDescent="0.2">
      <c r="A97" s="1107" t="s">
        <v>1</v>
      </c>
      <c r="B97" s="1107" t="s">
        <v>2</v>
      </c>
      <c r="C97" s="1103" t="s">
        <v>26</v>
      </c>
      <c r="D97" s="1103" t="s">
        <v>27</v>
      </c>
      <c r="E97" s="1103" t="s">
        <v>299</v>
      </c>
      <c r="F97" s="1104" t="s">
        <v>6</v>
      </c>
      <c r="G97" s="1104" t="s">
        <v>1190</v>
      </c>
    </row>
    <row r="98" spans="1:45" s="185" customFormat="1" ht="12.75" customHeight="1" x14ac:dyDescent="0.2">
      <c r="A98" s="1107"/>
      <c r="B98" s="1107"/>
      <c r="C98" s="1103"/>
      <c r="D98" s="1103"/>
      <c r="E98" s="1103"/>
      <c r="F98" s="1105"/>
      <c r="G98" s="1105"/>
    </row>
    <row r="99" spans="1:45" s="185" customFormat="1" ht="12" customHeight="1" x14ac:dyDescent="0.2">
      <c r="A99" s="1106" t="s">
        <v>300</v>
      </c>
      <c r="B99" s="1106"/>
      <c r="C99" s="379">
        <f>SUM(C100:C101)</f>
        <v>0</v>
      </c>
      <c r="D99" s="379">
        <f>SUM(D100:D101)</f>
        <v>0</v>
      </c>
      <c r="E99" s="379">
        <f>SUM(E100:E101)</f>
        <v>33000</v>
      </c>
      <c r="F99" s="379"/>
      <c r="G99" s="379">
        <f>SUM(G100:G101)</f>
        <v>482620</v>
      </c>
    </row>
    <row r="100" spans="1:45" s="189" customFormat="1" ht="12.75" x14ac:dyDescent="0.2">
      <c r="A100" s="768" t="s">
        <v>310</v>
      </c>
      <c r="B100" s="769" t="s">
        <v>1134</v>
      </c>
      <c r="C100" s="186"/>
      <c r="D100" s="186"/>
      <c r="E100" s="186">
        <v>30000</v>
      </c>
      <c r="F100" s="187">
        <v>5250</v>
      </c>
      <c r="G100" s="186">
        <v>30000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</row>
    <row r="101" spans="1:45" s="189" customFormat="1" ht="12.75" x14ac:dyDescent="0.2">
      <c r="A101" s="852" t="s">
        <v>312</v>
      </c>
      <c r="B101" s="853" t="s">
        <v>354</v>
      </c>
      <c r="C101" s="155">
        <v>0</v>
      </c>
      <c r="D101" s="155">
        <v>0</v>
      </c>
      <c r="E101" s="155">
        <v>3000</v>
      </c>
      <c r="F101" s="156">
        <v>5250</v>
      </c>
      <c r="G101" s="155">
        <v>452620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</row>
    <row r="102" spans="1:45" s="189" customFormat="1" ht="9.75" customHeight="1" x14ac:dyDescent="0.2">
      <c r="A102" s="190"/>
      <c r="B102" s="191"/>
      <c r="C102" s="192"/>
      <c r="D102" s="192"/>
      <c r="E102" s="192"/>
      <c r="F102" s="192"/>
      <c r="G102" s="192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</row>
    <row r="103" spans="1:45" x14ac:dyDescent="0.2">
      <c r="A103" s="1" t="s">
        <v>1243</v>
      </c>
      <c r="C103" s="375"/>
      <c r="D103" s="375"/>
      <c r="E103" s="375"/>
      <c r="F103" s="375"/>
      <c r="G103" s="375"/>
    </row>
    <row r="104" spans="1:45" x14ac:dyDescent="0.2">
      <c r="A104" s="1" t="s">
        <v>1071</v>
      </c>
      <c r="C104" s="1101"/>
      <c r="D104" s="1101"/>
      <c r="E104" s="1101"/>
      <c r="F104" s="1101"/>
      <c r="G104" s="1101"/>
    </row>
    <row r="105" spans="1:45" ht="21.75" customHeight="1" x14ac:dyDescent="0.2">
      <c r="A105" s="1102" t="s">
        <v>1</v>
      </c>
      <c r="B105" s="1102" t="s">
        <v>2</v>
      </c>
      <c r="C105" s="1045" t="s">
        <v>26</v>
      </c>
      <c r="D105" s="1045" t="s">
        <v>27</v>
      </c>
      <c r="E105" s="1045" t="s">
        <v>299</v>
      </c>
      <c r="F105" s="1046" t="s">
        <v>6</v>
      </c>
      <c r="G105" s="1046" t="s">
        <v>1190</v>
      </c>
    </row>
    <row r="106" spans="1:45" ht="12.75" customHeight="1" x14ac:dyDescent="0.2">
      <c r="A106" s="1102"/>
      <c r="B106" s="1102"/>
      <c r="C106" s="1045"/>
      <c r="D106" s="1045"/>
      <c r="E106" s="1045"/>
      <c r="F106" s="1048"/>
      <c r="G106" s="1048"/>
    </row>
    <row r="107" spans="1:45" ht="12" customHeight="1" x14ac:dyDescent="0.2">
      <c r="A107" s="1094" t="s">
        <v>300</v>
      </c>
      <c r="B107" s="1094"/>
      <c r="C107" s="377">
        <f>SUM(C108:C112)</f>
        <v>4804312</v>
      </c>
      <c r="D107" s="377">
        <f>SUM(D108:D112)</f>
        <v>1369420</v>
      </c>
      <c r="E107" s="377">
        <f>SUM(E108:E112)</f>
        <v>7241793</v>
      </c>
      <c r="F107" s="377"/>
      <c r="G107" s="377">
        <f>SUM(G108:G112)</f>
        <v>5150941</v>
      </c>
    </row>
    <row r="108" spans="1:45" s="194" customFormat="1" ht="24" x14ac:dyDescent="0.2">
      <c r="A108" s="873" t="s">
        <v>310</v>
      </c>
      <c r="B108" s="874" t="s">
        <v>324</v>
      </c>
      <c r="C108" s="871">
        <f>5264626-485761+25447</f>
        <v>4804312</v>
      </c>
      <c r="D108" s="871">
        <v>1369420</v>
      </c>
      <c r="E108" s="871">
        <f>3140840.88+255053.89+1450.78+12100+0.45+55447</f>
        <v>3464893</v>
      </c>
      <c r="F108" s="872">
        <v>5240</v>
      </c>
      <c r="G108" s="871">
        <v>3480446</v>
      </c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</row>
    <row r="109" spans="1:45" s="194" customFormat="1" ht="24" x14ac:dyDescent="0.2">
      <c r="A109" s="876" t="s">
        <v>312</v>
      </c>
      <c r="B109" s="877" t="s">
        <v>325</v>
      </c>
      <c r="C109" s="186">
        <v>0</v>
      </c>
      <c r="D109" s="186">
        <v>0</v>
      </c>
      <c r="E109" s="195">
        <f>3636159.9+12000+9240.06+0.04</f>
        <v>3657400</v>
      </c>
      <c r="F109" s="187">
        <v>5250</v>
      </c>
      <c r="G109" s="155">
        <v>1079400</v>
      </c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</row>
    <row r="110" spans="1:45" s="194" customFormat="1" ht="15" customHeight="1" x14ac:dyDescent="0.2">
      <c r="A110" s="884" t="s">
        <v>314</v>
      </c>
      <c r="B110" s="878" t="s">
        <v>1133</v>
      </c>
      <c r="C110" s="186"/>
      <c r="D110" s="186"/>
      <c r="E110" s="186">
        <v>20000</v>
      </c>
      <c r="F110" s="156">
        <v>5250</v>
      </c>
      <c r="G110" s="155">
        <v>30000</v>
      </c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</row>
    <row r="111" spans="1:45" s="189" customFormat="1" ht="12.75" x14ac:dyDescent="0.2">
      <c r="A111" s="734" t="s">
        <v>316</v>
      </c>
      <c r="B111" s="735" t="s">
        <v>1118</v>
      </c>
      <c r="C111" s="155">
        <v>0</v>
      </c>
      <c r="D111" s="155">
        <v>0</v>
      </c>
      <c r="E111" s="155">
        <v>92500</v>
      </c>
      <c r="F111" s="156">
        <v>5250</v>
      </c>
      <c r="G111" s="155">
        <v>30000</v>
      </c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</row>
    <row r="112" spans="1:45" s="189" customFormat="1" ht="12.75" x14ac:dyDescent="0.2">
      <c r="A112" s="852" t="s">
        <v>329</v>
      </c>
      <c r="B112" s="853" t="s">
        <v>355</v>
      </c>
      <c r="C112" s="155">
        <v>0</v>
      </c>
      <c r="D112" s="155">
        <v>0</v>
      </c>
      <c r="E112" s="155">
        <v>7000</v>
      </c>
      <c r="F112" s="156">
        <v>5250</v>
      </c>
      <c r="G112" s="155">
        <v>531095</v>
      </c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</row>
    <row r="113" spans="1:45" s="189" customFormat="1" ht="12.75" x14ac:dyDescent="0.2">
      <c r="A113" s="183"/>
      <c r="B113" s="172"/>
      <c r="C113" s="173"/>
      <c r="D113" s="173"/>
      <c r="E113" s="173"/>
      <c r="F113" s="173"/>
      <c r="G113" s="173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</row>
    <row r="114" spans="1:45" x14ac:dyDescent="0.2">
      <c r="A114" s="1" t="s">
        <v>1244</v>
      </c>
      <c r="C114" s="375"/>
      <c r="D114" s="375"/>
      <c r="E114" s="375"/>
      <c r="F114" s="375"/>
      <c r="G114" s="375"/>
    </row>
    <row r="115" spans="1:45" x14ac:dyDescent="0.2">
      <c r="A115" s="1" t="s">
        <v>1245</v>
      </c>
      <c r="C115" s="1101"/>
      <c r="D115" s="1101"/>
      <c r="E115" s="1101"/>
      <c r="F115" s="1101"/>
      <c r="G115" s="1101"/>
    </row>
    <row r="116" spans="1:45" ht="19.5" customHeight="1" x14ac:dyDescent="0.2">
      <c r="A116" s="1102" t="s">
        <v>1</v>
      </c>
      <c r="B116" s="1102" t="s">
        <v>2</v>
      </c>
      <c r="C116" s="1045" t="s">
        <v>26</v>
      </c>
      <c r="D116" s="1045" t="s">
        <v>27</v>
      </c>
      <c r="E116" s="1045" t="s">
        <v>299</v>
      </c>
      <c r="F116" s="1046" t="s">
        <v>6</v>
      </c>
      <c r="G116" s="1046" t="s">
        <v>1190</v>
      </c>
    </row>
    <row r="117" spans="1:45" ht="12.75" customHeight="1" x14ac:dyDescent="0.2">
      <c r="A117" s="1102"/>
      <c r="B117" s="1102"/>
      <c r="C117" s="1045"/>
      <c r="D117" s="1045"/>
      <c r="E117" s="1045"/>
      <c r="F117" s="1048"/>
      <c r="G117" s="1048"/>
    </row>
    <row r="118" spans="1:45" ht="12" customHeight="1" x14ac:dyDescent="0.2">
      <c r="A118" s="1094" t="s">
        <v>300</v>
      </c>
      <c r="B118" s="1094"/>
      <c r="C118" s="377">
        <f>SUM(C119:C123)</f>
        <v>5445</v>
      </c>
      <c r="D118" s="377">
        <f>SUM(D119:D123)</f>
        <v>5445</v>
      </c>
      <c r="E118" s="377">
        <f>SUM(E119:E123)</f>
        <v>310602</v>
      </c>
      <c r="F118" s="377"/>
      <c r="G118" s="377">
        <f>SUM(G119:G123)</f>
        <v>169902</v>
      </c>
    </row>
    <row r="119" spans="1:45" s="197" customFormat="1" ht="24" x14ac:dyDescent="0.2">
      <c r="A119" s="174" t="s">
        <v>310</v>
      </c>
      <c r="B119" s="158" t="s">
        <v>1119</v>
      </c>
      <c r="C119" s="155">
        <v>0</v>
      </c>
      <c r="D119" s="155">
        <v>0</v>
      </c>
      <c r="E119" s="186">
        <v>92000</v>
      </c>
      <c r="F119" s="156">
        <v>5250</v>
      </c>
      <c r="G119" s="155">
        <v>92000</v>
      </c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</row>
    <row r="120" spans="1:45" s="197" customFormat="1" ht="12.75" x14ac:dyDescent="0.2">
      <c r="A120" s="884" t="s">
        <v>312</v>
      </c>
      <c r="B120" s="878" t="s">
        <v>356</v>
      </c>
      <c r="C120" s="155">
        <v>5445</v>
      </c>
      <c r="D120" s="155">
        <v>5445</v>
      </c>
      <c r="E120" s="155">
        <f>55700-8000</f>
        <v>47700</v>
      </c>
      <c r="F120" s="156">
        <v>5250</v>
      </c>
      <c r="G120" s="155">
        <v>2000</v>
      </c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</row>
    <row r="121" spans="1:45" s="197" customFormat="1" ht="12.75" x14ac:dyDescent="0.2">
      <c r="A121" s="880" t="s">
        <v>314</v>
      </c>
      <c r="B121" s="874" t="s">
        <v>357</v>
      </c>
      <c r="C121" s="155">
        <v>0</v>
      </c>
      <c r="D121" s="155">
        <v>0</v>
      </c>
      <c r="E121" s="155">
        <f>155000-30000</f>
        <v>125000</v>
      </c>
      <c r="F121" s="156">
        <v>5250</v>
      </c>
      <c r="G121" s="155">
        <v>30000</v>
      </c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</row>
    <row r="122" spans="1:45" s="197" customFormat="1" ht="12.75" x14ac:dyDescent="0.2">
      <c r="A122" s="168" t="s">
        <v>316</v>
      </c>
      <c r="B122" s="853" t="s">
        <v>358</v>
      </c>
      <c r="C122" s="155">
        <v>0</v>
      </c>
      <c r="D122" s="155">
        <v>0</v>
      </c>
      <c r="E122" s="155">
        <v>5300</v>
      </c>
      <c r="F122" s="156">
        <v>2241</v>
      </c>
      <c r="G122" s="155">
        <v>5300</v>
      </c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</row>
    <row r="123" spans="1:45" s="197" customFormat="1" ht="12.75" x14ac:dyDescent="0.2">
      <c r="A123" s="852" t="s">
        <v>329</v>
      </c>
      <c r="B123" s="853" t="s">
        <v>359</v>
      </c>
      <c r="C123" s="155">
        <v>0</v>
      </c>
      <c r="D123" s="155">
        <v>0</v>
      </c>
      <c r="E123" s="155">
        <v>40602</v>
      </c>
      <c r="F123" s="156">
        <v>2241</v>
      </c>
      <c r="G123" s="155">
        <v>40602</v>
      </c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</row>
    <row r="124" spans="1:45" s="197" customFormat="1" ht="12.75" x14ac:dyDescent="0.2">
      <c r="A124" s="183"/>
      <c r="B124" s="172"/>
      <c r="C124" s="173"/>
      <c r="D124" s="173"/>
      <c r="E124" s="173"/>
      <c r="F124" s="399"/>
      <c r="G124" s="173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</row>
  </sheetData>
  <mergeCells count="97">
    <mergeCell ref="B1:G1"/>
    <mergeCell ref="G50:G51"/>
    <mergeCell ref="A52:B52"/>
    <mergeCell ref="C63:G63"/>
    <mergeCell ref="A64:A65"/>
    <mergeCell ref="B64:B65"/>
    <mergeCell ref="C64:C65"/>
    <mergeCell ref="D64:D65"/>
    <mergeCell ref="E64:E65"/>
    <mergeCell ref="F64:F65"/>
    <mergeCell ref="G64:G65"/>
    <mergeCell ref="A16:B16"/>
    <mergeCell ref="C33:G33"/>
    <mergeCell ref="A34:A35"/>
    <mergeCell ref="B34:B35"/>
    <mergeCell ref="C34:C35"/>
    <mergeCell ref="D34:D35"/>
    <mergeCell ref="E34:E35"/>
    <mergeCell ref="B17:B19"/>
    <mergeCell ref="A17:A19"/>
    <mergeCell ref="C22:G22"/>
    <mergeCell ref="A24:B24"/>
    <mergeCell ref="F34:F35"/>
    <mergeCell ref="G34:G35"/>
    <mergeCell ref="A36:B36"/>
    <mergeCell ref="A38:A39"/>
    <mergeCell ref="B38:B39"/>
    <mergeCell ref="C49:G49"/>
    <mergeCell ref="A50:A51"/>
    <mergeCell ref="B50:B51"/>
    <mergeCell ref="C50:C51"/>
    <mergeCell ref="D50:D51"/>
    <mergeCell ref="E50:E51"/>
    <mergeCell ref="F50:F51"/>
    <mergeCell ref="C6:G6"/>
    <mergeCell ref="A8:G8"/>
    <mergeCell ref="C13:G13"/>
    <mergeCell ref="A14:A15"/>
    <mergeCell ref="B14:B15"/>
    <mergeCell ref="C14:C15"/>
    <mergeCell ref="D14:D15"/>
    <mergeCell ref="E14:E15"/>
    <mergeCell ref="F14:F15"/>
    <mergeCell ref="G14:G15"/>
    <mergeCell ref="A66:B66"/>
    <mergeCell ref="C79:G79"/>
    <mergeCell ref="A80:A81"/>
    <mergeCell ref="B80:B81"/>
    <mergeCell ref="C80:C81"/>
    <mergeCell ref="D80:D81"/>
    <mergeCell ref="E80:E81"/>
    <mergeCell ref="F80:F81"/>
    <mergeCell ref="G80:G81"/>
    <mergeCell ref="C72:G72"/>
    <mergeCell ref="A74:B74"/>
    <mergeCell ref="C89:G89"/>
    <mergeCell ref="A82:B82"/>
    <mergeCell ref="F105:F106"/>
    <mergeCell ref="G105:G106"/>
    <mergeCell ref="A107:B107"/>
    <mergeCell ref="G97:G98"/>
    <mergeCell ref="A99:B99"/>
    <mergeCell ref="C104:G104"/>
    <mergeCell ref="A105:A106"/>
    <mergeCell ref="B105:B106"/>
    <mergeCell ref="C105:C106"/>
    <mergeCell ref="D105:D106"/>
    <mergeCell ref="E105:E106"/>
    <mergeCell ref="A97:A98"/>
    <mergeCell ref="B97:B98"/>
    <mergeCell ref="C97:C98"/>
    <mergeCell ref="E97:E98"/>
    <mergeCell ref="F97:F98"/>
    <mergeCell ref="C115:G115"/>
    <mergeCell ref="A116:A117"/>
    <mergeCell ref="B116:B117"/>
    <mergeCell ref="C116:C117"/>
    <mergeCell ref="D116:D117"/>
    <mergeCell ref="E116:E117"/>
    <mergeCell ref="F116:F117"/>
    <mergeCell ref="G116:G117"/>
    <mergeCell ref="A118:B118"/>
    <mergeCell ref="A44:A45"/>
    <mergeCell ref="B44:B45"/>
    <mergeCell ref="C56:G56"/>
    <mergeCell ref="C57:G57"/>
    <mergeCell ref="A59:B59"/>
    <mergeCell ref="G90:G91"/>
    <mergeCell ref="A92:B92"/>
    <mergeCell ref="C96:G96"/>
    <mergeCell ref="A90:A91"/>
    <mergeCell ref="B90:B91"/>
    <mergeCell ref="C90:C91"/>
    <mergeCell ref="D90:D91"/>
    <mergeCell ref="E90:E91"/>
    <mergeCell ref="F90:F91"/>
    <mergeCell ref="D97:D98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 xml:space="preserve">&amp;R&amp;"Times New Roman,Regular"&amp;8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99"/>
  </sheetPr>
  <dimension ref="A1:G19"/>
  <sheetViews>
    <sheetView zoomScaleNormal="100" workbookViewId="0">
      <selection activeCell="B2" sqref="B2"/>
    </sheetView>
  </sheetViews>
  <sheetFormatPr defaultRowHeight="12" x14ac:dyDescent="0.2"/>
  <cols>
    <col min="1" max="1" width="3.28515625" style="1" customWidth="1"/>
    <col min="2" max="2" width="64.28515625" style="1" customWidth="1"/>
    <col min="3" max="3" width="11.85546875" style="1" hidden="1" customWidth="1"/>
    <col min="4" max="4" width="11.140625" style="1" hidden="1" customWidth="1"/>
    <col min="5" max="5" width="29.140625" style="1" hidden="1" customWidth="1"/>
    <col min="6" max="6" width="10.5703125" style="1" customWidth="1"/>
    <col min="7" max="7" width="9.7109375" style="1" customWidth="1"/>
    <col min="8" max="253" width="9.140625" style="1"/>
    <col min="254" max="254" width="6.140625" style="1" customWidth="1"/>
    <col min="255" max="255" width="44.85546875" style="1" customWidth="1"/>
    <col min="256" max="256" width="11.85546875" style="1" customWidth="1"/>
    <col min="257" max="257" width="11.140625" style="1" customWidth="1"/>
    <col min="258" max="258" width="10.28515625" style="1" customWidth="1"/>
    <col min="259" max="259" width="10.5703125" style="1" customWidth="1"/>
    <col min="260" max="260" width="9.7109375" style="1" customWidth="1"/>
    <col min="261" max="261" width="17.7109375" style="1" customWidth="1"/>
    <col min="262" max="509" width="9.140625" style="1"/>
    <col min="510" max="510" width="6.140625" style="1" customWidth="1"/>
    <col min="511" max="511" width="44.85546875" style="1" customWidth="1"/>
    <col min="512" max="512" width="11.85546875" style="1" customWidth="1"/>
    <col min="513" max="513" width="11.140625" style="1" customWidth="1"/>
    <col min="514" max="514" width="10.28515625" style="1" customWidth="1"/>
    <col min="515" max="515" width="10.5703125" style="1" customWidth="1"/>
    <col min="516" max="516" width="9.7109375" style="1" customWidth="1"/>
    <col min="517" max="517" width="17.7109375" style="1" customWidth="1"/>
    <col min="518" max="765" width="9.140625" style="1"/>
    <col min="766" max="766" width="6.140625" style="1" customWidth="1"/>
    <col min="767" max="767" width="44.85546875" style="1" customWidth="1"/>
    <col min="768" max="768" width="11.85546875" style="1" customWidth="1"/>
    <col min="769" max="769" width="11.140625" style="1" customWidth="1"/>
    <col min="770" max="770" width="10.28515625" style="1" customWidth="1"/>
    <col min="771" max="771" width="10.5703125" style="1" customWidth="1"/>
    <col min="772" max="772" width="9.7109375" style="1" customWidth="1"/>
    <col min="773" max="773" width="17.7109375" style="1" customWidth="1"/>
    <col min="774" max="1021" width="9.140625" style="1"/>
    <col min="1022" max="1022" width="6.140625" style="1" customWidth="1"/>
    <col min="1023" max="1023" width="44.85546875" style="1" customWidth="1"/>
    <col min="1024" max="1024" width="11.85546875" style="1" customWidth="1"/>
    <col min="1025" max="1025" width="11.140625" style="1" customWidth="1"/>
    <col min="1026" max="1026" width="10.28515625" style="1" customWidth="1"/>
    <col min="1027" max="1027" width="10.5703125" style="1" customWidth="1"/>
    <col min="1028" max="1028" width="9.7109375" style="1" customWidth="1"/>
    <col min="1029" max="1029" width="17.7109375" style="1" customWidth="1"/>
    <col min="1030" max="1277" width="9.140625" style="1"/>
    <col min="1278" max="1278" width="6.140625" style="1" customWidth="1"/>
    <col min="1279" max="1279" width="44.85546875" style="1" customWidth="1"/>
    <col min="1280" max="1280" width="11.85546875" style="1" customWidth="1"/>
    <col min="1281" max="1281" width="11.140625" style="1" customWidth="1"/>
    <col min="1282" max="1282" width="10.28515625" style="1" customWidth="1"/>
    <col min="1283" max="1283" width="10.5703125" style="1" customWidth="1"/>
    <col min="1284" max="1284" width="9.7109375" style="1" customWidth="1"/>
    <col min="1285" max="1285" width="17.7109375" style="1" customWidth="1"/>
    <col min="1286" max="1533" width="9.140625" style="1"/>
    <col min="1534" max="1534" width="6.140625" style="1" customWidth="1"/>
    <col min="1535" max="1535" width="44.85546875" style="1" customWidth="1"/>
    <col min="1536" max="1536" width="11.85546875" style="1" customWidth="1"/>
    <col min="1537" max="1537" width="11.140625" style="1" customWidth="1"/>
    <col min="1538" max="1538" width="10.28515625" style="1" customWidth="1"/>
    <col min="1539" max="1539" width="10.5703125" style="1" customWidth="1"/>
    <col min="1540" max="1540" width="9.7109375" style="1" customWidth="1"/>
    <col min="1541" max="1541" width="17.7109375" style="1" customWidth="1"/>
    <col min="1542" max="1789" width="9.140625" style="1"/>
    <col min="1790" max="1790" width="6.140625" style="1" customWidth="1"/>
    <col min="1791" max="1791" width="44.85546875" style="1" customWidth="1"/>
    <col min="1792" max="1792" width="11.85546875" style="1" customWidth="1"/>
    <col min="1793" max="1793" width="11.140625" style="1" customWidth="1"/>
    <col min="1794" max="1794" width="10.28515625" style="1" customWidth="1"/>
    <col min="1795" max="1795" width="10.5703125" style="1" customWidth="1"/>
    <col min="1796" max="1796" width="9.7109375" style="1" customWidth="1"/>
    <col min="1797" max="1797" width="17.7109375" style="1" customWidth="1"/>
    <col min="1798" max="2045" width="9.140625" style="1"/>
    <col min="2046" max="2046" width="6.140625" style="1" customWidth="1"/>
    <col min="2047" max="2047" width="44.85546875" style="1" customWidth="1"/>
    <col min="2048" max="2048" width="11.85546875" style="1" customWidth="1"/>
    <col min="2049" max="2049" width="11.140625" style="1" customWidth="1"/>
    <col min="2050" max="2050" width="10.28515625" style="1" customWidth="1"/>
    <col min="2051" max="2051" width="10.5703125" style="1" customWidth="1"/>
    <col min="2052" max="2052" width="9.7109375" style="1" customWidth="1"/>
    <col min="2053" max="2053" width="17.7109375" style="1" customWidth="1"/>
    <col min="2054" max="2301" width="9.140625" style="1"/>
    <col min="2302" max="2302" width="6.140625" style="1" customWidth="1"/>
    <col min="2303" max="2303" width="44.85546875" style="1" customWidth="1"/>
    <col min="2304" max="2304" width="11.85546875" style="1" customWidth="1"/>
    <col min="2305" max="2305" width="11.140625" style="1" customWidth="1"/>
    <col min="2306" max="2306" width="10.28515625" style="1" customWidth="1"/>
    <col min="2307" max="2307" width="10.5703125" style="1" customWidth="1"/>
    <col min="2308" max="2308" width="9.7109375" style="1" customWidth="1"/>
    <col min="2309" max="2309" width="17.7109375" style="1" customWidth="1"/>
    <col min="2310" max="2557" width="9.140625" style="1"/>
    <col min="2558" max="2558" width="6.140625" style="1" customWidth="1"/>
    <col min="2559" max="2559" width="44.85546875" style="1" customWidth="1"/>
    <col min="2560" max="2560" width="11.85546875" style="1" customWidth="1"/>
    <col min="2561" max="2561" width="11.140625" style="1" customWidth="1"/>
    <col min="2562" max="2562" width="10.28515625" style="1" customWidth="1"/>
    <col min="2563" max="2563" width="10.5703125" style="1" customWidth="1"/>
    <col min="2564" max="2564" width="9.7109375" style="1" customWidth="1"/>
    <col min="2565" max="2565" width="17.7109375" style="1" customWidth="1"/>
    <col min="2566" max="2813" width="9.140625" style="1"/>
    <col min="2814" max="2814" width="6.140625" style="1" customWidth="1"/>
    <col min="2815" max="2815" width="44.85546875" style="1" customWidth="1"/>
    <col min="2816" max="2816" width="11.85546875" style="1" customWidth="1"/>
    <col min="2817" max="2817" width="11.140625" style="1" customWidth="1"/>
    <col min="2818" max="2818" width="10.28515625" style="1" customWidth="1"/>
    <col min="2819" max="2819" width="10.5703125" style="1" customWidth="1"/>
    <col min="2820" max="2820" width="9.7109375" style="1" customWidth="1"/>
    <col min="2821" max="2821" width="17.7109375" style="1" customWidth="1"/>
    <col min="2822" max="3069" width="9.140625" style="1"/>
    <col min="3070" max="3070" width="6.140625" style="1" customWidth="1"/>
    <col min="3071" max="3071" width="44.85546875" style="1" customWidth="1"/>
    <col min="3072" max="3072" width="11.85546875" style="1" customWidth="1"/>
    <col min="3073" max="3073" width="11.140625" style="1" customWidth="1"/>
    <col min="3074" max="3074" width="10.28515625" style="1" customWidth="1"/>
    <col min="3075" max="3075" width="10.5703125" style="1" customWidth="1"/>
    <col min="3076" max="3076" width="9.7109375" style="1" customWidth="1"/>
    <col min="3077" max="3077" width="17.7109375" style="1" customWidth="1"/>
    <col min="3078" max="3325" width="9.140625" style="1"/>
    <col min="3326" max="3326" width="6.140625" style="1" customWidth="1"/>
    <col min="3327" max="3327" width="44.85546875" style="1" customWidth="1"/>
    <col min="3328" max="3328" width="11.85546875" style="1" customWidth="1"/>
    <col min="3329" max="3329" width="11.140625" style="1" customWidth="1"/>
    <col min="3330" max="3330" width="10.28515625" style="1" customWidth="1"/>
    <col min="3331" max="3331" width="10.5703125" style="1" customWidth="1"/>
    <col min="3332" max="3332" width="9.7109375" style="1" customWidth="1"/>
    <col min="3333" max="3333" width="17.7109375" style="1" customWidth="1"/>
    <col min="3334" max="3581" width="9.140625" style="1"/>
    <col min="3582" max="3582" width="6.140625" style="1" customWidth="1"/>
    <col min="3583" max="3583" width="44.85546875" style="1" customWidth="1"/>
    <col min="3584" max="3584" width="11.85546875" style="1" customWidth="1"/>
    <col min="3585" max="3585" width="11.140625" style="1" customWidth="1"/>
    <col min="3586" max="3586" width="10.28515625" style="1" customWidth="1"/>
    <col min="3587" max="3587" width="10.5703125" style="1" customWidth="1"/>
    <col min="3588" max="3588" width="9.7109375" style="1" customWidth="1"/>
    <col min="3589" max="3589" width="17.7109375" style="1" customWidth="1"/>
    <col min="3590" max="3837" width="9.140625" style="1"/>
    <col min="3838" max="3838" width="6.140625" style="1" customWidth="1"/>
    <col min="3839" max="3839" width="44.85546875" style="1" customWidth="1"/>
    <col min="3840" max="3840" width="11.85546875" style="1" customWidth="1"/>
    <col min="3841" max="3841" width="11.140625" style="1" customWidth="1"/>
    <col min="3842" max="3842" width="10.28515625" style="1" customWidth="1"/>
    <col min="3843" max="3843" width="10.5703125" style="1" customWidth="1"/>
    <col min="3844" max="3844" width="9.7109375" style="1" customWidth="1"/>
    <col min="3845" max="3845" width="17.7109375" style="1" customWidth="1"/>
    <col min="3846" max="4093" width="9.140625" style="1"/>
    <col min="4094" max="4094" width="6.140625" style="1" customWidth="1"/>
    <col min="4095" max="4095" width="44.85546875" style="1" customWidth="1"/>
    <col min="4096" max="4096" width="11.85546875" style="1" customWidth="1"/>
    <col min="4097" max="4097" width="11.140625" style="1" customWidth="1"/>
    <col min="4098" max="4098" width="10.28515625" style="1" customWidth="1"/>
    <col min="4099" max="4099" width="10.5703125" style="1" customWidth="1"/>
    <col min="4100" max="4100" width="9.7109375" style="1" customWidth="1"/>
    <col min="4101" max="4101" width="17.7109375" style="1" customWidth="1"/>
    <col min="4102" max="4349" width="9.140625" style="1"/>
    <col min="4350" max="4350" width="6.140625" style="1" customWidth="1"/>
    <col min="4351" max="4351" width="44.85546875" style="1" customWidth="1"/>
    <col min="4352" max="4352" width="11.85546875" style="1" customWidth="1"/>
    <col min="4353" max="4353" width="11.140625" style="1" customWidth="1"/>
    <col min="4354" max="4354" width="10.28515625" style="1" customWidth="1"/>
    <col min="4355" max="4355" width="10.5703125" style="1" customWidth="1"/>
    <col min="4356" max="4356" width="9.7109375" style="1" customWidth="1"/>
    <col min="4357" max="4357" width="17.7109375" style="1" customWidth="1"/>
    <col min="4358" max="4605" width="9.140625" style="1"/>
    <col min="4606" max="4606" width="6.140625" style="1" customWidth="1"/>
    <col min="4607" max="4607" width="44.85546875" style="1" customWidth="1"/>
    <col min="4608" max="4608" width="11.85546875" style="1" customWidth="1"/>
    <col min="4609" max="4609" width="11.140625" style="1" customWidth="1"/>
    <col min="4610" max="4610" width="10.28515625" style="1" customWidth="1"/>
    <col min="4611" max="4611" width="10.5703125" style="1" customWidth="1"/>
    <col min="4612" max="4612" width="9.7109375" style="1" customWidth="1"/>
    <col min="4613" max="4613" width="17.7109375" style="1" customWidth="1"/>
    <col min="4614" max="4861" width="9.140625" style="1"/>
    <col min="4862" max="4862" width="6.140625" style="1" customWidth="1"/>
    <col min="4863" max="4863" width="44.85546875" style="1" customWidth="1"/>
    <col min="4864" max="4864" width="11.85546875" style="1" customWidth="1"/>
    <col min="4865" max="4865" width="11.140625" style="1" customWidth="1"/>
    <col min="4866" max="4866" width="10.28515625" style="1" customWidth="1"/>
    <col min="4867" max="4867" width="10.5703125" style="1" customWidth="1"/>
    <col min="4868" max="4868" width="9.7109375" style="1" customWidth="1"/>
    <col min="4869" max="4869" width="17.7109375" style="1" customWidth="1"/>
    <col min="4870" max="5117" width="9.140625" style="1"/>
    <col min="5118" max="5118" width="6.140625" style="1" customWidth="1"/>
    <col min="5119" max="5119" width="44.85546875" style="1" customWidth="1"/>
    <col min="5120" max="5120" width="11.85546875" style="1" customWidth="1"/>
    <col min="5121" max="5121" width="11.140625" style="1" customWidth="1"/>
    <col min="5122" max="5122" width="10.28515625" style="1" customWidth="1"/>
    <col min="5123" max="5123" width="10.5703125" style="1" customWidth="1"/>
    <col min="5124" max="5124" width="9.7109375" style="1" customWidth="1"/>
    <col min="5125" max="5125" width="17.7109375" style="1" customWidth="1"/>
    <col min="5126" max="5373" width="9.140625" style="1"/>
    <col min="5374" max="5374" width="6.140625" style="1" customWidth="1"/>
    <col min="5375" max="5375" width="44.85546875" style="1" customWidth="1"/>
    <col min="5376" max="5376" width="11.85546875" style="1" customWidth="1"/>
    <col min="5377" max="5377" width="11.140625" style="1" customWidth="1"/>
    <col min="5378" max="5378" width="10.28515625" style="1" customWidth="1"/>
    <col min="5379" max="5379" width="10.5703125" style="1" customWidth="1"/>
    <col min="5380" max="5380" width="9.7109375" style="1" customWidth="1"/>
    <col min="5381" max="5381" width="17.7109375" style="1" customWidth="1"/>
    <col min="5382" max="5629" width="9.140625" style="1"/>
    <col min="5630" max="5630" width="6.140625" style="1" customWidth="1"/>
    <col min="5631" max="5631" width="44.85546875" style="1" customWidth="1"/>
    <col min="5632" max="5632" width="11.85546875" style="1" customWidth="1"/>
    <col min="5633" max="5633" width="11.140625" style="1" customWidth="1"/>
    <col min="5634" max="5634" width="10.28515625" style="1" customWidth="1"/>
    <col min="5635" max="5635" width="10.5703125" style="1" customWidth="1"/>
    <col min="5636" max="5636" width="9.7109375" style="1" customWidth="1"/>
    <col min="5637" max="5637" width="17.7109375" style="1" customWidth="1"/>
    <col min="5638" max="5885" width="9.140625" style="1"/>
    <col min="5886" max="5886" width="6.140625" style="1" customWidth="1"/>
    <col min="5887" max="5887" width="44.85546875" style="1" customWidth="1"/>
    <col min="5888" max="5888" width="11.85546875" style="1" customWidth="1"/>
    <col min="5889" max="5889" width="11.140625" style="1" customWidth="1"/>
    <col min="5890" max="5890" width="10.28515625" style="1" customWidth="1"/>
    <col min="5891" max="5891" width="10.5703125" style="1" customWidth="1"/>
    <col min="5892" max="5892" width="9.7109375" style="1" customWidth="1"/>
    <col min="5893" max="5893" width="17.7109375" style="1" customWidth="1"/>
    <col min="5894" max="6141" width="9.140625" style="1"/>
    <col min="6142" max="6142" width="6.140625" style="1" customWidth="1"/>
    <col min="6143" max="6143" width="44.85546875" style="1" customWidth="1"/>
    <col min="6144" max="6144" width="11.85546875" style="1" customWidth="1"/>
    <col min="6145" max="6145" width="11.140625" style="1" customWidth="1"/>
    <col min="6146" max="6146" width="10.28515625" style="1" customWidth="1"/>
    <col min="6147" max="6147" width="10.5703125" style="1" customWidth="1"/>
    <col min="6148" max="6148" width="9.7109375" style="1" customWidth="1"/>
    <col min="6149" max="6149" width="17.7109375" style="1" customWidth="1"/>
    <col min="6150" max="6397" width="9.140625" style="1"/>
    <col min="6398" max="6398" width="6.140625" style="1" customWidth="1"/>
    <col min="6399" max="6399" width="44.85546875" style="1" customWidth="1"/>
    <col min="6400" max="6400" width="11.85546875" style="1" customWidth="1"/>
    <col min="6401" max="6401" width="11.140625" style="1" customWidth="1"/>
    <col min="6402" max="6402" width="10.28515625" style="1" customWidth="1"/>
    <col min="6403" max="6403" width="10.5703125" style="1" customWidth="1"/>
    <col min="6404" max="6404" width="9.7109375" style="1" customWidth="1"/>
    <col min="6405" max="6405" width="17.7109375" style="1" customWidth="1"/>
    <col min="6406" max="6653" width="9.140625" style="1"/>
    <col min="6654" max="6654" width="6.140625" style="1" customWidth="1"/>
    <col min="6655" max="6655" width="44.85546875" style="1" customWidth="1"/>
    <col min="6656" max="6656" width="11.85546875" style="1" customWidth="1"/>
    <col min="6657" max="6657" width="11.140625" style="1" customWidth="1"/>
    <col min="6658" max="6658" width="10.28515625" style="1" customWidth="1"/>
    <col min="6659" max="6659" width="10.5703125" style="1" customWidth="1"/>
    <col min="6660" max="6660" width="9.7109375" style="1" customWidth="1"/>
    <col min="6661" max="6661" width="17.7109375" style="1" customWidth="1"/>
    <col min="6662" max="6909" width="9.140625" style="1"/>
    <col min="6910" max="6910" width="6.140625" style="1" customWidth="1"/>
    <col min="6911" max="6911" width="44.85546875" style="1" customWidth="1"/>
    <col min="6912" max="6912" width="11.85546875" style="1" customWidth="1"/>
    <col min="6913" max="6913" width="11.140625" style="1" customWidth="1"/>
    <col min="6914" max="6914" width="10.28515625" style="1" customWidth="1"/>
    <col min="6915" max="6915" width="10.5703125" style="1" customWidth="1"/>
    <col min="6916" max="6916" width="9.7109375" style="1" customWidth="1"/>
    <col min="6917" max="6917" width="17.7109375" style="1" customWidth="1"/>
    <col min="6918" max="7165" width="9.140625" style="1"/>
    <col min="7166" max="7166" width="6.140625" style="1" customWidth="1"/>
    <col min="7167" max="7167" width="44.85546875" style="1" customWidth="1"/>
    <col min="7168" max="7168" width="11.85546875" style="1" customWidth="1"/>
    <col min="7169" max="7169" width="11.140625" style="1" customWidth="1"/>
    <col min="7170" max="7170" width="10.28515625" style="1" customWidth="1"/>
    <col min="7171" max="7171" width="10.5703125" style="1" customWidth="1"/>
    <col min="7172" max="7172" width="9.7109375" style="1" customWidth="1"/>
    <col min="7173" max="7173" width="17.7109375" style="1" customWidth="1"/>
    <col min="7174" max="7421" width="9.140625" style="1"/>
    <col min="7422" max="7422" width="6.140625" style="1" customWidth="1"/>
    <col min="7423" max="7423" width="44.85546875" style="1" customWidth="1"/>
    <col min="7424" max="7424" width="11.85546875" style="1" customWidth="1"/>
    <col min="7425" max="7425" width="11.140625" style="1" customWidth="1"/>
    <col min="7426" max="7426" width="10.28515625" style="1" customWidth="1"/>
    <col min="7427" max="7427" width="10.5703125" style="1" customWidth="1"/>
    <col min="7428" max="7428" width="9.7109375" style="1" customWidth="1"/>
    <col min="7429" max="7429" width="17.7109375" style="1" customWidth="1"/>
    <col min="7430" max="7677" width="9.140625" style="1"/>
    <col min="7678" max="7678" width="6.140625" style="1" customWidth="1"/>
    <col min="7679" max="7679" width="44.85546875" style="1" customWidth="1"/>
    <col min="7680" max="7680" width="11.85546875" style="1" customWidth="1"/>
    <col min="7681" max="7681" width="11.140625" style="1" customWidth="1"/>
    <col min="7682" max="7682" width="10.28515625" style="1" customWidth="1"/>
    <col min="7683" max="7683" width="10.5703125" style="1" customWidth="1"/>
    <col min="7684" max="7684" width="9.7109375" style="1" customWidth="1"/>
    <col min="7685" max="7685" width="17.7109375" style="1" customWidth="1"/>
    <col min="7686" max="7933" width="9.140625" style="1"/>
    <col min="7934" max="7934" width="6.140625" style="1" customWidth="1"/>
    <col min="7935" max="7935" width="44.85546875" style="1" customWidth="1"/>
    <col min="7936" max="7936" width="11.85546875" style="1" customWidth="1"/>
    <col min="7937" max="7937" width="11.140625" style="1" customWidth="1"/>
    <col min="7938" max="7938" width="10.28515625" style="1" customWidth="1"/>
    <col min="7939" max="7939" width="10.5703125" style="1" customWidth="1"/>
    <col min="7940" max="7940" width="9.7109375" style="1" customWidth="1"/>
    <col min="7941" max="7941" width="17.7109375" style="1" customWidth="1"/>
    <col min="7942" max="8189" width="9.140625" style="1"/>
    <col min="8190" max="8190" width="6.140625" style="1" customWidth="1"/>
    <col min="8191" max="8191" width="44.85546875" style="1" customWidth="1"/>
    <col min="8192" max="8192" width="11.85546875" style="1" customWidth="1"/>
    <col min="8193" max="8193" width="11.140625" style="1" customWidth="1"/>
    <col min="8194" max="8194" width="10.28515625" style="1" customWidth="1"/>
    <col min="8195" max="8195" width="10.5703125" style="1" customWidth="1"/>
    <col min="8196" max="8196" width="9.7109375" style="1" customWidth="1"/>
    <col min="8197" max="8197" width="17.7109375" style="1" customWidth="1"/>
    <col min="8198" max="8445" width="9.140625" style="1"/>
    <col min="8446" max="8446" width="6.140625" style="1" customWidth="1"/>
    <col min="8447" max="8447" width="44.85546875" style="1" customWidth="1"/>
    <col min="8448" max="8448" width="11.85546875" style="1" customWidth="1"/>
    <col min="8449" max="8449" width="11.140625" style="1" customWidth="1"/>
    <col min="8450" max="8450" width="10.28515625" style="1" customWidth="1"/>
    <col min="8451" max="8451" width="10.5703125" style="1" customWidth="1"/>
    <col min="8452" max="8452" width="9.7109375" style="1" customWidth="1"/>
    <col min="8453" max="8453" width="17.7109375" style="1" customWidth="1"/>
    <col min="8454" max="8701" width="9.140625" style="1"/>
    <col min="8702" max="8702" width="6.140625" style="1" customWidth="1"/>
    <col min="8703" max="8703" width="44.85546875" style="1" customWidth="1"/>
    <col min="8704" max="8704" width="11.85546875" style="1" customWidth="1"/>
    <col min="8705" max="8705" width="11.140625" style="1" customWidth="1"/>
    <col min="8706" max="8706" width="10.28515625" style="1" customWidth="1"/>
    <col min="8707" max="8707" width="10.5703125" style="1" customWidth="1"/>
    <col min="8708" max="8708" width="9.7109375" style="1" customWidth="1"/>
    <col min="8709" max="8709" width="17.7109375" style="1" customWidth="1"/>
    <col min="8710" max="8957" width="9.140625" style="1"/>
    <col min="8958" max="8958" width="6.140625" style="1" customWidth="1"/>
    <col min="8959" max="8959" width="44.85546875" style="1" customWidth="1"/>
    <col min="8960" max="8960" width="11.85546875" style="1" customWidth="1"/>
    <col min="8961" max="8961" width="11.140625" style="1" customWidth="1"/>
    <col min="8962" max="8962" width="10.28515625" style="1" customWidth="1"/>
    <col min="8963" max="8963" width="10.5703125" style="1" customWidth="1"/>
    <col min="8964" max="8964" width="9.7109375" style="1" customWidth="1"/>
    <col min="8965" max="8965" width="17.7109375" style="1" customWidth="1"/>
    <col min="8966" max="9213" width="9.140625" style="1"/>
    <col min="9214" max="9214" width="6.140625" style="1" customWidth="1"/>
    <col min="9215" max="9215" width="44.85546875" style="1" customWidth="1"/>
    <col min="9216" max="9216" width="11.85546875" style="1" customWidth="1"/>
    <col min="9217" max="9217" width="11.140625" style="1" customWidth="1"/>
    <col min="9218" max="9218" width="10.28515625" style="1" customWidth="1"/>
    <col min="9219" max="9219" width="10.5703125" style="1" customWidth="1"/>
    <col min="9220" max="9220" width="9.7109375" style="1" customWidth="1"/>
    <col min="9221" max="9221" width="17.7109375" style="1" customWidth="1"/>
    <col min="9222" max="9469" width="9.140625" style="1"/>
    <col min="9470" max="9470" width="6.140625" style="1" customWidth="1"/>
    <col min="9471" max="9471" width="44.85546875" style="1" customWidth="1"/>
    <col min="9472" max="9472" width="11.85546875" style="1" customWidth="1"/>
    <col min="9473" max="9473" width="11.140625" style="1" customWidth="1"/>
    <col min="9474" max="9474" width="10.28515625" style="1" customWidth="1"/>
    <col min="9475" max="9475" width="10.5703125" style="1" customWidth="1"/>
    <col min="9476" max="9476" width="9.7109375" style="1" customWidth="1"/>
    <col min="9477" max="9477" width="17.7109375" style="1" customWidth="1"/>
    <col min="9478" max="9725" width="9.140625" style="1"/>
    <col min="9726" max="9726" width="6.140625" style="1" customWidth="1"/>
    <col min="9727" max="9727" width="44.85546875" style="1" customWidth="1"/>
    <col min="9728" max="9728" width="11.85546875" style="1" customWidth="1"/>
    <col min="9729" max="9729" width="11.140625" style="1" customWidth="1"/>
    <col min="9730" max="9730" width="10.28515625" style="1" customWidth="1"/>
    <col min="9731" max="9731" width="10.5703125" style="1" customWidth="1"/>
    <col min="9732" max="9732" width="9.7109375" style="1" customWidth="1"/>
    <col min="9733" max="9733" width="17.7109375" style="1" customWidth="1"/>
    <col min="9734" max="9981" width="9.140625" style="1"/>
    <col min="9982" max="9982" width="6.140625" style="1" customWidth="1"/>
    <col min="9983" max="9983" width="44.85546875" style="1" customWidth="1"/>
    <col min="9984" max="9984" width="11.85546875" style="1" customWidth="1"/>
    <col min="9985" max="9985" width="11.140625" style="1" customWidth="1"/>
    <col min="9986" max="9986" width="10.28515625" style="1" customWidth="1"/>
    <col min="9987" max="9987" width="10.5703125" style="1" customWidth="1"/>
    <col min="9988" max="9988" width="9.7109375" style="1" customWidth="1"/>
    <col min="9989" max="9989" width="17.7109375" style="1" customWidth="1"/>
    <col min="9990" max="10237" width="9.140625" style="1"/>
    <col min="10238" max="10238" width="6.140625" style="1" customWidth="1"/>
    <col min="10239" max="10239" width="44.85546875" style="1" customWidth="1"/>
    <col min="10240" max="10240" width="11.85546875" style="1" customWidth="1"/>
    <col min="10241" max="10241" width="11.140625" style="1" customWidth="1"/>
    <col min="10242" max="10242" width="10.28515625" style="1" customWidth="1"/>
    <col min="10243" max="10243" width="10.5703125" style="1" customWidth="1"/>
    <col min="10244" max="10244" width="9.7109375" style="1" customWidth="1"/>
    <col min="10245" max="10245" width="17.7109375" style="1" customWidth="1"/>
    <col min="10246" max="10493" width="9.140625" style="1"/>
    <col min="10494" max="10494" width="6.140625" style="1" customWidth="1"/>
    <col min="10495" max="10495" width="44.85546875" style="1" customWidth="1"/>
    <col min="10496" max="10496" width="11.85546875" style="1" customWidth="1"/>
    <col min="10497" max="10497" width="11.140625" style="1" customWidth="1"/>
    <col min="10498" max="10498" width="10.28515625" style="1" customWidth="1"/>
    <col min="10499" max="10499" width="10.5703125" style="1" customWidth="1"/>
    <col min="10500" max="10500" width="9.7109375" style="1" customWidth="1"/>
    <col min="10501" max="10501" width="17.7109375" style="1" customWidth="1"/>
    <col min="10502" max="10749" width="9.140625" style="1"/>
    <col min="10750" max="10750" width="6.140625" style="1" customWidth="1"/>
    <col min="10751" max="10751" width="44.85546875" style="1" customWidth="1"/>
    <col min="10752" max="10752" width="11.85546875" style="1" customWidth="1"/>
    <col min="10753" max="10753" width="11.140625" style="1" customWidth="1"/>
    <col min="10754" max="10754" width="10.28515625" style="1" customWidth="1"/>
    <col min="10755" max="10755" width="10.5703125" style="1" customWidth="1"/>
    <col min="10756" max="10756" width="9.7109375" style="1" customWidth="1"/>
    <col min="10757" max="10757" width="17.7109375" style="1" customWidth="1"/>
    <col min="10758" max="11005" width="9.140625" style="1"/>
    <col min="11006" max="11006" width="6.140625" style="1" customWidth="1"/>
    <col min="11007" max="11007" width="44.85546875" style="1" customWidth="1"/>
    <col min="11008" max="11008" width="11.85546875" style="1" customWidth="1"/>
    <col min="11009" max="11009" width="11.140625" style="1" customWidth="1"/>
    <col min="11010" max="11010" width="10.28515625" style="1" customWidth="1"/>
    <col min="11011" max="11011" width="10.5703125" style="1" customWidth="1"/>
    <col min="11012" max="11012" width="9.7109375" style="1" customWidth="1"/>
    <col min="11013" max="11013" width="17.7109375" style="1" customWidth="1"/>
    <col min="11014" max="11261" width="9.140625" style="1"/>
    <col min="11262" max="11262" width="6.140625" style="1" customWidth="1"/>
    <col min="11263" max="11263" width="44.85546875" style="1" customWidth="1"/>
    <col min="11264" max="11264" width="11.85546875" style="1" customWidth="1"/>
    <col min="11265" max="11265" width="11.140625" style="1" customWidth="1"/>
    <col min="11266" max="11266" width="10.28515625" style="1" customWidth="1"/>
    <col min="11267" max="11267" width="10.5703125" style="1" customWidth="1"/>
    <col min="11268" max="11268" width="9.7109375" style="1" customWidth="1"/>
    <col min="11269" max="11269" width="17.7109375" style="1" customWidth="1"/>
    <col min="11270" max="11517" width="9.140625" style="1"/>
    <col min="11518" max="11518" width="6.140625" style="1" customWidth="1"/>
    <col min="11519" max="11519" width="44.85546875" style="1" customWidth="1"/>
    <col min="11520" max="11520" width="11.85546875" style="1" customWidth="1"/>
    <col min="11521" max="11521" width="11.140625" style="1" customWidth="1"/>
    <col min="11522" max="11522" width="10.28515625" style="1" customWidth="1"/>
    <col min="11523" max="11523" width="10.5703125" style="1" customWidth="1"/>
    <col min="11524" max="11524" width="9.7109375" style="1" customWidth="1"/>
    <col min="11525" max="11525" width="17.7109375" style="1" customWidth="1"/>
    <col min="11526" max="11773" width="9.140625" style="1"/>
    <col min="11774" max="11774" width="6.140625" style="1" customWidth="1"/>
    <col min="11775" max="11775" width="44.85546875" style="1" customWidth="1"/>
    <col min="11776" max="11776" width="11.85546875" style="1" customWidth="1"/>
    <col min="11777" max="11777" width="11.140625" style="1" customWidth="1"/>
    <col min="11778" max="11778" width="10.28515625" style="1" customWidth="1"/>
    <col min="11779" max="11779" width="10.5703125" style="1" customWidth="1"/>
    <col min="11780" max="11780" width="9.7109375" style="1" customWidth="1"/>
    <col min="11781" max="11781" width="17.7109375" style="1" customWidth="1"/>
    <col min="11782" max="12029" width="9.140625" style="1"/>
    <col min="12030" max="12030" width="6.140625" style="1" customWidth="1"/>
    <col min="12031" max="12031" width="44.85546875" style="1" customWidth="1"/>
    <col min="12032" max="12032" width="11.85546875" style="1" customWidth="1"/>
    <col min="12033" max="12033" width="11.140625" style="1" customWidth="1"/>
    <col min="12034" max="12034" width="10.28515625" style="1" customWidth="1"/>
    <col min="12035" max="12035" width="10.5703125" style="1" customWidth="1"/>
    <col min="12036" max="12036" width="9.7109375" style="1" customWidth="1"/>
    <col min="12037" max="12037" width="17.7109375" style="1" customWidth="1"/>
    <col min="12038" max="12285" width="9.140625" style="1"/>
    <col min="12286" max="12286" width="6.140625" style="1" customWidth="1"/>
    <col min="12287" max="12287" width="44.85546875" style="1" customWidth="1"/>
    <col min="12288" max="12288" width="11.85546875" style="1" customWidth="1"/>
    <col min="12289" max="12289" width="11.140625" style="1" customWidth="1"/>
    <col min="12290" max="12290" width="10.28515625" style="1" customWidth="1"/>
    <col min="12291" max="12291" width="10.5703125" style="1" customWidth="1"/>
    <col min="12292" max="12292" width="9.7109375" style="1" customWidth="1"/>
    <col min="12293" max="12293" width="17.7109375" style="1" customWidth="1"/>
    <col min="12294" max="12541" width="9.140625" style="1"/>
    <col min="12542" max="12542" width="6.140625" style="1" customWidth="1"/>
    <col min="12543" max="12543" width="44.85546875" style="1" customWidth="1"/>
    <col min="12544" max="12544" width="11.85546875" style="1" customWidth="1"/>
    <col min="12545" max="12545" width="11.140625" style="1" customWidth="1"/>
    <col min="12546" max="12546" width="10.28515625" style="1" customWidth="1"/>
    <col min="12547" max="12547" width="10.5703125" style="1" customWidth="1"/>
    <col min="12548" max="12548" width="9.7109375" style="1" customWidth="1"/>
    <col min="12549" max="12549" width="17.7109375" style="1" customWidth="1"/>
    <col min="12550" max="12797" width="9.140625" style="1"/>
    <col min="12798" max="12798" width="6.140625" style="1" customWidth="1"/>
    <col min="12799" max="12799" width="44.85546875" style="1" customWidth="1"/>
    <col min="12800" max="12800" width="11.85546875" style="1" customWidth="1"/>
    <col min="12801" max="12801" width="11.140625" style="1" customWidth="1"/>
    <col min="12802" max="12802" width="10.28515625" style="1" customWidth="1"/>
    <col min="12803" max="12803" width="10.5703125" style="1" customWidth="1"/>
    <col min="12804" max="12804" width="9.7109375" style="1" customWidth="1"/>
    <col min="12805" max="12805" width="17.7109375" style="1" customWidth="1"/>
    <col min="12806" max="13053" width="9.140625" style="1"/>
    <col min="13054" max="13054" width="6.140625" style="1" customWidth="1"/>
    <col min="13055" max="13055" width="44.85546875" style="1" customWidth="1"/>
    <col min="13056" max="13056" width="11.85546875" style="1" customWidth="1"/>
    <col min="13057" max="13057" width="11.140625" style="1" customWidth="1"/>
    <col min="13058" max="13058" width="10.28515625" style="1" customWidth="1"/>
    <col min="13059" max="13059" width="10.5703125" style="1" customWidth="1"/>
    <col min="13060" max="13060" width="9.7109375" style="1" customWidth="1"/>
    <col min="13061" max="13061" width="17.7109375" style="1" customWidth="1"/>
    <col min="13062" max="13309" width="9.140625" style="1"/>
    <col min="13310" max="13310" width="6.140625" style="1" customWidth="1"/>
    <col min="13311" max="13311" width="44.85546875" style="1" customWidth="1"/>
    <col min="13312" max="13312" width="11.85546875" style="1" customWidth="1"/>
    <col min="13313" max="13313" width="11.140625" style="1" customWidth="1"/>
    <col min="13314" max="13314" width="10.28515625" style="1" customWidth="1"/>
    <col min="13315" max="13315" width="10.5703125" style="1" customWidth="1"/>
    <col min="13316" max="13316" width="9.7109375" style="1" customWidth="1"/>
    <col min="13317" max="13317" width="17.7109375" style="1" customWidth="1"/>
    <col min="13318" max="13565" width="9.140625" style="1"/>
    <col min="13566" max="13566" width="6.140625" style="1" customWidth="1"/>
    <col min="13567" max="13567" width="44.85546875" style="1" customWidth="1"/>
    <col min="13568" max="13568" width="11.85546875" style="1" customWidth="1"/>
    <col min="13569" max="13569" width="11.140625" style="1" customWidth="1"/>
    <col min="13570" max="13570" width="10.28515625" style="1" customWidth="1"/>
    <col min="13571" max="13571" width="10.5703125" style="1" customWidth="1"/>
    <col min="13572" max="13572" width="9.7109375" style="1" customWidth="1"/>
    <col min="13573" max="13573" width="17.7109375" style="1" customWidth="1"/>
    <col min="13574" max="13821" width="9.140625" style="1"/>
    <col min="13822" max="13822" width="6.140625" style="1" customWidth="1"/>
    <col min="13823" max="13823" width="44.85546875" style="1" customWidth="1"/>
    <col min="13824" max="13824" width="11.85546875" style="1" customWidth="1"/>
    <col min="13825" max="13825" width="11.140625" style="1" customWidth="1"/>
    <col min="13826" max="13826" width="10.28515625" style="1" customWidth="1"/>
    <col min="13827" max="13827" width="10.5703125" style="1" customWidth="1"/>
    <col min="13828" max="13828" width="9.7109375" style="1" customWidth="1"/>
    <col min="13829" max="13829" width="17.7109375" style="1" customWidth="1"/>
    <col min="13830" max="14077" width="9.140625" style="1"/>
    <col min="14078" max="14078" width="6.140625" style="1" customWidth="1"/>
    <col min="14079" max="14079" width="44.85546875" style="1" customWidth="1"/>
    <col min="14080" max="14080" width="11.85546875" style="1" customWidth="1"/>
    <col min="14081" max="14081" width="11.140625" style="1" customWidth="1"/>
    <col min="14082" max="14082" width="10.28515625" style="1" customWidth="1"/>
    <col min="14083" max="14083" width="10.5703125" style="1" customWidth="1"/>
    <col min="14084" max="14084" width="9.7109375" style="1" customWidth="1"/>
    <col min="14085" max="14085" width="17.7109375" style="1" customWidth="1"/>
    <col min="14086" max="14333" width="9.140625" style="1"/>
    <col min="14334" max="14334" width="6.140625" style="1" customWidth="1"/>
    <col min="14335" max="14335" width="44.85546875" style="1" customWidth="1"/>
    <col min="14336" max="14336" width="11.85546875" style="1" customWidth="1"/>
    <col min="14337" max="14337" width="11.140625" style="1" customWidth="1"/>
    <col min="14338" max="14338" width="10.28515625" style="1" customWidth="1"/>
    <col min="14339" max="14339" width="10.5703125" style="1" customWidth="1"/>
    <col min="14340" max="14340" width="9.7109375" style="1" customWidth="1"/>
    <col min="14341" max="14341" width="17.7109375" style="1" customWidth="1"/>
    <col min="14342" max="14589" width="9.140625" style="1"/>
    <col min="14590" max="14590" width="6.140625" style="1" customWidth="1"/>
    <col min="14591" max="14591" width="44.85546875" style="1" customWidth="1"/>
    <col min="14592" max="14592" width="11.85546875" style="1" customWidth="1"/>
    <col min="14593" max="14593" width="11.140625" style="1" customWidth="1"/>
    <col min="14594" max="14594" width="10.28515625" style="1" customWidth="1"/>
    <col min="14595" max="14595" width="10.5703125" style="1" customWidth="1"/>
    <col min="14596" max="14596" width="9.7109375" style="1" customWidth="1"/>
    <col min="14597" max="14597" width="17.7109375" style="1" customWidth="1"/>
    <col min="14598" max="14845" width="9.140625" style="1"/>
    <col min="14846" max="14846" width="6.140625" style="1" customWidth="1"/>
    <col min="14847" max="14847" width="44.85546875" style="1" customWidth="1"/>
    <col min="14848" max="14848" width="11.85546875" style="1" customWidth="1"/>
    <col min="14849" max="14849" width="11.140625" style="1" customWidth="1"/>
    <col min="14850" max="14850" width="10.28515625" style="1" customWidth="1"/>
    <col min="14851" max="14851" width="10.5703125" style="1" customWidth="1"/>
    <col min="14852" max="14852" width="9.7109375" style="1" customWidth="1"/>
    <col min="14853" max="14853" width="17.7109375" style="1" customWidth="1"/>
    <col min="14854" max="15101" width="9.140625" style="1"/>
    <col min="15102" max="15102" width="6.140625" style="1" customWidth="1"/>
    <col min="15103" max="15103" width="44.85546875" style="1" customWidth="1"/>
    <col min="15104" max="15104" width="11.85546875" style="1" customWidth="1"/>
    <col min="15105" max="15105" width="11.140625" style="1" customWidth="1"/>
    <col min="15106" max="15106" width="10.28515625" style="1" customWidth="1"/>
    <col min="15107" max="15107" width="10.5703125" style="1" customWidth="1"/>
    <col min="15108" max="15108" width="9.7109375" style="1" customWidth="1"/>
    <col min="15109" max="15109" width="17.7109375" style="1" customWidth="1"/>
    <col min="15110" max="15357" width="9.140625" style="1"/>
    <col min="15358" max="15358" width="6.140625" style="1" customWidth="1"/>
    <col min="15359" max="15359" width="44.85546875" style="1" customWidth="1"/>
    <col min="15360" max="15360" width="11.85546875" style="1" customWidth="1"/>
    <col min="15361" max="15361" width="11.140625" style="1" customWidth="1"/>
    <col min="15362" max="15362" width="10.28515625" style="1" customWidth="1"/>
    <col min="15363" max="15363" width="10.5703125" style="1" customWidth="1"/>
    <col min="15364" max="15364" width="9.7109375" style="1" customWidth="1"/>
    <col min="15365" max="15365" width="17.7109375" style="1" customWidth="1"/>
    <col min="15366" max="15613" width="9.140625" style="1"/>
    <col min="15614" max="15614" width="6.140625" style="1" customWidth="1"/>
    <col min="15615" max="15615" width="44.85546875" style="1" customWidth="1"/>
    <col min="15616" max="15616" width="11.85546875" style="1" customWidth="1"/>
    <col min="15617" max="15617" width="11.140625" style="1" customWidth="1"/>
    <col min="15618" max="15618" width="10.28515625" style="1" customWidth="1"/>
    <col min="15619" max="15619" width="10.5703125" style="1" customWidth="1"/>
    <col min="15620" max="15620" width="9.7109375" style="1" customWidth="1"/>
    <col min="15621" max="15621" width="17.7109375" style="1" customWidth="1"/>
    <col min="15622" max="15869" width="9.140625" style="1"/>
    <col min="15870" max="15870" width="6.140625" style="1" customWidth="1"/>
    <col min="15871" max="15871" width="44.85546875" style="1" customWidth="1"/>
    <col min="15872" max="15872" width="11.85546875" style="1" customWidth="1"/>
    <col min="15873" max="15873" width="11.140625" style="1" customWidth="1"/>
    <col min="15874" max="15874" width="10.28515625" style="1" customWidth="1"/>
    <col min="15875" max="15875" width="10.5703125" style="1" customWidth="1"/>
    <col min="15876" max="15876" width="9.7109375" style="1" customWidth="1"/>
    <col min="15877" max="15877" width="17.7109375" style="1" customWidth="1"/>
    <col min="15878" max="16125" width="9.140625" style="1"/>
    <col min="16126" max="16126" width="6.140625" style="1" customWidth="1"/>
    <col min="16127" max="16127" width="44.85546875" style="1" customWidth="1"/>
    <col min="16128" max="16128" width="11.85546875" style="1" customWidth="1"/>
    <col min="16129" max="16129" width="11.140625" style="1" customWidth="1"/>
    <col min="16130" max="16130" width="10.28515625" style="1" customWidth="1"/>
    <col min="16131" max="16131" width="10.5703125" style="1" customWidth="1"/>
    <col min="16132" max="16132" width="9.7109375" style="1" customWidth="1"/>
    <col min="16133" max="16133" width="17.7109375" style="1" customWidth="1"/>
    <col min="16134" max="16384" width="9.140625" style="1"/>
  </cols>
  <sheetData>
    <row r="1" spans="1:7" ht="16.5" x14ac:dyDescent="0.25">
      <c r="B1" s="1034" t="s">
        <v>1251</v>
      </c>
      <c r="C1" s="1034"/>
      <c r="D1" s="1034"/>
      <c r="E1" s="1034"/>
      <c r="F1" s="1034"/>
      <c r="G1" s="1034"/>
    </row>
    <row r="2" spans="1:7" ht="16.5" x14ac:dyDescent="0.25">
      <c r="C2" s="950"/>
      <c r="D2" s="950"/>
      <c r="E2" s="950"/>
      <c r="F2" s="950"/>
      <c r="G2" s="951" t="s">
        <v>1184</v>
      </c>
    </row>
    <row r="3" spans="1:7" ht="16.5" x14ac:dyDescent="0.25">
      <c r="C3" s="950"/>
      <c r="D3" s="950"/>
      <c r="E3" s="950"/>
      <c r="F3" s="950"/>
      <c r="G3" s="951" t="s">
        <v>1185</v>
      </c>
    </row>
    <row r="6" spans="1:7" x14ac:dyDescent="0.2">
      <c r="A6" s="1" t="s">
        <v>298</v>
      </c>
      <c r="B6" s="144"/>
      <c r="C6" s="1043"/>
      <c r="D6" s="1043"/>
      <c r="E6" s="1043"/>
      <c r="F6" s="1043"/>
      <c r="G6" s="1043"/>
    </row>
    <row r="7" spans="1:7" x14ac:dyDescent="0.2">
      <c r="B7" s="144"/>
      <c r="C7" s="145"/>
      <c r="D7" s="145"/>
      <c r="E7" s="145"/>
      <c r="F7" s="145"/>
      <c r="G7" s="145"/>
    </row>
    <row r="8" spans="1:7" ht="15.75" x14ac:dyDescent="0.25">
      <c r="A8" s="1044" t="s">
        <v>291</v>
      </c>
      <c r="B8" s="1044"/>
      <c r="C8" s="1044"/>
      <c r="D8" s="1044"/>
      <c r="E8" s="1044"/>
      <c r="F8" s="1044"/>
      <c r="G8" s="1044"/>
    </row>
    <row r="9" spans="1:7" ht="15.75" x14ac:dyDescent="0.25">
      <c r="A9" s="146"/>
      <c r="B9" s="146"/>
      <c r="C9" s="146"/>
      <c r="D9" s="146"/>
      <c r="E9" s="146"/>
      <c r="F9" s="146"/>
      <c r="G9" s="146"/>
    </row>
    <row r="10" spans="1:7" ht="15.75" x14ac:dyDescent="0.25">
      <c r="A10" s="1" t="s">
        <v>1248</v>
      </c>
      <c r="C10" s="147"/>
      <c r="D10" s="144"/>
      <c r="E10" s="144"/>
      <c r="F10" s="144"/>
      <c r="G10" s="144"/>
    </row>
    <row r="11" spans="1:7" ht="15.75" x14ac:dyDescent="0.25">
      <c r="C11" s="147"/>
      <c r="D11" s="144"/>
      <c r="E11" s="144"/>
      <c r="F11" s="144"/>
      <c r="G11" s="144"/>
    </row>
    <row r="12" spans="1:7" x14ac:dyDescent="0.2">
      <c r="A12" s="1" t="s">
        <v>1249</v>
      </c>
      <c r="C12" s="149"/>
      <c r="D12" s="149"/>
      <c r="E12" s="149"/>
      <c r="F12" s="149"/>
      <c r="G12" s="149"/>
    </row>
    <row r="13" spans="1:7" x14ac:dyDescent="0.2">
      <c r="A13" s="1" t="s">
        <v>1250</v>
      </c>
      <c r="C13" s="150"/>
      <c r="D13" s="149"/>
      <c r="E13" s="149"/>
      <c r="F13" s="149"/>
      <c r="G13" s="149"/>
    </row>
    <row r="14" spans="1:7" ht="24" customHeight="1" x14ac:dyDescent="0.2">
      <c r="A14" s="1102" t="s">
        <v>1</v>
      </c>
      <c r="B14" s="1102" t="s">
        <v>2</v>
      </c>
      <c r="C14" s="1102" t="s">
        <v>26</v>
      </c>
      <c r="D14" s="1102" t="s">
        <v>27</v>
      </c>
      <c r="E14" s="1102" t="s">
        <v>299</v>
      </c>
      <c r="F14" s="1122" t="s">
        <v>6</v>
      </c>
      <c r="G14" s="1122" t="s">
        <v>1190</v>
      </c>
    </row>
    <row r="15" spans="1:7" ht="12.75" customHeight="1" x14ac:dyDescent="0.2">
      <c r="A15" s="1102"/>
      <c r="B15" s="1102"/>
      <c r="C15" s="1102"/>
      <c r="D15" s="1102"/>
      <c r="E15" s="1102"/>
      <c r="F15" s="1123"/>
      <c r="G15" s="1123"/>
    </row>
    <row r="16" spans="1:7" x14ac:dyDescent="0.2">
      <c r="A16" s="1120" t="s">
        <v>300</v>
      </c>
      <c r="B16" s="1121"/>
      <c r="C16" s="200">
        <f>SUM(C17:C18)</f>
        <v>0</v>
      </c>
      <c r="D16" s="200">
        <f>SUM(D17:D18)</f>
        <v>0</v>
      </c>
      <c r="E16" s="200">
        <f>SUM(E17:E18)</f>
        <v>32600</v>
      </c>
      <c r="F16" s="200"/>
      <c r="G16" s="200">
        <f>SUM(G17:G18)</f>
        <v>31668</v>
      </c>
    </row>
    <row r="17" spans="1:7" ht="24" x14ac:dyDescent="0.2">
      <c r="A17" s="202">
        <v>1</v>
      </c>
      <c r="B17" s="201" t="s">
        <v>360</v>
      </c>
      <c r="C17" s="203">
        <v>0</v>
      </c>
      <c r="D17" s="203">
        <v>0</v>
      </c>
      <c r="E17" s="203">
        <v>30000</v>
      </c>
      <c r="F17" s="204">
        <v>2244</v>
      </c>
      <c r="G17" s="203">
        <v>30000</v>
      </c>
    </row>
    <row r="18" spans="1:7" ht="24" x14ac:dyDescent="0.2">
      <c r="A18" s="202">
        <v>2</v>
      </c>
      <c r="B18" s="201" t="s">
        <v>361</v>
      </c>
      <c r="C18" s="203">
        <v>0</v>
      </c>
      <c r="D18" s="203">
        <v>0</v>
      </c>
      <c r="E18" s="203">
        <v>2600</v>
      </c>
      <c r="F18" s="204">
        <v>2312</v>
      </c>
      <c r="G18" s="203">
        <v>1668</v>
      </c>
    </row>
    <row r="19" spans="1:7" x14ac:dyDescent="0.2">
      <c r="A19" s="165"/>
      <c r="B19" s="165"/>
      <c r="C19" s="165"/>
      <c r="D19" s="165"/>
      <c r="E19" s="165"/>
      <c r="F19" s="165"/>
      <c r="G19" s="165"/>
    </row>
  </sheetData>
  <mergeCells count="11">
    <mergeCell ref="B1:G1"/>
    <mergeCell ref="A16:B16"/>
    <mergeCell ref="C6:G6"/>
    <mergeCell ref="A8:G8"/>
    <mergeCell ref="A14:A15"/>
    <mergeCell ref="B14:B15"/>
    <mergeCell ref="C14:C15"/>
    <mergeCell ref="D14:D15"/>
    <mergeCell ref="E14:E15"/>
    <mergeCell ref="F14:F15"/>
    <mergeCell ref="G14:G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orientation="portrait" r:id="rId1"/>
  <headerFooter>
    <oddHeader xml:space="preserve">&amp;R&amp;"Times New Roman,Regular"&amp;8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3.pielikums</vt:lpstr>
      <vt:lpstr>4.pielikums</vt:lpstr>
      <vt:lpstr>5.pielikums</vt:lpstr>
      <vt:lpstr>6.pielikums</vt:lpstr>
      <vt:lpstr>7.pielikums</vt:lpstr>
      <vt:lpstr>8.pielikums</vt:lpstr>
      <vt:lpstr>9.pielikums</vt:lpstr>
      <vt:lpstr>10.pielikums</vt:lpstr>
      <vt:lpstr>11.pielikums</vt:lpstr>
      <vt:lpstr>12.pielikums</vt:lpstr>
      <vt:lpstr>13.pielikums</vt:lpstr>
      <vt:lpstr>14.pielikums</vt:lpstr>
      <vt:lpstr>15.pielikums</vt:lpstr>
      <vt:lpstr>16.pielikums</vt:lpstr>
      <vt:lpstr>17.pielikums</vt:lpstr>
      <vt:lpstr>18.pielikums</vt:lpstr>
      <vt:lpstr>19.pielikums</vt:lpstr>
      <vt:lpstr>20.pielikums</vt:lpstr>
      <vt:lpstr>21.pielikums</vt:lpstr>
      <vt:lpstr>22.pielikums</vt:lpstr>
      <vt:lpstr>23.pielikums</vt:lpstr>
      <vt:lpstr>24.pielikums</vt:lpstr>
      <vt:lpstr>25.pielikums</vt:lpstr>
      <vt:lpstr>26.pielikums</vt:lpstr>
      <vt:lpstr>27.pielikums</vt:lpstr>
      <vt:lpstr>28.pielikums</vt:lpstr>
      <vt:lpstr>29.pielikums</vt:lpstr>
      <vt:lpstr>30.pielikums</vt:lpstr>
      <vt:lpstr>31.pielikums</vt:lpstr>
      <vt:lpstr>32.pielikums</vt:lpstr>
      <vt:lpstr>'10.pielikums'!Print_Area</vt:lpstr>
      <vt:lpstr>'11.pielikums'!Print_Area</vt:lpstr>
      <vt:lpstr>'12.pielikums'!Print_Area</vt:lpstr>
      <vt:lpstr>'13.pielikums'!Print_Area</vt:lpstr>
      <vt:lpstr>'14.pielikums'!Print_Area</vt:lpstr>
      <vt:lpstr>'15.pielikums'!Print_Area</vt:lpstr>
      <vt:lpstr>'16.pielikums'!Print_Area</vt:lpstr>
      <vt:lpstr>'17.pielikums'!Print_Area</vt:lpstr>
      <vt:lpstr>'18.pielikums'!Print_Area</vt:lpstr>
      <vt:lpstr>'19.pielikums'!Print_Area</vt:lpstr>
      <vt:lpstr>'20.pielikums'!Print_Area</vt:lpstr>
      <vt:lpstr>'21.pielikums'!Print_Area</vt:lpstr>
      <vt:lpstr>'22.pielikums'!Print_Area</vt:lpstr>
      <vt:lpstr>'23.pielikums'!Print_Area</vt:lpstr>
      <vt:lpstr>'24.pielikums'!Print_Area</vt:lpstr>
      <vt:lpstr>'25.pielikums'!Print_Area</vt:lpstr>
      <vt:lpstr>'26.pielikums'!Print_Area</vt:lpstr>
      <vt:lpstr>'27.pielikums'!Print_Area</vt:lpstr>
      <vt:lpstr>'28.pielikums'!Print_Area</vt:lpstr>
      <vt:lpstr>'29.pielikums'!Print_Area</vt:lpstr>
      <vt:lpstr>'3.pielikums'!Print_Area</vt:lpstr>
      <vt:lpstr>'30.pielikums'!Print_Area</vt:lpstr>
      <vt:lpstr>'31.pielikums'!Print_Area</vt:lpstr>
      <vt:lpstr>'32.pielikums'!Print_Area</vt:lpstr>
      <vt:lpstr>'4.pielikums'!Print_Area</vt:lpstr>
      <vt:lpstr>'5.pielikums'!Print_Area</vt:lpstr>
      <vt:lpstr>'6.pielikums'!Print_Area</vt:lpstr>
      <vt:lpstr>'7.pielikums'!Print_Area</vt:lpstr>
      <vt:lpstr>'8.pielikums'!Print_Area</vt:lpstr>
      <vt:lpstr>'9.pielikums'!Print_Area</vt:lpstr>
      <vt:lpstr>'16.pielikums'!Print_Titles</vt:lpstr>
      <vt:lpstr>'26.pielikums'!Print_Titles</vt:lpstr>
      <vt:lpstr>'31.pielikums'!Print_Titles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2014-12-22T16:33:12Z</cp:lastPrinted>
  <dcterms:created xsi:type="dcterms:W3CDTF">2014-10-29T14:04:22Z</dcterms:created>
  <dcterms:modified xsi:type="dcterms:W3CDTF">2014-12-23T07:45:23Z</dcterms:modified>
</cp:coreProperties>
</file>